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4550" yWindow="75" windowWidth="18885" windowHeight="11025" tabRatio="834" firstSheet="2" activeTab="4"/>
  </bookViews>
  <sheets>
    <sheet name="SGV_3" sheetId="17" state="veryHidden" r:id="rId1"/>
    <sheet name="SGV_2" sheetId="16" state="veryHidden" r:id="rId2"/>
    <sheet name="B01.NTM_ĐT " sheetId="40" r:id="rId3"/>
    <sheet name="B03.DTTS_ĐT" sheetId="41" r:id="rId4"/>
    <sheet name="B04.NTM_SN" sheetId="42" r:id="rId5"/>
    <sheet name="B05.GN_SN" sheetId="43" r:id="rId6"/>
    <sheet name="B06.DTTS_SN" sheetId="44" r:id="rId7"/>
  </sheets>
  <externalReferences>
    <externalReference r:id="rId8"/>
    <externalReference r:id="rId9"/>
  </externalReferences>
  <definedNames>
    <definedName name="_xlnm.Print_Area" localSheetId="2">'B01.NTM_ĐT '!$A$1:$P$16</definedName>
    <definedName name="_xlnm.Print_Area" localSheetId="3">B03.DTTS_ĐT!$A$1:$P$50</definedName>
    <definedName name="_xlnm.Print_Area" localSheetId="6">B06.DTTS_SN!$A$1:$AN$191</definedName>
    <definedName name="_xlnm.Print_Titles" localSheetId="4">B04.NTM_SN!$6:$12</definedName>
    <definedName name="_xlnm.Print_Titles" localSheetId="5">B05.GN_SN!$11:$17</definedName>
    <definedName name="_xlnm.Print_Titles" localSheetId="6">B06.DTTS_SN!$5:$11</definedName>
  </definedNames>
  <calcPr calcId="124519"/>
</workbook>
</file>

<file path=xl/calcChain.xml><?xml version="1.0" encoding="utf-8"?>
<calcChain xmlns="http://schemas.openxmlformats.org/spreadsheetml/2006/main">
  <c r="AK4" i="44"/>
  <c r="A3"/>
  <c r="A9" i="43"/>
  <c r="A3" i="42"/>
  <c r="A2" i="41"/>
  <c r="AN93" i="43"/>
  <c r="AG93"/>
  <c r="AG91"/>
  <c r="AI92"/>
  <c r="AI72" s="1"/>
  <c r="AJ92"/>
  <c r="AL92"/>
  <c r="AM92"/>
  <c r="AM72" s="1"/>
  <c r="AH93"/>
  <c r="AH92" s="1"/>
  <c r="AK93"/>
  <c r="D40"/>
  <c r="O192" i="44"/>
  <c r="N192"/>
  <c r="F192"/>
  <c r="E192"/>
  <c r="D192" s="1"/>
  <c r="AK191"/>
  <c r="AH191"/>
  <c r="Z191"/>
  <c r="Y191"/>
  <c r="X191" s="1"/>
  <c r="V191" s="1"/>
  <c r="O191"/>
  <c r="N191"/>
  <c r="M191" s="1"/>
  <c r="F191"/>
  <c r="E191"/>
  <c r="D191" s="1"/>
  <c r="C191" s="1"/>
  <c r="AK190"/>
  <c r="AG190" s="1"/>
  <c r="AH190"/>
  <c r="Z190"/>
  <c r="X190" s="1"/>
  <c r="V190" s="1"/>
  <c r="Y190"/>
  <c r="O190"/>
  <c r="N190"/>
  <c r="M190" s="1"/>
  <c r="F190"/>
  <c r="E190"/>
  <c r="D190"/>
  <c r="C190" s="1"/>
  <c r="AK189"/>
  <c r="AH189"/>
  <c r="AG189"/>
  <c r="Z189"/>
  <c r="Y189"/>
  <c r="X189" s="1"/>
  <c r="V189" s="1"/>
  <c r="O189"/>
  <c r="N189"/>
  <c r="M189" s="1"/>
  <c r="F189"/>
  <c r="E189"/>
  <c r="AK188"/>
  <c r="AH188"/>
  <c r="AG188"/>
  <c r="Z188"/>
  <c r="Y188"/>
  <c r="O188"/>
  <c r="N188"/>
  <c r="M188" s="1"/>
  <c r="F188"/>
  <c r="E188"/>
  <c r="D188" s="1"/>
  <c r="AK187"/>
  <c r="AH187"/>
  <c r="Z187"/>
  <c r="Y187"/>
  <c r="X187" s="1"/>
  <c r="V187" s="1"/>
  <c r="O187"/>
  <c r="N187"/>
  <c r="M187" s="1"/>
  <c r="F187"/>
  <c r="E187"/>
  <c r="D187" s="1"/>
  <c r="AK186"/>
  <c r="AG186" s="1"/>
  <c r="AH186"/>
  <c r="Z186"/>
  <c r="Y186"/>
  <c r="X186"/>
  <c r="V186" s="1"/>
  <c r="O186"/>
  <c r="N186"/>
  <c r="M186" s="1"/>
  <c r="F186"/>
  <c r="D186" s="1"/>
  <c r="E186"/>
  <c r="AK185"/>
  <c r="AH185"/>
  <c r="AG185" s="1"/>
  <c r="Z185"/>
  <c r="Y185"/>
  <c r="X185"/>
  <c r="V185" s="1"/>
  <c r="O185"/>
  <c r="N185"/>
  <c r="M185"/>
  <c r="F185"/>
  <c r="E185"/>
  <c r="AK184"/>
  <c r="AH184"/>
  <c r="AG184" s="1"/>
  <c r="Z184"/>
  <c r="Y184"/>
  <c r="O184"/>
  <c r="N184"/>
  <c r="F184"/>
  <c r="E184"/>
  <c r="AK183"/>
  <c r="AG183" s="1"/>
  <c r="AH183"/>
  <c r="Z183"/>
  <c r="Y183"/>
  <c r="O183"/>
  <c r="N183"/>
  <c r="F183"/>
  <c r="E183"/>
  <c r="D183"/>
  <c r="AK182"/>
  <c r="AH182"/>
  <c r="Z182"/>
  <c r="Y182"/>
  <c r="X182" s="1"/>
  <c r="V182" s="1"/>
  <c r="O182"/>
  <c r="N182"/>
  <c r="M182"/>
  <c r="F182"/>
  <c r="E182"/>
  <c r="D182" s="1"/>
  <c r="AK181"/>
  <c r="AH181"/>
  <c r="AG181" s="1"/>
  <c r="Z181"/>
  <c r="X181" s="1"/>
  <c r="V181" s="1"/>
  <c r="Y181"/>
  <c r="O181"/>
  <c r="M181" s="1"/>
  <c r="N181"/>
  <c r="F181"/>
  <c r="E181"/>
  <c r="AK180"/>
  <c r="AH180"/>
  <c r="AG180" s="1"/>
  <c r="Z180"/>
  <c r="X180" s="1"/>
  <c r="V180" s="1"/>
  <c r="Y180"/>
  <c r="O180"/>
  <c r="M180" s="1"/>
  <c r="N180"/>
  <c r="F180"/>
  <c r="E180"/>
  <c r="AK179"/>
  <c r="AG179" s="1"/>
  <c r="AH179"/>
  <c r="Z179"/>
  <c r="Y179"/>
  <c r="O179"/>
  <c r="N179"/>
  <c r="F179"/>
  <c r="D179" s="1"/>
  <c r="E179"/>
  <c r="AK178"/>
  <c r="AH178"/>
  <c r="Z178"/>
  <c r="Y178"/>
  <c r="X178" s="1"/>
  <c r="V178" s="1"/>
  <c r="O178"/>
  <c r="M178" s="1"/>
  <c r="N178"/>
  <c r="F178"/>
  <c r="E178"/>
  <c r="D178" s="1"/>
  <c r="AK177"/>
  <c r="AH177"/>
  <c r="AG177"/>
  <c r="Z177"/>
  <c r="Y177"/>
  <c r="X177" s="1"/>
  <c r="V177" s="1"/>
  <c r="O177"/>
  <c r="N177"/>
  <c r="M177" s="1"/>
  <c r="F177"/>
  <c r="D177" s="1"/>
  <c r="E177"/>
  <c r="AK176"/>
  <c r="AH176"/>
  <c r="AG176"/>
  <c r="Z176"/>
  <c r="Y176"/>
  <c r="O176"/>
  <c r="N176"/>
  <c r="F176"/>
  <c r="E176"/>
  <c r="D176" s="1"/>
  <c r="AK175"/>
  <c r="AH175"/>
  <c r="Z175"/>
  <c r="Y175"/>
  <c r="X175" s="1"/>
  <c r="V175" s="1"/>
  <c r="O175"/>
  <c r="N175"/>
  <c r="M175" s="1"/>
  <c r="F175"/>
  <c r="E175"/>
  <c r="D175" s="1"/>
  <c r="C175" s="1"/>
  <c r="AK174"/>
  <c r="AH174"/>
  <c r="Z174"/>
  <c r="Y174"/>
  <c r="X174"/>
  <c r="V174" s="1"/>
  <c r="O174"/>
  <c r="N174"/>
  <c r="M174" s="1"/>
  <c r="F174"/>
  <c r="D174" s="1"/>
  <c r="E174"/>
  <c r="AK173"/>
  <c r="AG173" s="1"/>
  <c r="AH173"/>
  <c r="Z173"/>
  <c r="Y173"/>
  <c r="X173" s="1"/>
  <c r="V173" s="1"/>
  <c r="O173"/>
  <c r="N173"/>
  <c r="M173" s="1"/>
  <c r="F173"/>
  <c r="D173" s="1"/>
  <c r="E173"/>
  <c r="AK172"/>
  <c r="AG172" s="1"/>
  <c r="AH172"/>
  <c r="Z172"/>
  <c r="Y172"/>
  <c r="O172"/>
  <c r="N172"/>
  <c r="F172"/>
  <c r="E172"/>
  <c r="D172" s="1"/>
  <c r="AK171"/>
  <c r="AH171"/>
  <c r="Z171"/>
  <c r="Y171"/>
  <c r="X171" s="1"/>
  <c r="V171" s="1"/>
  <c r="O171"/>
  <c r="N171"/>
  <c r="M171" s="1"/>
  <c r="F171"/>
  <c r="E171"/>
  <c r="D171" s="1"/>
  <c r="AK170"/>
  <c r="AG170" s="1"/>
  <c r="AH170"/>
  <c r="Z170"/>
  <c r="X170" s="1"/>
  <c r="V170" s="1"/>
  <c r="Y170"/>
  <c r="O170"/>
  <c r="N170"/>
  <c r="M170" s="1"/>
  <c r="F170"/>
  <c r="E170"/>
  <c r="D170"/>
  <c r="AK169"/>
  <c r="AG169" s="1"/>
  <c r="AH169"/>
  <c r="Z169"/>
  <c r="X169" s="1"/>
  <c r="V169" s="1"/>
  <c r="Y169"/>
  <c r="O169"/>
  <c r="M169" s="1"/>
  <c r="N169"/>
  <c r="F169"/>
  <c r="E169"/>
  <c r="AK168"/>
  <c r="AH168"/>
  <c r="AG168" s="1"/>
  <c r="Z168"/>
  <c r="X168" s="1"/>
  <c r="V168" s="1"/>
  <c r="Y168"/>
  <c r="O168"/>
  <c r="N168"/>
  <c r="F168"/>
  <c r="E168"/>
  <c r="AK167"/>
  <c r="AG167" s="1"/>
  <c r="AH167"/>
  <c r="Z167"/>
  <c r="Y167"/>
  <c r="O167"/>
  <c r="N167"/>
  <c r="F167"/>
  <c r="D167" s="1"/>
  <c r="E167"/>
  <c r="AK166"/>
  <c r="AH166"/>
  <c r="Z166"/>
  <c r="Y166"/>
  <c r="X166" s="1"/>
  <c r="V166" s="1"/>
  <c r="O166"/>
  <c r="M166" s="1"/>
  <c r="N166"/>
  <c r="F166"/>
  <c r="E166"/>
  <c r="D166" s="1"/>
  <c r="AK165"/>
  <c r="AG165" s="1"/>
  <c r="AH165"/>
  <c r="Z165"/>
  <c r="Y165"/>
  <c r="X165"/>
  <c r="V165" s="1"/>
  <c r="T165"/>
  <c r="T163" s="1"/>
  <c r="T157" s="1"/>
  <c r="O165"/>
  <c r="N165"/>
  <c r="M165" s="1"/>
  <c r="F165"/>
  <c r="E165"/>
  <c r="D165"/>
  <c r="C165" s="1"/>
  <c r="AK164"/>
  <c r="AH164"/>
  <c r="AG164"/>
  <c r="Z164"/>
  <c r="Y164"/>
  <c r="X164" s="1"/>
  <c r="V164" s="1"/>
  <c r="O164"/>
  <c r="N164"/>
  <c r="M164" s="1"/>
  <c r="F164"/>
  <c r="D164" s="1"/>
  <c r="E164"/>
  <c r="AP163"/>
  <c r="AP157" s="1"/>
  <c r="AO163"/>
  <c r="AM163"/>
  <c r="AM157" s="1"/>
  <c r="AL163"/>
  <c r="AJ163"/>
  <c r="AI163"/>
  <c r="AH163"/>
  <c r="AF163"/>
  <c r="AE163"/>
  <c r="AD163"/>
  <c r="AC163"/>
  <c r="AB163"/>
  <c r="AA163"/>
  <c r="W163"/>
  <c r="U163"/>
  <c r="S163"/>
  <c r="S157" s="1"/>
  <c r="R163"/>
  <c r="Q163"/>
  <c r="P163"/>
  <c r="N163"/>
  <c r="L163"/>
  <c r="K163"/>
  <c r="J163"/>
  <c r="I163"/>
  <c r="H163"/>
  <c r="G163"/>
  <c r="AK162"/>
  <c r="Z162"/>
  <c r="Y162"/>
  <c r="X162"/>
  <c r="O162"/>
  <c r="N162"/>
  <c r="M162" s="1"/>
  <c r="M161" s="1"/>
  <c r="F162"/>
  <c r="D162" s="1"/>
  <c r="E162"/>
  <c r="AM161"/>
  <c r="AL161"/>
  <c r="AK161"/>
  <c r="AJ161"/>
  <c r="AI161"/>
  <c r="AH161"/>
  <c r="AG161"/>
  <c r="AF161"/>
  <c r="AF157" s="1"/>
  <c r="AE161"/>
  <c r="AD161"/>
  <c r="AD157" s="1"/>
  <c r="AC161"/>
  <c r="AB161"/>
  <c r="AA161"/>
  <c r="Z161"/>
  <c r="Y161"/>
  <c r="W161"/>
  <c r="U161"/>
  <c r="T161"/>
  <c r="S161"/>
  <c r="R161"/>
  <c r="Q161"/>
  <c r="P161"/>
  <c r="O161"/>
  <c r="N161"/>
  <c r="L161"/>
  <c r="K161"/>
  <c r="J161"/>
  <c r="I161"/>
  <c r="H161"/>
  <c r="F161" s="1"/>
  <c r="G161"/>
  <c r="E161"/>
  <c r="AK160"/>
  <c r="AH160"/>
  <c r="Z160"/>
  <c r="Y160"/>
  <c r="Y158" s="1"/>
  <c r="V160"/>
  <c r="O160"/>
  <c r="N160"/>
  <c r="N158" s="1"/>
  <c r="F160"/>
  <c r="E160"/>
  <c r="AK159"/>
  <c r="AH159"/>
  <c r="AH158" s="1"/>
  <c r="AH157" s="1"/>
  <c r="Z159"/>
  <c r="Z158" s="1"/>
  <c r="Y159"/>
  <c r="X159"/>
  <c r="V159" s="1"/>
  <c r="V158" s="1"/>
  <c r="O159"/>
  <c r="O158" s="1"/>
  <c r="N159"/>
  <c r="K159"/>
  <c r="K158" s="1"/>
  <c r="K157" s="1"/>
  <c r="F159"/>
  <c r="E159"/>
  <c r="D159" s="1"/>
  <c r="AM158"/>
  <c r="AL158"/>
  <c r="AJ158"/>
  <c r="AI158"/>
  <c r="AI157" s="1"/>
  <c r="AF158"/>
  <c r="AE158"/>
  <c r="AE157" s="1"/>
  <c r="AD158"/>
  <c r="AC158"/>
  <c r="AB158"/>
  <c r="AA158"/>
  <c r="AA157" s="1"/>
  <c r="W158"/>
  <c r="W157" s="1"/>
  <c r="U158"/>
  <c r="T158"/>
  <c r="S158"/>
  <c r="R158"/>
  <c r="Q158"/>
  <c r="P158"/>
  <c r="M158"/>
  <c r="L158"/>
  <c r="L157" s="1"/>
  <c r="J158"/>
  <c r="I158"/>
  <c r="H158"/>
  <c r="F158" s="1"/>
  <c r="G158"/>
  <c r="AO157"/>
  <c r="AJ157"/>
  <c r="AB157"/>
  <c r="P157"/>
  <c r="AK156"/>
  <c r="AH156"/>
  <c r="AG156"/>
  <c r="Z156"/>
  <c r="Y156"/>
  <c r="X156" s="1"/>
  <c r="V156" s="1"/>
  <c r="O156"/>
  <c r="N156"/>
  <c r="M156" s="1"/>
  <c r="F156"/>
  <c r="E156"/>
  <c r="AK155"/>
  <c r="AH155"/>
  <c r="AG155"/>
  <c r="Z155"/>
  <c r="Y155"/>
  <c r="O155"/>
  <c r="N155"/>
  <c r="F155"/>
  <c r="E155"/>
  <c r="D155" s="1"/>
  <c r="AK154"/>
  <c r="AH154"/>
  <c r="Z154"/>
  <c r="Y154"/>
  <c r="X154" s="1"/>
  <c r="V154" s="1"/>
  <c r="O154"/>
  <c r="N154"/>
  <c r="M154" s="1"/>
  <c r="F154"/>
  <c r="E154"/>
  <c r="D154" s="1"/>
  <c r="C154" s="1"/>
  <c r="AK153"/>
  <c r="AH153"/>
  <c r="Z153"/>
  <c r="Y153"/>
  <c r="X153"/>
  <c r="V153" s="1"/>
  <c r="O153"/>
  <c r="N153"/>
  <c r="M153" s="1"/>
  <c r="F153"/>
  <c r="D153" s="1"/>
  <c r="C153" s="1"/>
  <c r="E153"/>
  <c r="AK152"/>
  <c r="AG152" s="1"/>
  <c r="AH152"/>
  <c r="Z152"/>
  <c r="Y152"/>
  <c r="X152" s="1"/>
  <c r="V152" s="1"/>
  <c r="O152"/>
  <c r="N152"/>
  <c r="M152" s="1"/>
  <c r="F152"/>
  <c r="E152"/>
  <c r="AK151"/>
  <c r="AG151" s="1"/>
  <c r="AH151"/>
  <c r="Z151"/>
  <c r="Y151"/>
  <c r="X151" s="1"/>
  <c r="V151" s="1"/>
  <c r="O151"/>
  <c r="N151"/>
  <c r="M151" s="1"/>
  <c r="F151"/>
  <c r="E151"/>
  <c r="D151" s="1"/>
  <c r="C151" s="1"/>
  <c r="AK150"/>
  <c r="AH150"/>
  <c r="Z150"/>
  <c r="Y150"/>
  <c r="X150" s="1"/>
  <c r="V150" s="1"/>
  <c r="O150"/>
  <c r="N150"/>
  <c r="M150" s="1"/>
  <c r="F150"/>
  <c r="E150"/>
  <c r="D150" s="1"/>
  <c r="AK149"/>
  <c r="AG149" s="1"/>
  <c r="AH149"/>
  <c r="Z149"/>
  <c r="X149" s="1"/>
  <c r="V149" s="1"/>
  <c r="C149" s="1"/>
  <c r="Y149"/>
  <c r="O149"/>
  <c r="N149"/>
  <c r="M149" s="1"/>
  <c r="F149"/>
  <c r="E149"/>
  <c r="D149"/>
  <c r="AK148"/>
  <c r="AG148" s="1"/>
  <c r="AH148"/>
  <c r="Z148"/>
  <c r="X148" s="1"/>
  <c r="V148" s="1"/>
  <c r="Y148"/>
  <c r="O148"/>
  <c r="M148" s="1"/>
  <c r="N148"/>
  <c r="F148"/>
  <c r="E148"/>
  <c r="AK147"/>
  <c r="AG147" s="1"/>
  <c r="AH147"/>
  <c r="Z147"/>
  <c r="Y147"/>
  <c r="O147"/>
  <c r="N147"/>
  <c r="F147"/>
  <c r="E147"/>
  <c r="AK146"/>
  <c r="AG146" s="1"/>
  <c r="AH146"/>
  <c r="Z146"/>
  <c r="Y146"/>
  <c r="O146"/>
  <c r="N146"/>
  <c r="F146"/>
  <c r="D146" s="1"/>
  <c r="E146"/>
  <c r="AK145"/>
  <c r="AH145"/>
  <c r="Z145"/>
  <c r="Y145"/>
  <c r="X145" s="1"/>
  <c r="V145" s="1"/>
  <c r="O145"/>
  <c r="M145" s="1"/>
  <c r="N145"/>
  <c r="F145"/>
  <c r="E145"/>
  <c r="D145" s="1"/>
  <c r="AK144"/>
  <c r="AH144"/>
  <c r="AG144"/>
  <c r="Z144"/>
  <c r="Y144"/>
  <c r="X144" s="1"/>
  <c r="V144" s="1"/>
  <c r="O144"/>
  <c r="N144"/>
  <c r="M144" s="1"/>
  <c r="F144"/>
  <c r="E144"/>
  <c r="AK143"/>
  <c r="AH143"/>
  <c r="AG143"/>
  <c r="Z143"/>
  <c r="Y143"/>
  <c r="X143" s="1"/>
  <c r="V143" s="1"/>
  <c r="O143"/>
  <c r="N143"/>
  <c r="M143" s="1"/>
  <c r="F143"/>
  <c r="E143"/>
  <c r="D143" s="1"/>
  <c r="AK142"/>
  <c r="AH142"/>
  <c r="Z142"/>
  <c r="Y142"/>
  <c r="X142" s="1"/>
  <c r="V142" s="1"/>
  <c r="O142"/>
  <c r="N142"/>
  <c r="M142" s="1"/>
  <c r="F142"/>
  <c r="E142"/>
  <c r="D142" s="1"/>
  <c r="AK141"/>
  <c r="AG141" s="1"/>
  <c r="AH141"/>
  <c r="Z141"/>
  <c r="Y141"/>
  <c r="X141"/>
  <c r="V141" s="1"/>
  <c r="O141"/>
  <c r="N141"/>
  <c r="M141" s="1"/>
  <c r="F141"/>
  <c r="D141" s="1"/>
  <c r="E141"/>
  <c r="AK140"/>
  <c r="AH140"/>
  <c r="AG140" s="1"/>
  <c r="Z140"/>
  <c r="Y140"/>
  <c r="X140"/>
  <c r="V140" s="1"/>
  <c r="O140"/>
  <c r="N140"/>
  <c r="M140"/>
  <c r="F140"/>
  <c r="E140"/>
  <c r="AK139"/>
  <c r="AH139"/>
  <c r="AG139" s="1"/>
  <c r="Z139"/>
  <c r="Y139"/>
  <c r="O139"/>
  <c r="O137" s="1"/>
  <c r="O136" s="1"/>
  <c r="N139"/>
  <c r="F139"/>
  <c r="E139"/>
  <c r="AK138"/>
  <c r="AH138"/>
  <c r="Z138"/>
  <c r="Z137" s="1"/>
  <c r="Z136" s="1"/>
  <c r="Y138"/>
  <c r="T138"/>
  <c r="N138" s="1"/>
  <c r="O138"/>
  <c r="F138"/>
  <c r="E138"/>
  <c r="AM137"/>
  <c r="AM136" s="1"/>
  <c r="AL137"/>
  <c r="AJ137"/>
  <c r="AJ136" s="1"/>
  <c r="AI137"/>
  <c r="AI136" s="1"/>
  <c r="AF137"/>
  <c r="AF136" s="1"/>
  <c r="AE137"/>
  <c r="AE136" s="1"/>
  <c r="AD137"/>
  <c r="AC137"/>
  <c r="AB137"/>
  <c r="AB136" s="1"/>
  <c r="AA137"/>
  <c r="AA136" s="1"/>
  <c r="W137"/>
  <c r="W136" s="1"/>
  <c r="U137"/>
  <c r="T137"/>
  <c r="T136" s="1"/>
  <c r="S137"/>
  <c r="S136" s="1"/>
  <c r="R137"/>
  <c r="R136" s="1"/>
  <c r="Q137"/>
  <c r="P137"/>
  <c r="P136" s="1"/>
  <c r="L137"/>
  <c r="L136" s="1"/>
  <c r="K137"/>
  <c r="K136" s="1"/>
  <c r="J137"/>
  <c r="I137"/>
  <c r="I136" s="1"/>
  <c r="H137"/>
  <c r="F137" s="1"/>
  <c r="G137"/>
  <c r="AL136"/>
  <c r="AD136"/>
  <c r="AC136"/>
  <c r="U136"/>
  <c r="Q136"/>
  <c r="J136"/>
  <c r="AK135"/>
  <c r="AG135"/>
  <c r="Z135"/>
  <c r="Y135"/>
  <c r="O135"/>
  <c r="N135"/>
  <c r="M135" s="1"/>
  <c r="F135"/>
  <c r="E135"/>
  <c r="D135" s="1"/>
  <c r="C135" s="1"/>
  <c r="AK134"/>
  <c r="AH134"/>
  <c r="Z134"/>
  <c r="Y134"/>
  <c r="X134"/>
  <c r="V134" s="1"/>
  <c r="O134"/>
  <c r="N134"/>
  <c r="M134" s="1"/>
  <c r="F134"/>
  <c r="D134" s="1"/>
  <c r="C134" s="1"/>
  <c r="E134"/>
  <c r="AL133"/>
  <c r="AK133" s="1"/>
  <c r="AG133" s="1"/>
  <c r="AH133"/>
  <c r="Z133"/>
  <c r="Y133"/>
  <c r="X133" s="1"/>
  <c r="V133" s="1"/>
  <c r="O133"/>
  <c r="N133"/>
  <c r="M133"/>
  <c r="F133"/>
  <c r="E133"/>
  <c r="D133" s="1"/>
  <c r="AL132"/>
  <c r="AK132" s="1"/>
  <c r="AH132"/>
  <c r="Z132"/>
  <c r="Y132"/>
  <c r="X132" s="1"/>
  <c r="V132" s="1"/>
  <c r="O132"/>
  <c r="N132"/>
  <c r="M132"/>
  <c r="F132"/>
  <c r="E132"/>
  <c r="D132" s="1"/>
  <c r="AK131"/>
  <c r="AH131"/>
  <c r="AG131" s="1"/>
  <c r="Z131"/>
  <c r="X131" s="1"/>
  <c r="V131" s="1"/>
  <c r="Y131"/>
  <c r="O131"/>
  <c r="M131" s="1"/>
  <c r="N131"/>
  <c r="F131"/>
  <c r="E131"/>
  <c r="D131" s="1"/>
  <c r="AK130"/>
  <c r="AH130"/>
  <c r="AG130" s="1"/>
  <c r="Z130"/>
  <c r="Y130"/>
  <c r="O130"/>
  <c r="N130"/>
  <c r="F130"/>
  <c r="E130"/>
  <c r="AL129"/>
  <c r="AK129" s="1"/>
  <c r="AG129" s="1"/>
  <c r="AH129"/>
  <c r="Z129"/>
  <c r="Y129"/>
  <c r="O129"/>
  <c r="N129"/>
  <c r="F129"/>
  <c r="E129"/>
  <c r="AK128"/>
  <c r="AG128" s="1"/>
  <c r="AH128"/>
  <c r="Z128"/>
  <c r="Y128"/>
  <c r="O128"/>
  <c r="N128"/>
  <c r="F128"/>
  <c r="E128"/>
  <c r="D128"/>
  <c r="AK127"/>
  <c r="AH127"/>
  <c r="Z127"/>
  <c r="Y127"/>
  <c r="X127" s="1"/>
  <c r="V127" s="1"/>
  <c r="C127" s="1"/>
  <c r="O127"/>
  <c r="N127"/>
  <c r="M127"/>
  <c r="F127"/>
  <c r="E127"/>
  <c r="D127" s="1"/>
  <c r="Z126"/>
  <c r="Y126"/>
  <c r="O126"/>
  <c r="N126"/>
  <c r="F126"/>
  <c r="D126" s="1"/>
  <c r="E126"/>
  <c r="AK125"/>
  <c r="AH125"/>
  <c r="Z125"/>
  <c r="Y125"/>
  <c r="X125" s="1"/>
  <c r="V125" s="1"/>
  <c r="O125"/>
  <c r="M125" s="1"/>
  <c r="N125"/>
  <c r="F125"/>
  <c r="E125"/>
  <c r="D125" s="1"/>
  <c r="AK124"/>
  <c r="AG124" s="1"/>
  <c r="AH124"/>
  <c r="Z124"/>
  <c r="Y124"/>
  <c r="X124" s="1"/>
  <c r="V124" s="1"/>
  <c r="O124"/>
  <c r="N124"/>
  <c r="M124" s="1"/>
  <c r="F124"/>
  <c r="E124"/>
  <c r="AK123"/>
  <c r="AG123" s="1"/>
  <c r="AH123"/>
  <c r="Z123"/>
  <c r="Y123"/>
  <c r="O123"/>
  <c r="N123"/>
  <c r="F123"/>
  <c r="E123"/>
  <c r="D123" s="1"/>
  <c r="AK122"/>
  <c r="AH122"/>
  <c r="Z122"/>
  <c r="Y122"/>
  <c r="X122" s="1"/>
  <c r="V122" s="1"/>
  <c r="O122"/>
  <c r="N122"/>
  <c r="M122" s="1"/>
  <c r="F122"/>
  <c r="E122"/>
  <c r="D122" s="1"/>
  <c r="C122" s="1"/>
  <c r="AK121"/>
  <c r="AH121"/>
  <c r="Z121"/>
  <c r="X121" s="1"/>
  <c r="V121" s="1"/>
  <c r="Y121"/>
  <c r="O121"/>
  <c r="N121"/>
  <c r="M121" s="1"/>
  <c r="F121"/>
  <c r="E121"/>
  <c r="D121"/>
  <c r="C121" s="1"/>
  <c r="AK120"/>
  <c r="AH120"/>
  <c r="AG120"/>
  <c r="Z120"/>
  <c r="Y120"/>
  <c r="X120" s="1"/>
  <c r="V120" s="1"/>
  <c r="O120"/>
  <c r="N120"/>
  <c r="M120" s="1"/>
  <c r="F120"/>
  <c r="E120"/>
  <c r="AK119"/>
  <c r="AH119"/>
  <c r="AG119"/>
  <c r="Z119"/>
  <c r="Y119"/>
  <c r="X119" s="1"/>
  <c r="V119" s="1"/>
  <c r="O119"/>
  <c r="N119"/>
  <c r="M119" s="1"/>
  <c r="F119"/>
  <c r="E119"/>
  <c r="D119" s="1"/>
  <c r="AK118"/>
  <c r="AH118"/>
  <c r="Z118"/>
  <c r="Y118"/>
  <c r="X118" s="1"/>
  <c r="V118" s="1"/>
  <c r="O118"/>
  <c r="N118"/>
  <c r="M118" s="1"/>
  <c r="F118"/>
  <c r="E118"/>
  <c r="D118" s="1"/>
  <c r="AK117"/>
  <c r="AH117"/>
  <c r="AA117"/>
  <c r="Y117" s="1"/>
  <c r="Z117"/>
  <c r="O117"/>
  <c r="N117"/>
  <c r="F117"/>
  <c r="E117"/>
  <c r="D117" s="1"/>
  <c r="AO116"/>
  <c r="AM116"/>
  <c r="AJ116"/>
  <c r="AF116"/>
  <c r="AE116"/>
  <c r="AD116"/>
  <c r="AC116"/>
  <c r="AB116"/>
  <c r="AA116"/>
  <c r="W116"/>
  <c r="U116"/>
  <c r="T116"/>
  <c r="S116"/>
  <c r="R116"/>
  <c r="Q116"/>
  <c r="P116"/>
  <c r="L116"/>
  <c r="K116"/>
  <c r="J116"/>
  <c r="I116"/>
  <c r="H116"/>
  <c r="F116" s="1"/>
  <c r="G116"/>
  <c r="E116" s="1"/>
  <c r="K115"/>
  <c r="K114" s="1"/>
  <c r="F115"/>
  <c r="E115"/>
  <c r="D115" s="1"/>
  <c r="C115" s="1"/>
  <c r="AO114"/>
  <c r="AK114"/>
  <c r="AH114"/>
  <c r="AG114"/>
  <c r="AF114"/>
  <c r="AE114"/>
  <c r="AD114"/>
  <c r="AC114"/>
  <c r="AB114"/>
  <c r="AA114"/>
  <c r="Z114"/>
  <c r="Y114"/>
  <c r="X114"/>
  <c r="W114"/>
  <c r="V114"/>
  <c r="U114"/>
  <c r="T114"/>
  <c r="S114"/>
  <c r="R114"/>
  <c r="Q114"/>
  <c r="P114"/>
  <c r="O114"/>
  <c r="N114"/>
  <c r="M114"/>
  <c r="L114"/>
  <c r="J114"/>
  <c r="I114"/>
  <c r="H114"/>
  <c r="F114" s="1"/>
  <c r="G114"/>
  <c r="AK113"/>
  <c r="AG113" s="1"/>
  <c r="Z113"/>
  <c r="Y113"/>
  <c r="R113"/>
  <c r="N113" s="1"/>
  <c r="O113"/>
  <c r="O112" s="1"/>
  <c r="F113"/>
  <c r="E113"/>
  <c r="AM112"/>
  <c r="AL112"/>
  <c r="AH112"/>
  <c r="AG112"/>
  <c r="AF112"/>
  <c r="AE112"/>
  <c r="AD112"/>
  <c r="AC112"/>
  <c r="AB112"/>
  <c r="AA112"/>
  <c r="Z112"/>
  <c r="Y112"/>
  <c r="W112"/>
  <c r="U112"/>
  <c r="T112"/>
  <c r="S112"/>
  <c r="R112"/>
  <c r="Q112"/>
  <c r="P112"/>
  <c r="L112"/>
  <c r="K112"/>
  <c r="J112"/>
  <c r="I112"/>
  <c r="H112"/>
  <c r="G112"/>
  <c r="F112"/>
  <c r="E112"/>
  <c r="D112" s="1"/>
  <c r="AK111"/>
  <c r="AH111"/>
  <c r="Z111"/>
  <c r="Y111"/>
  <c r="O111"/>
  <c r="N111"/>
  <c r="M111" s="1"/>
  <c r="M110" s="1"/>
  <c r="F111"/>
  <c r="E111"/>
  <c r="D111" s="1"/>
  <c r="AM110"/>
  <c r="AL110"/>
  <c r="AJ110"/>
  <c r="AI110"/>
  <c r="AH110"/>
  <c r="AF110"/>
  <c r="AE110"/>
  <c r="AD110"/>
  <c r="AC110"/>
  <c r="AB110"/>
  <c r="AA110"/>
  <c r="Z110"/>
  <c r="W110"/>
  <c r="U110"/>
  <c r="T110"/>
  <c r="S110"/>
  <c r="R110"/>
  <c r="R101" s="1"/>
  <c r="Q110"/>
  <c r="P110"/>
  <c r="O110"/>
  <c r="N110"/>
  <c r="L110"/>
  <c r="K110"/>
  <c r="J110"/>
  <c r="I110"/>
  <c r="H110"/>
  <c r="F110" s="1"/>
  <c r="G110"/>
  <c r="AK109"/>
  <c r="AH109"/>
  <c r="O109"/>
  <c r="O106" s="1"/>
  <c r="N109"/>
  <c r="K109"/>
  <c r="K106" s="1"/>
  <c r="F109"/>
  <c r="E109"/>
  <c r="D109" s="1"/>
  <c r="AK108"/>
  <c r="AH108"/>
  <c r="Z108"/>
  <c r="Y108"/>
  <c r="O108"/>
  <c r="N108"/>
  <c r="F108"/>
  <c r="E108"/>
  <c r="D108" s="1"/>
  <c r="AK107"/>
  <c r="AH107"/>
  <c r="Z107"/>
  <c r="Y107"/>
  <c r="P107"/>
  <c r="P106" s="1"/>
  <c r="O107"/>
  <c r="N107"/>
  <c r="M107" s="1"/>
  <c r="F107"/>
  <c r="E107"/>
  <c r="D107" s="1"/>
  <c r="AM106"/>
  <c r="AL106"/>
  <c r="AJ106"/>
  <c r="AI106"/>
  <c r="AI101" s="1"/>
  <c r="AF106"/>
  <c r="AE106"/>
  <c r="AD106"/>
  <c r="AC106"/>
  <c r="AB106"/>
  <c r="AA106"/>
  <c r="W106"/>
  <c r="U106"/>
  <c r="T106"/>
  <c r="S106"/>
  <c r="R106"/>
  <c r="Q106"/>
  <c r="L106"/>
  <c r="J106"/>
  <c r="I106"/>
  <c r="H106"/>
  <c r="F106" s="1"/>
  <c r="G106"/>
  <c r="AK105"/>
  <c r="AK104" s="1"/>
  <c r="AH105"/>
  <c r="AG105" s="1"/>
  <c r="AG104" s="1"/>
  <c r="Z105"/>
  <c r="Z104" s="1"/>
  <c r="Y105"/>
  <c r="O105"/>
  <c r="N105"/>
  <c r="F105"/>
  <c r="E105"/>
  <c r="AM104"/>
  <c r="AM101" s="1"/>
  <c r="AL104"/>
  <c r="AJ104"/>
  <c r="AJ101" s="1"/>
  <c r="AI104"/>
  <c r="AH104"/>
  <c r="AF104"/>
  <c r="AE104"/>
  <c r="AD104"/>
  <c r="AC104"/>
  <c r="AB104"/>
  <c r="AA104"/>
  <c r="W104"/>
  <c r="U104"/>
  <c r="T104"/>
  <c r="S104"/>
  <c r="R104"/>
  <c r="Q104"/>
  <c r="P104"/>
  <c r="O104"/>
  <c r="N104"/>
  <c r="L104"/>
  <c r="K104"/>
  <c r="J104"/>
  <c r="I104"/>
  <c r="H104"/>
  <c r="G104"/>
  <c r="E104" s="1"/>
  <c r="AK103"/>
  <c r="AH103"/>
  <c r="AH102" s="1"/>
  <c r="Z103"/>
  <c r="Z102" s="1"/>
  <c r="Y103"/>
  <c r="X103"/>
  <c r="V103" s="1"/>
  <c r="V102" s="1"/>
  <c r="O103"/>
  <c r="N103"/>
  <c r="M103" s="1"/>
  <c r="M102" s="1"/>
  <c r="F103"/>
  <c r="E103"/>
  <c r="AK102"/>
  <c r="AF102"/>
  <c r="AF101" s="1"/>
  <c r="AE102"/>
  <c r="AD102"/>
  <c r="AC102"/>
  <c r="AC101" s="1"/>
  <c r="AB102"/>
  <c r="AB101" s="1"/>
  <c r="AA102"/>
  <c r="Y102"/>
  <c r="X102"/>
  <c r="W102"/>
  <c r="U102"/>
  <c r="U101" s="1"/>
  <c r="T102"/>
  <c r="S102"/>
  <c r="R102"/>
  <c r="Q102"/>
  <c r="Q101" s="1"/>
  <c r="P102"/>
  <c r="O102"/>
  <c r="L102"/>
  <c r="K102"/>
  <c r="J102"/>
  <c r="J101" s="1"/>
  <c r="I102"/>
  <c r="I101" s="1"/>
  <c r="H102"/>
  <c r="G102"/>
  <c r="AD101"/>
  <c r="AK100"/>
  <c r="AG100" s="1"/>
  <c r="AH100"/>
  <c r="Z100"/>
  <c r="Y100"/>
  <c r="O100"/>
  <c r="N100"/>
  <c r="M100"/>
  <c r="F100"/>
  <c r="E100"/>
  <c r="D100" s="1"/>
  <c r="C100" s="1"/>
  <c r="AK99"/>
  <c r="AH99"/>
  <c r="AG99" s="1"/>
  <c r="Z99"/>
  <c r="Y99"/>
  <c r="X99" s="1"/>
  <c r="V99" s="1"/>
  <c r="O99"/>
  <c r="N99"/>
  <c r="M99"/>
  <c r="F99"/>
  <c r="E99"/>
  <c r="D99" s="1"/>
  <c r="AK98"/>
  <c r="AG98" s="1"/>
  <c r="AH98"/>
  <c r="Z98"/>
  <c r="Y98"/>
  <c r="O98"/>
  <c r="N98"/>
  <c r="F98"/>
  <c r="E98"/>
  <c r="AK97"/>
  <c r="AG97" s="1"/>
  <c r="AH97"/>
  <c r="Z97"/>
  <c r="Y97"/>
  <c r="O97"/>
  <c r="N97"/>
  <c r="F97"/>
  <c r="E97"/>
  <c r="D97"/>
  <c r="AK96"/>
  <c r="AH96"/>
  <c r="Z96"/>
  <c r="Y96"/>
  <c r="X96" s="1"/>
  <c r="V96" s="1"/>
  <c r="O96"/>
  <c r="N96"/>
  <c r="M96" s="1"/>
  <c r="F96"/>
  <c r="D96" s="1"/>
  <c r="E96"/>
  <c r="AK95"/>
  <c r="AH95"/>
  <c r="AG95" s="1"/>
  <c r="Z95"/>
  <c r="Y95"/>
  <c r="X95" s="1"/>
  <c r="V95" s="1"/>
  <c r="O95"/>
  <c r="M95" s="1"/>
  <c r="N95"/>
  <c r="F95"/>
  <c r="E95"/>
  <c r="D95" s="1"/>
  <c r="AL94"/>
  <c r="AK94" s="1"/>
  <c r="AG94" s="1"/>
  <c r="AH94"/>
  <c r="Z94"/>
  <c r="Y94"/>
  <c r="X94"/>
  <c r="V94" s="1"/>
  <c r="O94"/>
  <c r="N94"/>
  <c r="M94" s="1"/>
  <c r="F94"/>
  <c r="E94"/>
  <c r="AK93"/>
  <c r="AH93"/>
  <c r="AG93"/>
  <c r="Z93"/>
  <c r="Y93"/>
  <c r="O93"/>
  <c r="N93"/>
  <c r="M93" s="1"/>
  <c r="F93"/>
  <c r="E93"/>
  <c r="D93" s="1"/>
  <c r="AK92"/>
  <c r="AH92"/>
  <c r="Z92"/>
  <c r="Y92"/>
  <c r="O92"/>
  <c r="N92"/>
  <c r="F92"/>
  <c r="E92"/>
  <c r="D92" s="1"/>
  <c r="AK91"/>
  <c r="AH91"/>
  <c r="Z91"/>
  <c r="Y91"/>
  <c r="O91"/>
  <c r="M91" s="1"/>
  <c r="N91"/>
  <c r="F91"/>
  <c r="E91"/>
  <c r="D91" s="1"/>
  <c r="AK90"/>
  <c r="AH90"/>
  <c r="Z90"/>
  <c r="Y90"/>
  <c r="X90"/>
  <c r="V90" s="1"/>
  <c r="O90"/>
  <c r="N90"/>
  <c r="M90" s="1"/>
  <c r="F90"/>
  <c r="E90"/>
  <c r="AK89"/>
  <c r="AH89"/>
  <c r="AG89"/>
  <c r="Z89"/>
  <c r="Y89"/>
  <c r="O89"/>
  <c r="N89"/>
  <c r="M89" s="1"/>
  <c r="F89"/>
  <c r="E89"/>
  <c r="D89" s="1"/>
  <c r="AK88"/>
  <c r="AH88"/>
  <c r="Z88"/>
  <c r="Y88"/>
  <c r="O88"/>
  <c r="N88"/>
  <c r="F88"/>
  <c r="E88"/>
  <c r="D88" s="1"/>
  <c r="AK87"/>
  <c r="AH87"/>
  <c r="Z87"/>
  <c r="Y87"/>
  <c r="O87"/>
  <c r="M87" s="1"/>
  <c r="N87"/>
  <c r="F87"/>
  <c r="E87"/>
  <c r="D87" s="1"/>
  <c r="AK86"/>
  <c r="AH86"/>
  <c r="Z86"/>
  <c r="X86" s="1"/>
  <c r="V86" s="1"/>
  <c r="Y86"/>
  <c r="O86"/>
  <c r="M86" s="1"/>
  <c r="N86"/>
  <c r="F86"/>
  <c r="E86"/>
  <c r="AK85"/>
  <c r="AH85"/>
  <c r="AG85"/>
  <c r="Z85"/>
  <c r="Y85"/>
  <c r="O85"/>
  <c r="N85"/>
  <c r="M85" s="1"/>
  <c r="F85"/>
  <c r="E85"/>
  <c r="D85" s="1"/>
  <c r="AK84"/>
  <c r="AH84"/>
  <c r="AG84" s="1"/>
  <c r="Z84"/>
  <c r="Y84"/>
  <c r="X84" s="1"/>
  <c r="V84" s="1"/>
  <c r="O84"/>
  <c r="N84"/>
  <c r="F84"/>
  <c r="E84"/>
  <c r="D84" s="1"/>
  <c r="AK83"/>
  <c r="AH83"/>
  <c r="AG83" s="1"/>
  <c r="Z83"/>
  <c r="Y83"/>
  <c r="X83" s="1"/>
  <c r="V83" s="1"/>
  <c r="T83"/>
  <c r="N83" s="1"/>
  <c r="O83"/>
  <c r="F83"/>
  <c r="E83"/>
  <c r="D83" s="1"/>
  <c r="AO82"/>
  <c r="AM82"/>
  <c r="AM81" s="1"/>
  <c r="AL82"/>
  <c r="AL81" s="1"/>
  <c r="AJ82"/>
  <c r="AJ81" s="1"/>
  <c r="AI82"/>
  <c r="AF82"/>
  <c r="AF81" s="1"/>
  <c r="AE82"/>
  <c r="AE81" s="1"/>
  <c r="AD82"/>
  <c r="AC82"/>
  <c r="AB82"/>
  <c r="AA82"/>
  <c r="AA81" s="1"/>
  <c r="W82"/>
  <c r="W81" s="1"/>
  <c r="U82"/>
  <c r="T82"/>
  <c r="T81" s="1"/>
  <c r="S82"/>
  <c r="R82"/>
  <c r="R81" s="1"/>
  <c r="Q82"/>
  <c r="P82"/>
  <c r="P81" s="1"/>
  <c r="L82"/>
  <c r="K82"/>
  <c r="K81" s="1"/>
  <c r="J82"/>
  <c r="I82"/>
  <c r="I81" s="1"/>
  <c r="H82"/>
  <c r="G82"/>
  <c r="F82"/>
  <c r="AO81"/>
  <c r="AI81"/>
  <c r="AD81"/>
  <c r="AC81"/>
  <c r="AB81"/>
  <c r="U81"/>
  <c r="S81"/>
  <c r="Q81"/>
  <c r="L81"/>
  <c r="J81"/>
  <c r="F81" s="1"/>
  <c r="H81"/>
  <c r="AK80"/>
  <c r="AG80" s="1"/>
  <c r="Z80"/>
  <c r="X80" s="1"/>
  <c r="Y80"/>
  <c r="P80"/>
  <c r="P62" s="1"/>
  <c r="O80"/>
  <c r="K80"/>
  <c r="T80" s="1"/>
  <c r="N80" s="1"/>
  <c r="F80"/>
  <c r="AK79"/>
  <c r="AG79" s="1"/>
  <c r="AC79"/>
  <c r="Z79"/>
  <c r="O79"/>
  <c r="N79"/>
  <c r="F79"/>
  <c r="D79" s="1"/>
  <c r="E79"/>
  <c r="AK78"/>
  <c r="AG78" s="1"/>
  <c r="Z78"/>
  <c r="X78" s="1"/>
  <c r="V78" s="1"/>
  <c r="Y78"/>
  <c r="O78"/>
  <c r="N78"/>
  <c r="M78" s="1"/>
  <c r="F78"/>
  <c r="E78"/>
  <c r="D78"/>
  <c r="AK77"/>
  <c r="AG77"/>
  <c r="Z77"/>
  <c r="Y77"/>
  <c r="O77"/>
  <c r="N77"/>
  <c r="M77" s="1"/>
  <c r="F77"/>
  <c r="E77"/>
  <c r="D77" s="1"/>
  <c r="AK76"/>
  <c r="AG76"/>
  <c r="Z76"/>
  <c r="Y76"/>
  <c r="X76" s="1"/>
  <c r="V76" s="1"/>
  <c r="O76"/>
  <c r="N76"/>
  <c r="M76" s="1"/>
  <c r="F76"/>
  <c r="E76"/>
  <c r="AK75"/>
  <c r="AG75"/>
  <c r="Z75"/>
  <c r="Y75"/>
  <c r="X75" s="1"/>
  <c r="V75" s="1"/>
  <c r="O75"/>
  <c r="N75"/>
  <c r="F75"/>
  <c r="E75"/>
  <c r="AK74"/>
  <c r="AG74" s="1"/>
  <c r="Z74"/>
  <c r="Y74"/>
  <c r="X74"/>
  <c r="V74" s="1"/>
  <c r="O74"/>
  <c r="N74"/>
  <c r="M74" s="1"/>
  <c r="F74"/>
  <c r="D74" s="1"/>
  <c r="E74"/>
  <c r="AK73"/>
  <c r="AG73"/>
  <c r="Z73"/>
  <c r="Y73"/>
  <c r="O73"/>
  <c r="N73"/>
  <c r="M73" s="1"/>
  <c r="F73"/>
  <c r="E73"/>
  <c r="D73" s="1"/>
  <c r="AK72"/>
  <c r="AG72"/>
  <c r="Z72"/>
  <c r="Y72"/>
  <c r="X72" s="1"/>
  <c r="V72" s="1"/>
  <c r="O72"/>
  <c r="N72"/>
  <c r="M72" s="1"/>
  <c r="F72"/>
  <c r="E72"/>
  <c r="D72" s="1"/>
  <c r="AK71"/>
  <c r="AG71" s="1"/>
  <c r="Z71"/>
  <c r="Y71"/>
  <c r="O71"/>
  <c r="M71" s="1"/>
  <c r="N71"/>
  <c r="F71"/>
  <c r="E71"/>
  <c r="AK70"/>
  <c r="AG70" s="1"/>
  <c r="Z70"/>
  <c r="Y70"/>
  <c r="X70" s="1"/>
  <c r="V70" s="1"/>
  <c r="O70"/>
  <c r="M70" s="1"/>
  <c r="N70"/>
  <c r="F70"/>
  <c r="E70"/>
  <c r="D70" s="1"/>
  <c r="AK69"/>
  <c r="AG69" s="1"/>
  <c r="Z69"/>
  <c r="X69" s="1"/>
  <c r="V69" s="1"/>
  <c r="Y69"/>
  <c r="O69"/>
  <c r="M69" s="1"/>
  <c r="N69"/>
  <c r="F69"/>
  <c r="E69"/>
  <c r="AK68"/>
  <c r="AG68" s="1"/>
  <c r="Z68"/>
  <c r="Y68"/>
  <c r="X68" s="1"/>
  <c r="O68"/>
  <c r="N68"/>
  <c r="F68"/>
  <c r="D68" s="1"/>
  <c r="E68"/>
  <c r="AK67"/>
  <c r="AG67" s="1"/>
  <c r="Z67"/>
  <c r="Y67"/>
  <c r="O67"/>
  <c r="N67"/>
  <c r="F67"/>
  <c r="E67"/>
  <c r="D67"/>
  <c r="AK66"/>
  <c r="AG66"/>
  <c r="Z66"/>
  <c r="Y66"/>
  <c r="X66" s="1"/>
  <c r="V66" s="1"/>
  <c r="O66"/>
  <c r="N66"/>
  <c r="M66" s="1"/>
  <c r="F66"/>
  <c r="E66"/>
  <c r="AK65"/>
  <c r="AG65"/>
  <c r="Z65"/>
  <c r="Y65"/>
  <c r="O65"/>
  <c r="N65"/>
  <c r="M65" s="1"/>
  <c r="F65"/>
  <c r="E65"/>
  <c r="D65" s="1"/>
  <c r="AK64"/>
  <c r="AG64" s="1"/>
  <c r="Z64"/>
  <c r="Y64"/>
  <c r="O64"/>
  <c r="N64"/>
  <c r="M64" s="1"/>
  <c r="F64"/>
  <c r="E64"/>
  <c r="AM63"/>
  <c r="AR63" s="1"/>
  <c r="AL63"/>
  <c r="AH63"/>
  <c r="AH62" s="1"/>
  <c r="Z63"/>
  <c r="Y63"/>
  <c r="O63"/>
  <c r="N63"/>
  <c r="F63"/>
  <c r="E63"/>
  <c r="D63" s="1"/>
  <c r="AJ62"/>
  <c r="AI62"/>
  <c r="AF62"/>
  <c r="AE62"/>
  <c r="AD62"/>
  <c r="AB62"/>
  <c r="AA62"/>
  <c r="W62"/>
  <c r="U62"/>
  <c r="S62"/>
  <c r="S45" s="1"/>
  <c r="R62"/>
  <c r="Q62"/>
  <c r="Q45" s="1"/>
  <c r="O62"/>
  <c r="L62"/>
  <c r="K62"/>
  <c r="J62"/>
  <c r="I62"/>
  <c r="H62"/>
  <c r="F62" s="1"/>
  <c r="G62"/>
  <c r="AK61"/>
  <c r="AH61"/>
  <c r="Z61"/>
  <c r="Y61"/>
  <c r="T61"/>
  <c r="O61"/>
  <c r="M61" s="1"/>
  <c r="F61"/>
  <c r="E61"/>
  <c r="D61" s="1"/>
  <c r="C61" s="1"/>
  <c r="AK60"/>
  <c r="AH60"/>
  <c r="AA60"/>
  <c r="Z60"/>
  <c r="Y60"/>
  <c r="X60" s="1"/>
  <c r="V60" s="1"/>
  <c r="O60"/>
  <c r="N60"/>
  <c r="M60" s="1"/>
  <c r="F60"/>
  <c r="E60"/>
  <c r="D60" s="1"/>
  <c r="C60" s="1"/>
  <c r="AK59"/>
  <c r="AH59"/>
  <c r="Z59"/>
  <c r="X59" s="1"/>
  <c r="V59" s="1"/>
  <c r="Y59"/>
  <c r="O59"/>
  <c r="N59"/>
  <c r="M59" s="1"/>
  <c r="F59"/>
  <c r="E59"/>
  <c r="AK58"/>
  <c r="AG58" s="1"/>
  <c r="AH58"/>
  <c r="AA58"/>
  <c r="Z58"/>
  <c r="X58" s="1"/>
  <c r="V58" s="1"/>
  <c r="Y58"/>
  <c r="O58"/>
  <c r="N58"/>
  <c r="M58" s="1"/>
  <c r="F58"/>
  <c r="E58"/>
  <c r="AK57"/>
  <c r="AG57" s="1"/>
  <c r="AH57"/>
  <c r="AA57"/>
  <c r="Y57" s="1"/>
  <c r="X57" s="1"/>
  <c r="V57" s="1"/>
  <c r="Z57"/>
  <c r="O57"/>
  <c r="N57"/>
  <c r="M57" s="1"/>
  <c r="K57"/>
  <c r="F57"/>
  <c r="E57"/>
  <c r="D57" s="1"/>
  <c r="AI56"/>
  <c r="AI46" s="1"/>
  <c r="AI45" s="1"/>
  <c r="Z56"/>
  <c r="X56" s="1"/>
  <c r="V56" s="1"/>
  <c r="Y56"/>
  <c r="O56"/>
  <c r="M56" s="1"/>
  <c r="N56"/>
  <c r="F56"/>
  <c r="E56"/>
  <c r="AK55"/>
  <c r="AG55" s="1"/>
  <c r="AH55"/>
  <c r="Z55"/>
  <c r="Y55"/>
  <c r="P55"/>
  <c r="O55"/>
  <c r="F55"/>
  <c r="D55" s="1"/>
  <c r="E55"/>
  <c r="AK54"/>
  <c r="AG54" s="1"/>
  <c r="AH54"/>
  <c r="Z54"/>
  <c r="X54" s="1"/>
  <c r="V54" s="1"/>
  <c r="Y54"/>
  <c r="O54"/>
  <c r="M54" s="1"/>
  <c r="N54"/>
  <c r="F54"/>
  <c r="E54"/>
  <c r="AK53"/>
  <c r="AG53" s="1"/>
  <c r="AH53"/>
  <c r="Z53"/>
  <c r="Y53"/>
  <c r="O53"/>
  <c r="N53"/>
  <c r="F53"/>
  <c r="E53"/>
  <c r="D53"/>
  <c r="AK52"/>
  <c r="AH52"/>
  <c r="AA52"/>
  <c r="Y52" s="1"/>
  <c r="X52" s="1"/>
  <c r="V52" s="1"/>
  <c r="Z52"/>
  <c r="O52"/>
  <c r="N52"/>
  <c r="F52"/>
  <c r="D52" s="1"/>
  <c r="E52"/>
  <c r="AK51"/>
  <c r="AH51"/>
  <c r="Z51"/>
  <c r="Y51"/>
  <c r="X51" s="1"/>
  <c r="V51" s="1"/>
  <c r="O51"/>
  <c r="M51" s="1"/>
  <c r="N51"/>
  <c r="F51"/>
  <c r="E51"/>
  <c r="D51" s="1"/>
  <c r="AK50"/>
  <c r="AG50" s="1"/>
  <c r="AH50"/>
  <c r="Z50"/>
  <c r="Y50"/>
  <c r="O50"/>
  <c r="N50"/>
  <c r="F50"/>
  <c r="D50" s="1"/>
  <c r="E50"/>
  <c r="AK49"/>
  <c r="AG49" s="1"/>
  <c r="AH49"/>
  <c r="AA49"/>
  <c r="Z49"/>
  <c r="O49"/>
  <c r="N49"/>
  <c r="F49"/>
  <c r="D49" s="1"/>
  <c r="E49"/>
  <c r="AK48"/>
  <c r="AG48" s="1"/>
  <c r="AH48"/>
  <c r="Z48"/>
  <c r="X48" s="1"/>
  <c r="V48" s="1"/>
  <c r="Y48"/>
  <c r="O48"/>
  <c r="M48" s="1"/>
  <c r="N48"/>
  <c r="F48"/>
  <c r="E48"/>
  <c r="AK47"/>
  <c r="AH47"/>
  <c r="AA47"/>
  <c r="Y47" s="1"/>
  <c r="Z47"/>
  <c r="O47"/>
  <c r="N47"/>
  <c r="F47"/>
  <c r="E47"/>
  <c r="D47" s="1"/>
  <c r="AO46"/>
  <c r="AM46"/>
  <c r="AJ46"/>
  <c r="AJ45" s="1"/>
  <c r="AF46"/>
  <c r="AF45" s="1"/>
  <c r="AE46"/>
  <c r="AD46"/>
  <c r="AD45" s="1"/>
  <c r="AC46"/>
  <c r="AB46"/>
  <c r="AB45" s="1"/>
  <c r="W46"/>
  <c r="U46"/>
  <c r="S46"/>
  <c r="R46"/>
  <c r="R45" s="1"/>
  <c r="Q46"/>
  <c r="P46"/>
  <c r="L46"/>
  <c r="L45" s="1"/>
  <c r="K46"/>
  <c r="J46"/>
  <c r="J45" s="1"/>
  <c r="I46"/>
  <c r="I45" s="1"/>
  <c r="H46"/>
  <c r="G46"/>
  <c r="E46" s="1"/>
  <c r="AO45"/>
  <c r="AE45"/>
  <c r="W45"/>
  <c r="U45"/>
  <c r="K45"/>
  <c r="AG44"/>
  <c r="V44"/>
  <c r="O44"/>
  <c r="N44"/>
  <c r="M44" s="1"/>
  <c r="F44"/>
  <c r="E44"/>
  <c r="D44" s="1"/>
  <c r="AK43"/>
  <c r="AG43" s="1"/>
  <c r="V43"/>
  <c r="O43"/>
  <c r="N43"/>
  <c r="F43"/>
  <c r="D43" s="1"/>
  <c r="E43"/>
  <c r="AL42"/>
  <c r="AK42" s="1"/>
  <c r="AG42" s="1"/>
  <c r="Z42"/>
  <c r="X42" s="1"/>
  <c r="V42" s="1"/>
  <c r="Y42"/>
  <c r="O42"/>
  <c r="M42" s="1"/>
  <c r="N42"/>
  <c r="F42"/>
  <c r="E42"/>
  <c r="AK41"/>
  <c r="AG41" s="1"/>
  <c r="AH41"/>
  <c r="Z41"/>
  <c r="Y41"/>
  <c r="O41"/>
  <c r="N41"/>
  <c r="F41"/>
  <c r="E41"/>
  <c r="D41"/>
  <c r="AK40"/>
  <c r="AG40"/>
  <c r="Z40"/>
  <c r="Y40"/>
  <c r="X40" s="1"/>
  <c r="V40" s="1"/>
  <c r="O40"/>
  <c r="N40"/>
  <c r="F40"/>
  <c r="D40" s="1"/>
  <c r="E40"/>
  <c r="AK39"/>
  <c r="AG39" s="1"/>
  <c r="Z39"/>
  <c r="Y39"/>
  <c r="O39"/>
  <c r="N39"/>
  <c r="F39"/>
  <c r="D39" s="1"/>
  <c r="E39"/>
  <c r="AK38"/>
  <c r="AG38"/>
  <c r="Z38"/>
  <c r="Y38"/>
  <c r="X38" s="1"/>
  <c r="V38" s="1"/>
  <c r="O38"/>
  <c r="N38"/>
  <c r="F38"/>
  <c r="D38" s="1"/>
  <c r="E38"/>
  <c r="AK37"/>
  <c r="AG37" s="1"/>
  <c r="Z37"/>
  <c r="Y37"/>
  <c r="X37" s="1"/>
  <c r="V37" s="1"/>
  <c r="O37"/>
  <c r="M37" s="1"/>
  <c r="N37"/>
  <c r="F37"/>
  <c r="E37"/>
  <c r="D37" s="1"/>
  <c r="C37" s="1"/>
  <c r="AK36"/>
  <c r="AG36" s="1"/>
  <c r="Z36"/>
  <c r="Y36"/>
  <c r="O36"/>
  <c r="N36"/>
  <c r="F36"/>
  <c r="E36"/>
  <c r="D36" s="1"/>
  <c r="AK35"/>
  <c r="AG35" s="1"/>
  <c r="Z35"/>
  <c r="Y35"/>
  <c r="X35"/>
  <c r="V35" s="1"/>
  <c r="O35"/>
  <c r="N35"/>
  <c r="M35" s="1"/>
  <c r="F35"/>
  <c r="E35"/>
  <c r="AK34"/>
  <c r="AG34" s="1"/>
  <c r="Z34"/>
  <c r="Y34"/>
  <c r="O34"/>
  <c r="N34"/>
  <c r="F34"/>
  <c r="E34"/>
  <c r="D34" s="1"/>
  <c r="AK33"/>
  <c r="AG33" s="1"/>
  <c r="Z33"/>
  <c r="Y33"/>
  <c r="X33"/>
  <c r="V33" s="1"/>
  <c r="O33"/>
  <c r="N33"/>
  <c r="M33" s="1"/>
  <c r="F33"/>
  <c r="E33"/>
  <c r="AK32"/>
  <c r="AG32" s="1"/>
  <c r="Z32"/>
  <c r="Y32"/>
  <c r="O32"/>
  <c r="N32"/>
  <c r="F32"/>
  <c r="D32" s="1"/>
  <c r="E32"/>
  <c r="AK31"/>
  <c r="AG31" s="1"/>
  <c r="Z31"/>
  <c r="X31" s="1"/>
  <c r="V31" s="1"/>
  <c r="Y31"/>
  <c r="O31"/>
  <c r="M31" s="1"/>
  <c r="N31"/>
  <c r="F31"/>
  <c r="E31"/>
  <c r="AK30"/>
  <c r="AG30" s="1"/>
  <c r="Z30"/>
  <c r="Y30"/>
  <c r="X30" s="1"/>
  <c r="V30" s="1"/>
  <c r="O30"/>
  <c r="N30"/>
  <c r="M30"/>
  <c r="F30"/>
  <c r="E30"/>
  <c r="D30" s="1"/>
  <c r="C30" s="1"/>
  <c r="AK29"/>
  <c r="AG29" s="1"/>
  <c r="Z29"/>
  <c r="Y29"/>
  <c r="O29"/>
  <c r="N29"/>
  <c r="F29"/>
  <c r="E29"/>
  <c r="D29" s="1"/>
  <c r="AP28"/>
  <c r="AO28"/>
  <c r="AM28"/>
  <c r="AL28"/>
  <c r="AL16" s="1"/>
  <c r="AJ28"/>
  <c r="AJ16" s="1"/>
  <c r="AI28"/>
  <c r="AH28"/>
  <c r="AF28"/>
  <c r="AF16" s="1"/>
  <c r="AF15" s="1"/>
  <c r="AF12" s="1"/>
  <c r="AE28"/>
  <c r="AD28"/>
  <c r="AD16" s="1"/>
  <c r="AC28"/>
  <c r="AB28"/>
  <c r="AA28"/>
  <c r="W28"/>
  <c r="U28"/>
  <c r="T28"/>
  <c r="S28"/>
  <c r="R28"/>
  <c r="Q28"/>
  <c r="P28"/>
  <c r="L28"/>
  <c r="K28"/>
  <c r="J28"/>
  <c r="I28"/>
  <c r="E28" s="1"/>
  <c r="H28"/>
  <c r="G28"/>
  <c r="AK27"/>
  <c r="AH27"/>
  <c r="AG27" s="1"/>
  <c r="AE27"/>
  <c r="Z27"/>
  <c r="Y27"/>
  <c r="O27"/>
  <c r="N27"/>
  <c r="F27"/>
  <c r="E27"/>
  <c r="D27"/>
  <c r="AK26"/>
  <c r="AH26"/>
  <c r="AG26" s="1"/>
  <c r="Z26"/>
  <c r="Y26"/>
  <c r="O26"/>
  <c r="N26"/>
  <c r="M26" s="1"/>
  <c r="F26"/>
  <c r="E26"/>
  <c r="AK25"/>
  <c r="AH25"/>
  <c r="Z25"/>
  <c r="Y25"/>
  <c r="X25" s="1"/>
  <c r="V25" s="1"/>
  <c r="O25"/>
  <c r="N25"/>
  <c r="M25" s="1"/>
  <c r="F25"/>
  <c r="E25"/>
  <c r="D25" s="1"/>
  <c r="AK24"/>
  <c r="AG24" s="1"/>
  <c r="AH24"/>
  <c r="Z24"/>
  <c r="Y24"/>
  <c r="X24" s="1"/>
  <c r="V24" s="1"/>
  <c r="O24"/>
  <c r="N24"/>
  <c r="M24" s="1"/>
  <c r="F24"/>
  <c r="E24"/>
  <c r="AK23"/>
  <c r="AH23"/>
  <c r="Z23"/>
  <c r="Y23"/>
  <c r="X23" s="1"/>
  <c r="V23" s="1"/>
  <c r="O23"/>
  <c r="N23"/>
  <c r="M23" s="1"/>
  <c r="K23"/>
  <c r="F23"/>
  <c r="E23"/>
  <c r="AK22"/>
  <c r="AG22" s="1"/>
  <c r="AH22"/>
  <c r="Z22"/>
  <c r="Y22"/>
  <c r="O22"/>
  <c r="N22"/>
  <c r="F22"/>
  <c r="D22" s="1"/>
  <c r="E22"/>
  <c r="AK21"/>
  <c r="AH21"/>
  <c r="AG21" s="1"/>
  <c r="Z21"/>
  <c r="Y21"/>
  <c r="O21"/>
  <c r="N21"/>
  <c r="F21"/>
  <c r="D21" s="1"/>
  <c r="E21"/>
  <c r="AK20"/>
  <c r="AG20" s="1"/>
  <c r="AH20"/>
  <c r="Z20"/>
  <c r="X20" s="1"/>
  <c r="V20" s="1"/>
  <c r="Y20"/>
  <c r="O20"/>
  <c r="M20" s="1"/>
  <c r="N20"/>
  <c r="F20"/>
  <c r="E20"/>
  <c r="AK19"/>
  <c r="AK17" s="1"/>
  <c r="AH19"/>
  <c r="Z19"/>
  <c r="Y19"/>
  <c r="X19"/>
  <c r="V19" s="1"/>
  <c r="O19"/>
  <c r="N19"/>
  <c r="M19" s="1"/>
  <c r="F19"/>
  <c r="E19"/>
  <c r="AK18"/>
  <c r="AG18" s="1"/>
  <c r="AH18"/>
  <c r="Z18"/>
  <c r="Y18"/>
  <c r="O18"/>
  <c r="N18"/>
  <c r="F18"/>
  <c r="E18"/>
  <c r="AP17"/>
  <c r="AP16" s="1"/>
  <c r="AO17"/>
  <c r="AM17"/>
  <c r="AL17"/>
  <c r="AJ17"/>
  <c r="AI17"/>
  <c r="AI16" s="1"/>
  <c r="AF17"/>
  <c r="AE17"/>
  <c r="AD17"/>
  <c r="AC17"/>
  <c r="AB17"/>
  <c r="AA17"/>
  <c r="AA16" s="1"/>
  <c r="W17"/>
  <c r="U17"/>
  <c r="T17"/>
  <c r="S17"/>
  <c r="R17"/>
  <c r="Q17"/>
  <c r="P17"/>
  <c r="L17"/>
  <c r="K17"/>
  <c r="J17"/>
  <c r="I17"/>
  <c r="H17"/>
  <c r="G17"/>
  <c r="G16" s="1"/>
  <c r="AM16"/>
  <c r="AE16"/>
  <c r="AB16"/>
  <c r="W16"/>
  <c r="U16"/>
  <c r="T16"/>
  <c r="S16"/>
  <c r="R16"/>
  <c r="Q16"/>
  <c r="P16"/>
  <c r="L16"/>
  <c r="K16"/>
  <c r="J16"/>
  <c r="H16"/>
  <c r="F16" s="1"/>
  <c r="F14"/>
  <c r="E14"/>
  <c r="D14" s="1"/>
  <c r="C14" s="1"/>
  <c r="F13"/>
  <c r="D13" s="1"/>
  <c r="C13" s="1"/>
  <c r="E13"/>
  <c r="AP12"/>
  <c r="AU5"/>
  <c r="AV6"/>
  <c r="AU4"/>
  <c r="AU2"/>
  <c r="AK110" i="43"/>
  <c r="AH110"/>
  <c r="Z110"/>
  <c r="Y110"/>
  <c r="X110"/>
  <c r="V110" s="1"/>
  <c r="O110"/>
  <c r="N110"/>
  <c r="M110"/>
  <c r="F110"/>
  <c r="E110"/>
  <c r="D110" s="1"/>
  <c r="C110" s="1"/>
  <c r="AK109"/>
  <c r="AH109"/>
  <c r="AG109"/>
  <c r="Z109"/>
  <c r="Y109"/>
  <c r="X109" s="1"/>
  <c r="V109" s="1"/>
  <c r="O109"/>
  <c r="N109"/>
  <c r="M109" s="1"/>
  <c r="F109"/>
  <c r="E109"/>
  <c r="D109" s="1"/>
  <c r="AK108"/>
  <c r="AH108"/>
  <c r="AG108" s="1"/>
  <c r="Z108"/>
  <c r="Y108"/>
  <c r="X108" s="1"/>
  <c r="V108" s="1"/>
  <c r="O108"/>
  <c r="N108"/>
  <c r="M108" s="1"/>
  <c r="F108"/>
  <c r="E108"/>
  <c r="D108"/>
  <c r="C108" s="1"/>
  <c r="AK107"/>
  <c r="AH107"/>
  <c r="Z107"/>
  <c r="Y107"/>
  <c r="X107" s="1"/>
  <c r="V107" s="1"/>
  <c r="O107"/>
  <c r="N107"/>
  <c r="M107" s="1"/>
  <c r="F107"/>
  <c r="E107"/>
  <c r="D107"/>
  <c r="AK106"/>
  <c r="AH106"/>
  <c r="AG106" s="1"/>
  <c r="Z106"/>
  <c r="Y106"/>
  <c r="X106"/>
  <c r="V106" s="1"/>
  <c r="O106"/>
  <c r="N106"/>
  <c r="M106"/>
  <c r="F106"/>
  <c r="D106" s="1"/>
  <c r="C106" s="1"/>
  <c r="E106"/>
  <c r="AK105"/>
  <c r="AH105"/>
  <c r="AG105"/>
  <c r="AN105" s="1"/>
  <c r="Z105"/>
  <c r="X105" s="1"/>
  <c r="V105" s="1"/>
  <c r="Y105"/>
  <c r="O105"/>
  <c r="M105" s="1"/>
  <c r="N105"/>
  <c r="F105"/>
  <c r="E105"/>
  <c r="D105" s="1"/>
  <c r="C105" s="1"/>
  <c r="AK104"/>
  <c r="AG104" s="1"/>
  <c r="AH104"/>
  <c r="Z104"/>
  <c r="Y104"/>
  <c r="X104" s="1"/>
  <c r="V104" s="1"/>
  <c r="O104"/>
  <c r="N104"/>
  <c r="M104" s="1"/>
  <c r="F104"/>
  <c r="E104"/>
  <c r="D104"/>
  <c r="AK103"/>
  <c r="AH103"/>
  <c r="AG103" s="1"/>
  <c r="Z103"/>
  <c r="Y103"/>
  <c r="X103" s="1"/>
  <c r="V103" s="1"/>
  <c r="O103"/>
  <c r="N103"/>
  <c r="M103" s="1"/>
  <c r="F103"/>
  <c r="E103"/>
  <c r="D103"/>
  <c r="C103" s="1"/>
  <c r="AK102"/>
  <c r="AH102"/>
  <c r="Z102"/>
  <c r="Y102"/>
  <c r="X102"/>
  <c r="V102" s="1"/>
  <c r="O102"/>
  <c r="N102"/>
  <c r="M102"/>
  <c r="F102"/>
  <c r="D102" s="1"/>
  <c r="C102" s="1"/>
  <c r="E102"/>
  <c r="AK101"/>
  <c r="AG101" s="1"/>
  <c r="AH101"/>
  <c r="Z101"/>
  <c r="X101" s="1"/>
  <c r="V101" s="1"/>
  <c r="Y101"/>
  <c r="O101"/>
  <c r="M101" s="1"/>
  <c r="N101"/>
  <c r="F101"/>
  <c r="E101"/>
  <c r="D101" s="1"/>
  <c r="AK100"/>
  <c r="AG100" s="1"/>
  <c r="AH100"/>
  <c r="Z100"/>
  <c r="Y100"/>
  <c r="X100" s="1"/>
  <c r="V100" s="1"/>
  <c r="O100"/>
  <c r="N100"/>
  <c r="M100" s="1"/>
  <c r="F100"/>
  <c r="E100"/>
  <c r="D100"/>
  <c r="C100" s="1"/>
  <c r="AK99"/>
  <c r="AH99"/>
  <c r="Z99"/>
  <c r="Y99"/>
  <c r="X99" s="1"/>
  <c r="V99" s="1"/>
  <c r="O99"/>
  <c r="N99"/>
  <c r="M99" s="1"/>
  <c r="F99"/>
  <c r="E99"/>
  <c r="D99"/>
  <c r="AK98"/>
  <c r="AH98"/>
  <c r="AG98" s="1"/>
  <c r="Z98"/>
  <c r="Y98"/>
  <c r="X98"/>
  <c r="V98" s="1"/>
  <c r="O98"/>
  <c r="N98"/>
  <c r="M98"/>
  <c r="F98"/>
  <c r="D98" s="1"/>
  <c r="C98" s="1"/>
  <c r="E98"/>
  <c r="AK97"/>
  <c r="AH97"/>
  <c r="AG97"/>
  <c r="Z97"/>
  <c r="X97" s="1"/>
  <c r="V97" s="1"/>
  <c r="Y97"/>
  <c r="O97"/>
  <c r="M97" s="1"/>
  <c r="N97"/>
  <c r="F97"/>
  <c r="E97"/>
  <c r="D97" s="1"/>
  <c r="C97" s="1"/>
  <c r="AK96"/>
  <c r="AG96" s="1"/>
  <c r="AH96"/>
  <c r="Z96"/>
  <c r="Y96"/>
  <c r="X96" s="1"/>
  <c r="V96" s="1"/>
  <c r="O96"/>
  <c r="N96"/>
  <c r="M96" s="1"/>
  <c r="F96"/>
  <c r="E96"/>
  <c r="D96"/>
  <c r="AK95"/>
  <c r="AH95"/>
  <c r="AG95" s="1"/>
  <c r="Z95"/>
  <c r="Y95"/>
  <c r="Y92" s="1"/>
  <c r="X95"/>
  <c r="V95" s="1"/>
  <c r="O95"/>
  <c r="N95"/>
  <c r="M95" s="1"/>
  <c r="F95"/>
  <c r="E95"/>
  <c r="D95"/>
  <c r="AK94"/>
  <c r="AH94"/>
  <c r="AG94" s="1"/>
  <c r="Z94"/>
  <c r="Y94"/>
  <c r="X94"/>
  <c r="V94" s="1"/>
  <c r="O94"/>
  <c r="N94"/>
  <c r="M94"/>
  <c r="F94"/>
  <c r="D94" s="1"/>
  <c r="C94" s="1"/>
  <c r="E94"/>
  <c r="Z93"/>
  <c r="X93" s="1"/>
  <c r="Y93"/>
  <c r="O93"/>
  <c r="N93"/>
  <c r="M93" s="1"/>
  <c r="M92" s="1"/>
  <c r="F93"/>
  <c r="E93"/>
  <c r="D93" s="1"/>
  <c r="AL72"/>
  <c r="AJ72"/>
  <c r="AJ19" s="1"/>
  <c r="AJ18" s="1"/>
  <c r="AF92"/>
  <c r="AE92"/>
  <c r="AD92"/>
  <c r="AC92"/>
  <c r="AC72" s="1"/>
  <c r="AC19" s="1"/>
  <c r="AC18" s="1"/>
  <c r="AB92"/>
  <c r="AA92"/>
  <c r="W92"/>
  <c r="U92"/>
  <c r="T92"/>
  <c r="S92"/>
  <c r="R92"/>
  <c r="Q92"/>
  <c r="P92"/>
  <c r="O92"/>
  <c r="F92"/>
  <c r="E92"/>
  <c r="D92" s="1"/>
  <c r="AK91"/>
  <c r="AH91"/>
  <c r="Z91"/>
  <c r="Y91"/>
  <c r="X91" s="1"/>
  <c r="V91" s="1"/>
  <c r="O91"/>
  <c r="N91"/>
  <c r="M91" s="1"/>
  <c r="F91"/>
  <c r="E91"/>
  <c r="D91"/>
  <c r="AK90"/>
  <c r="AH90"/>
  <c r="Z90"/>
  <c r="Y90"/>
  <c r="X90"/>
  <c r="V90" s="1"/>
  <c r="C90" s="1"/>
  <c r="O90"/>
  <c r="N90"/>
  <c r="M90"/>
  <c r="F90"/>
  <c r="E90"/>
  <c r="D90"/>
  <c r="AK89"/>
  <c r="AH89"/>
  <c r="AG89"/>
  <c r="Z89"/>
  <c r="Y89"/>
  <c r="X89"/>
  <c r="V89"/>
  <c r="O89"/>
  <c r="N89"/>
  <c r="M89"/>
  <c r="F89"/>
  <c r="D89" s="1"/>
  <c r="C89" s="1"/>
  <c r="E89"/>
  <c r="AK88"/>
  <c r="AG88" s="1"/>
  <c r="AH88"/>
  <c r="Z88"/>
  <c r="X88" s="1"/>
  <c r="V88" s="1"/>
  <c r="Y88"/>
  <c r="O88"/>
  <c r="M88" s="1"/>
  <c r="N88"/>
  <c r="F88"/>
  <c r="E88"/>
  <c r="D88" s="1"/>
  <c r="AK87"/>
  <c r="AG87" s="1"/>
  <c r="AH87"/>
  <c r="Z87"/>
  <c r="Y87"/>
  <c r="X87" s="1"/>
  <c r="V87" s="1"/>
  <c r="O87"/>
  <c r="N87"/>
  <c r="M87" s="1"/>
  <c r="F87"/>
  <c r="E87"/>
  <c r="D87"/>
  <c r="C87" s="1"/>
  <c r="AK86"/>
  <c r="AH86"/>
  <c r="AG86" s="1"/>
  <c r="AN86" s="1"/>
  <c r="Z86"/>
  <c r="Y86"/>
  <c r="X86"/>
  <c r="V86" s="1"/>
  <c r="C86" s="1"/>
  <c r="O86"/>
  <c r="N86"/>
  <c r="M86"/>
  <c r="F86"/>
  <c r="E86"/>
  <c r="D86"/>
  <c r="AK85"/>
  <c r="AG85" s="1"/>
  <c r="AH85"/>
  <c r="Z85"/>
  <c r="Y85"/>
  <c r="X85"/>
  <c r="V85"/>
  <c r="O85"/>
  <c r="N85"/>
  <c r="M85"/>
  <c r="F85"/>
  <c r="D85" s="1"/>
  <c r="C85" s="1"/>
  <c r="E85"/>
  <c r="AK84"/>
  <c r="AG84" s="1"/>
  <c r="AH84"/>
  <c r="Z84"/>
  <c r="X84" s="1"/>
  <c r="V84" s="1"/>
  <c r="Y84"/>
  <c r="O84"/>
  <c r="M84" s="1"/>
  <c r="N84"/>
  <c r="F84"/>
  <c r="E84"/>
  <c r="D84" s="1"/>
  <c r="C84" s="1"/>
  <c r="AK83"/>
  <c r="AG83" s="1"/>
  <c r="AH83"/>
  <c r="Z83"/>
  <c r="Y83"/>
  <c r="X83" s="1"/>
  <c r="V83" s="1"/>
  <c r="O83"/>
  <c r="N83"/>
  <c r="M83" s="1"/>
  <c r="F83"/>
  <c r="E83"/>
  <c r="D83"/>
  <c r="AK82"/>
  <c r="AH82"/>
  <c r="Z82"/>
  <c r="Y82"/>
  <c r="X82"/>
  <c r="V82" s="1"/>
  <c r="O82"/>
  <c r="N82"/>
  <c r="M82"/>
  <c r="F82"/>
  <c r="E82"/>
  <c r="D82"/>
  <c r="AK81"/>
  <c r="AG81" s="1"/>
  <c r="AH81"/>
  <c r="Z81"/>
  <c r="Y81"/>
  <c r="X81"/>
  <c r="V81"/>
  <c r="O81"/>
  <c r="N81"/>
  <c r="M81"/>
  <c r="F81"/>
  <c r="D81" s="1"/>
  <c r="C81" s="1"/>
  <c r="E81"/>
  <c r="AK80"/>
  <c r="AG80" s="1"/>
  <c r="AH80"/>
  <c r="Z80"/>
  <c r="X80" s="1"/>
  <c r="V80" s="1"/>
  <c r="Y80"/>
  <c r="O80"/>
  <c r="M80" s="1"/>
  <c r="N80"/>
  <c r="F80"/>
  <c r="E80"/>
  <c r="D80" s="1"/>
  <c r="AK79"/>
  <c r="AG79" s="1"/>
  <c r="AH79"/>
  <c r="Z79"/>
  <c r="Y79"/>
  <c r="X79" s="1"/>
  <c r="V79" s="1"/>
  <c r="O79"/>
  <c r="N79"/>
  <c r="M79" s="1"/>
  <c r="F79"/>
  <c r="E79"/>
  <c r="D79"/>
  <c r="C79" s="1"/>
  <c r="AK78"/>
  <c r="AH78"/>
  <c r="AG78" s="1"/>
  <c r="Z78"/>
  <c r="Y78"/>
  <c r="X78"/>
  <c r="V78" s="1"/>
  <c r="O78"/>
  <c r="N78"/>
  <c r="M78"/>
  <c r="F78"/>
  <c r="E78"/>
  <c r="D78"/>
  <c r="AK77"/>
  <c r="AH77"/>
  <c r="AG77"/>
  <c r="Z77"/>
  <c r="Y77"/>
  <c r="X77"/>
  <c r="V77"/>
  <c r="O77"/>
  <c r="N77"/>
  <c r="M77"/>
  <c r="F77"/>
  <c r="D77" s="1"/>
  <c r="C77" s="1"/>
  <c r="E77"/>
  <c r="AK76"/>
  <c r="AH76"/>
  <c r="AG76"/>
  <c r="Z76"/>
  <c r="X76" s="1"/>
  <c r="V76" s="1"/>
  <c r="Y76"/>
  <c r="O76"/>
  <c r="M76" s="1"/>
  <c r="N76"/>
  <c r="F76"/>
  <c r="E76"/>
  <c r="D76" s="1"/>
  <c r="C76" s="1"/>
  <c r="AK75"/>
  <c r="AG75" s="1"/>
  <c r="AH75"/>
  <c r="Z75"/>
  <c r="Y75"/>
  <c r="X75" s="1"/>
  <c r="V75" s="1"/>
  <c r="O75"/>
  <c r="N75"/>
  <c r="M75" s="1"/>
  <c r="F75"/>
  <c r="E75"/>
  <c r="D75"/>
  <c r="AH74"/>
  <c r="Z74"/>
  <c r="Y74"/>
  <c r="X74"/>
  <c r="V74" s="1"/>
  <c r="V73" s="1"/>
  <c r="O74"/>
  <c r="N74"/>
  <c r="N73" s="1"/>
  <c r="M74"/>
  <c r="F74"/>
  <c r="E74"/>
  <c r="D74"/>
  <c r="AM73"/>
  <c r="AL73"/>
  <c r="AF73"/>
  <c r="AF72" s="1"/>
  <c r="AF19" s="1"/>
  <c r="AF18" s="1"/>
  <c r="AE73"/>
  <c r="AD73"/>
  <c r="AC73"/>
  <c r="AB73"/>
  <c r="Z73" s="1"/>
  <c r="AA73"/>
  <c r="Y73" s="1"/>
  <c r="W73"/>
  <c r="W72" s="1"/>
  <c r="U73"/>
  <c r="T73"/>
  <c r="T72" s="1"/>
  <c r="S73"/>
  <c r="S72" s="1"/>
  <c r="R73"/>
  <c r="Q73"/>
  <c r="P73"/>
  <c r="P72" s="1"/>
  <c r="O73"/>
  <c r="O72" s="1"/>
  <c r="L73"/>
  <c r="L72" s="1"/>
  <c r="L19" s="1"/>
  <c r="L18" s="1"/>
  <c r="K73"/>
  <c r="K72" s="1"/>
  <c r="J73"/>
  <c r="I73"/>
  <c r="H73"/>
  <c r="F73" s="1"/>
  <c r="G73"/>
  <c r="E73" s="1"/>
  <c r="AD72"/>
  <c r="U72"/>
  <c r="R72"/>
  <c r="Q72"/>
  <c r="J72"/>
  <c r="I72"/>
  <c r="AK71"/>
  <c r="AG71" s="1"/>
  <c r="AH71"/>
  <c r="AC71"/>
  <c r="Y71" s="1"/>
  <c r="X71" s="1"/>
  <c r="V71" s="1"/>
  <c r="Z71"/>
  <c r="O71"/>
  <c r="M71" s="1"/>
  <c r="N71"/>
  <c r="F71"/>
  <c r="E71"/>
  <c r="D71" s="1"/>
  <c r="AH70"/>
  <c r="AG70" s="1"/>
  <c r="Z70"/>
  <c r="Y70"/>
  <c r="X70" s="1"/>
  <c r="V70" s="1"/>
  <c r="V69" s="1"/>
  <c r="O70"/>
  <c r="O69" s="1"/>
  <c r="O66" s="1"/>
  <c r="N70"/>
  <c r="M70" s="1"/>
  <c r="F70"/>
  <c r="E70"/>
  <c r="D70"/>
  <c r="AM69"/>
  <c r="AL69"/>
  <c r="AK69"/>
  <c r="AJ69"/>
  <c r="AI69"/>
  <c r="AH69"/>
  <c r="AE69"/>
  <c r="AD69"/>
  <c r="AC69"/>
  <c r="AB69"/>
  <c r="Z69" s="1"/>
  <c r="AA69"/>
  <c r="Y69"/>
  <c r="W69"/>
  <c r="U69"/>
  <c r="T69"/>
  <c r="S69"/>
  <c r="R69"/>
  <c r="Q69"/>
  <c r="P69"/>
  <c r="L69"/>
  <c r="K69"/>
  <c r="J69"/>
  <c r="F69"/>
  <c r="E69"/>
  <c r="D69" s="1"/>
  <c r="AK68"/>
  <c r="AG68" s="1"/>
  <c r="AH68"/>
  <c r="Z68"/>
  <c r="Y68"/>
  <c r="X68" s="1"/>
  <c r="V68" s="1"/>
  <c r="V67" s="1"/>
  <c r="O68"/>
  <c r="N68"/>
  <c r="M68" s="1"/>
  <c r="F68"/>
  <c r="E68"/>
  <c r="D68" s="1"/>
  <c r="AM67"/>
  <c r="AM66" s="1"/>
  <c r="AL67"/>
  <c r="AL66" s="1"/>
  <c r="AJ67"/>
  <c r="AI67"/>
  <c r="AI66" s="1"/>
  <c r="AH67"/>
  <c r="AH66" s="1"/>
  <c r="AF67"/>
  <c r="AE67"/>
  <c r="AE66" s="1"/>
  <c r="AD67"/>
  <c r="AD66" s="1"/>
  <c r="AC67"/>
  <c r="AB67"/>
  <c r="AA67"/>
  <c r="Y67" s="1"/>
  <c r="X67" s="1"/>
  <c r="Z67"/>
  <c r="W67"/>
  <c r="W66" s="1"/>
  <c r="O67"/>
  <c r="N67"/>
  <c r="M67"/>
  <c r="F67"/>
  <c r="D67" s="1"/>
  <c r="E67"/>
  <c r="AJ66"/>
  <c r="AF66"/>
  <c r="AC66"/>
  <c r="AB66"/>
  <c r="Z66" s="1"/>
  <c r="U66"/>
  <c r="T66"/>
  <c r="S66"/>
  <c r="R66"/>
  <c r="Q66"/>
  <c r="P66"/>
  <c r="F66"/>
  <c r="D66" s="1"/>
  <c r="E66"/>
  <c r="Z65"/>
  <c r="X65" s="1"/>
  <c r="Y65"/>
  <c r="O65"/>
  <c r="N65"/>
  <c r="M65" s="1"/>
  <c r="F65"/>
  <c r="E65"/>
  <c r="D65"/>
  <c r="Z64"/>
  <c r="Y64"/>
  <c r="X64" s="1"/>
  <c r="V64" s="1"/>
  <c r="V63" s="1"/>
  <c r="O64"/>
  <c r="N64"/>
  <c r="M64" s="1"/>
  <c r="F64"/>
  <c r="E64"/>
  <c r="D64"/>
  <c r="AH63"/>
  <c r="AG63"/>
  <c r="AF63"/>
  <c r="AE63"/>
  <c r="AD63"/>
  <c r="AC63"/>
  <c r="AB63"/>
  <c r="Z63" s="1"/>
  <c r="AA63"/>
  <c r="Y63"/>
  <c r="W63"/>
  <c r="U63"/>
  <c r="T63"/>
  <c r="S63"/>
  <c r="R63"/>
  <c r="Q63"/>
  <c r="O63" s="1"/>
  <c r="P63"/>
  <c r="N63" s="1"/>
  <c r="L63"/>
  <c r="K63"/>
  <c r="J63"/>
  <c r="I63"/>
  <c r="H63"/>
  <c r="F63" s="1"/>
  <c r="G63"/>
  <c r="E63"/>
  <c r="D63" s="1"/>
  <c r="AH62"/>
  <c r="AG62"/>
  <c r="Z62"/>
  <c r="X62" s="1"/>
  <c r="Y62"/>
  <c r="O62"/>
  <c r="N62"/>
  <c r="M62" s="1"/>
  <c r="F62"/>
  <c r="E62"/>
  <c r="D62" s="1"/>
  <c r="AH61"/>
  <c r="AG61"/>
  <c r="Z61"/>
  <c r="Y61"/>
  <c r="X61" s="1"/>
  <c r="O61"/>
  <c r="O59" s="1"/>
  <c r="O57" s="1"/>
  <c r="N61"/>
  <c r="N59" s="1"/>
  <c r="N57" s="1"/>
  <c r="N56" s="1"/>
  <c r="F61"/>
  <c r="E61"/>
  <c r="D61"/>
  <c r="AK60"/>
  <c r="AH60"/>
  <c r="AH59" s="1"/>
  <c r="AH57" s="1"/>
  <c r="AH56" s="1"/>
  <c r="Z60"/>
  <c r="Y60"/>
  <c r="X60"/>
  <c r="V60" s="1"/>
  <c r="V59" s="1"/>
  <c r="V57" s="1"/>
  <c r="O60"/>
  <c r="N60"/>
  <c r="M60"/>
  <c r="F60"/>
  <c r="D60" s="1"/>
  <c r="C60" s="1"/>
  <c r="E60"/>
  <c r="AM59"/>
  <c r="AL59"/>
  <c r="AK59"/>
  <c r="AK57" s="1"/>
  <c r="AK56" s="1"/>
  <c r="AJ59"/>
  <c r="AJ57" s="1"/>
  <c r="AJ56" s="1"/>
  <c r="AI59"/>
  <c r="AF59"/>
  <c r="AF57" s="1"/>
  <c r="AF56" s="1"/>
  <c r="AE59"/>
  <c r="AD59"/>
  <c r="AC59"/>
  <c r="AC57" s="1"/>
  <c r="AC56" s="1"/>
  <c r="AB59"/>
  <c r="Z59" s="1"/>
  <c r="AA59"/>
  <c r="Y59"/>
  <c r="X59" s="1"/>
  <c r="W59"/>
  <c r="U59"/>
  <c r="U57" s="1"/>
  <c r="U56" s="1"/>
  <c r="T59"/>
  <c r="T57" s="1"/>
  <c r="T56" s="1"/>
  <c r="S59"/>
  <c r="R59"/>
  <c r="Q59"/>
  <c r="Q57" s="1"/>
  <c r="Q56" s="1"/>
  <c r="P59"/>
  <c r="P57" s="1"/>
  <c r="P56" s="1"/>
  <c r="L59"/>
  <c r="L57" s="1"/>
  <c r="L56" s="1"/>
  <c r="K59"/>
  <c r="J59"/>
  <c r="I59"/>
  <c r="I57" s="1"/>
  <c r="I56" s="1"/>
  <c r="H59"/>
  <c r="F59" s="1"/>
  <c r="G59"/>
  <c r="E59"/>
  <c r="AH58"/>
  <c r="AG58"/>
  <c r="Z58"/>
  <c r="X58" s="1"/>
  <c r="Y58"/>
  <c r="O58"/>
  <c r="N58"/>
  <c r="M58" s="1"/>
  <c r="F58"/>
  <c r="E58"/>
  <c r="D58" s="1"/>
  <c r="AM57"/>
  <c r="AM56" s="1"/>
  <c r="AL57"/>
  <c r="AL56" s="1"/>
  <c r="AI57"/>
  <c r="AI56" s="1"/>
  <c r="AE57"/>
  <c r="AE56" s="1"/>
  <c r="AD57"/>
  <c r="AD56" s="1"/>
  <c r="AA57"/>
  <c r="W57"/>
  <c r="W56" s="1"/>
  <c r="S57"/>
  <c r="S56" s="1"/>
  <c r="R57"/>
  <c r="R56" s="1"/>
  <c r="K57"/>
  <c r="K56" s="1"/>
  <c r="J57"/>
  <c r="J56" s="1"/>
  <c r="G57"/>
  <c r="AK55"/>
  <c r="AK54" s="1"/>
  <c r="AH55"/>
  <c r="AG55" s="1"/>
  <c r="Z55"/>
  <c r="Y55"/>
  <c r="X55" s="1"/>
  <c r="V55" s="1"/>
  <c r="V54" s="1"/>
  <c r="O55"/>
  <c r="N55"/>
  <c r="M55" s="1"/>
  <c r="F55"/>
  <c r="E55"/>
  <c r="D55"/>
  <c r="C55" s="1"/>
  <c r="C54" s="1"/>
  <c r="AM54"/>
  <c r="AL54"/>
  <c r="AF54"/>
  <c r="AF39" s="1"/>
  <c r="AE54"/>
  <c r="AD54"/>
  <c r="AC54"/>
  <c r="AB54"/>
  <c r="Z54" s="1"/>
  <c r="AA54"/>
  <c r="Y54" s="1"/>
  <c r="X54" s="1"/>
  <c r="W54"/>
  <c r="U54"/>
  <c r="T54"/>
  <c r="T39" s="1"/>
  <c r="S54"/>
  <c r="R54"/>
  <c r="Q54"/>
  <c r="P54"/>
  <c r="N54" s="1"/>
  <c r="M54" s="1"/>
  <c r="O54"/>
  <c r="L54"/>
  <c r="L39" s="1"/>
  <c r="K54"/>
  <c r="J54"/>
  <c r="I54"/>
  <c r="H54"/>
  <c r="F54" s="1"/>
  <c r="G54"/>
  <c r="E54" s="1"/>
  <c r="D54" s="1"/>
  <c r="AH53"/>
  <c r="AG53"/>
  <c r="Z53"/>
  <c r="Y53"/>
  <c r="O53"/>
  <c r="N53"/>
  <c r="F53"/>
  <c r="E53"/>
  <c r="D53" s="1"/>
  <c r="AH52"/>
  <c r="AG52"/>
  <c r="Z52"/>
  <c r="X52" s="1"/>
  <c r="V52" s="1"/>
  <c r="Y52"/>
  <c r="O52"/>
  <c r="M52"/>
  <c r="I52"/>
  <c r="R52" s="1"/>
  <c r="N52" s="1"/>
  <c r="F52"/>
  <c r="AK51"/>
  <c r="AH51"/>
  <c r="AG51" s="1"/>
  <c r="Z51"/>
  <c r="Y51"/>
  <c r="X51"/>
  <c r="V51" s="1"/>
  <c r="C51" s="1"/>
  <c r="O51"/>
  <c r="N51"/>
  <c r="M51"/>
  <c r="F51"/>
  <c r="E51"/>
  <c r="D51" s="1"/>
  <c r="AK50"/>
  <c r="AH50"/>
  <c r="AG50"/>
  <c r="Z50"/>
  <c r="Y50"/>
  <c r="X50" s="1"/>
  <c r="V50"/>
  <c r="S50"/>
  <c r="O50" s="1"/>
  <c r="F50"/>
  <c r="AK49"/>
  <c r="AH49"/>
  <c r="AH40" s="1"/>
  <c r="Z49"/>
  <c r="Y49"/>
  <c r="X49"/>
  <c r="V49" s="1"/>
  <c r="O49"/>
  <c r="N49"/>
  <c r="M49"/>
  <c r="F49"/>
  <c r="E49"/>
  <c r="D49" s="1"/>
  <c r="C49" s="1"/>
  <c r="AK48"/>
  <c r="AH48"/>
  <c r="AG48"/>
  <c r="Z48"/>
  <c r="Y48"/>
  <c r="O48"/>
  <c r="N48"/>
  <c r="M48" s="1"/>
  <c r="F48"/>
  <c r="E48"/>
  <c r="D48" s="1"/>
  <c r="Z47"/>
  <c r="Y47"/>
  <c r="X47" s="1"/>
  <c r="O47"/>
  <c r="N47"/>
  <c r="M47" s="1"/>
  <c r="F47"/>
  <c r="E47"/>
  <c r="D47"/>
  <c r="AK46"/>
  <c r="AH46"/>
  <c r="AG46"/>
  <c r="Z46"/>
  <c r="Y46"/>
  <c r="X46" s="1"/>
  <c r="V46" s="1"/>
  <c r="O46"/>
  <c r="O40" s="1"/>
  <c r="O39" s="1"/>
  <c r="N46"/>
  <c r="F46"/>
  <c r="E46"/>
  <c r="AK45"/>
  <c r="AH45"/>
  <c r="AG45" s="1"/>
  <c r="Z45"/>
  <c r="Y45"/>
  <c r="X45" s="1"/>
  <c r="V45" s="1"/>
  <c r="O45"/>
  <c r="N45"/>
  <c r="M45" s="1"/>
  <c r="F45"/>
  <c r="E45"/>
  <c r="D45" s="1"/>
  <c r="C45" s="1"/>
  <c r="AN45" s="1"/>
  <c r="AK44"/>
  <c r="AH44"/>
  <c r="Z44"/>
  <c r="Y44"/>
  <c r="X44"/>
  <c r="V44" s="1"/>
  <c r="O44"/>
  <c r="N44"/>
  <c r="M44" s="1"/>
  <c r="F44"/>
  <c r="E44"/>
  <c r="D44"/>
  <c r="AK43"/>
  <c r="AH43"/>
  <c r="AG43"/>
  <c r="Z43"/>
  <c r="Y43"/>
  <c r="X43"/>
  <c r="V43"/>
  <c r="O43"/>
  <c r="N43"/>
  <c r="M43"/>
  <c r="F43"/>
  <c r="D43" s="1"/>
  <c r="C43" s="1"/>
  <c r="E43"/>
  <c r="AK42"/>
  <c r="AG42" s="1"/>
  <c r="AH42"/>
  <c r="Z42"/>
  <c r="Y42"/>
  <c r="X42" s="1"/>
  <c r="V42" s="1"/>
  <c r="O42"/>
  <c r="N42"/>
  <c r="M42" s="1"/>
  <c r="F42"/>
  <c r="E42"/>
  <c r="D42" s="1"/>
  <c r="C42" s="1"/>
  <c r="AK41"/>
  <c r="AK40" s="1"/>
  <c r="AH41"/>
  <c r="Z41"/>
  <c r="Y41"/>
  <c r="X41"/>
  <c r="V41" s="1"/>
  <c r="O41"/>
  <c r="N41"/>
  <c r="M41" s="1"/>
  <c r="F41"/>
  <c r="E41"/>
  <c r="D41"/>
  <c r="AO40"/>
  <c r="AM40"/>
  <c r="AM39" s="1"/>
  <c r="AL40"/>
  <c r="AL39" s="1"/>
  <c r="AJ40"/>
  <c r="AI40"/>
  <c r="AI39" s="1"/>
  <c r="AF40"/>
  <c r="AE40"/>
  <c r="AE39" s="1"/>
  <c r="AD40"/>
  <c r="AC40"/>
  <c r="AB40"/>
  <c r="AA40"/>
  <c r="Z40"/>
  <c r="W40"/>
  <c r="W39" s="1"/>
  <c r="U40"/>
  <c r="T40"/>
  <c r="S40"/>
  <c r="S39" s="1"/>
  <c r="Q40"/>
  <c r="P40"/>
  <c r="L40"/>
  <c r="K40"/>
  <c r="J40"/>
  <c r="H40"/>
  <c r="G40"/>
  <c r="F40"/>
  <c r="AO39"/>
  <c r="AK39"/>
  <c r="AJ39"/>
  <c r="AD39"/>
  <c r="AD19" s="1"/>
  <c r="AD18" s="1"/>
  <c r="AC39"/>
  <c r="U39"/>
  <c r="Q39"/>
  <c r="J39"/>
  <c r="J19" s="1"/>
  <c r="J18" s="1"/>
  <c r="AG38"/>
  <c r="Z38"/>
  <c r="Y38"/>
  <c r="X38" s="1"/>
  <c r="V38" s="1"/>
  <c r="O38"/>
  <c r="N38"/>
  <c r="F38"/>
  <c r="E38"/>
  <c r="AH37"/>
  <c r="AG37" s="1"/>
  <c r="Z37"/>
  <c r="Y37"/>
  <c r="X37"/>
  <c r="V37" s="1"/>
  <c r="O37"/>
  <c r="N37"/>
  <c r="M37" s="1"/>
  <c r="F37"/>
  <c r="E37"/>
  <c r="D37"/>
  <c r="AH36"/>
  <c r="AG36"/>
  <c r="Z36"/>
  <c r="Y36"/>
  <c r="O36"/>
  <c r="N36"/>
  <c r="M36" s="1"/>
  <c r="F36"/>
  <c r="E36"/>
  <c r="D36" s="1"/>
  <c r="AK35"/>
  <c r="AH35"/>
  <c r="Z35"/>
  <c r="Y35"/>
  <c r="O35"/>
  <c r="N35"/>
  <c r="F35"/>
  <c r="E35"/>
  <c r="D35"/>
  <c r="AK34"/>
  <c r="AH34"/>
  <c r="AG34" s="1"/>
  <c r="Z34"/>
  <c r="Y34"/>
  <c r="X34"/>
  <c r="V34" s="1"/>
  <c r="O34"/>
  <c r="N34"/>
  <c r="M34"/>
  <c r="F34"/>
  <c r="E34"/>
  <c r="D34" s="1"/>
  <c r="C34" s="1"/>
  <c r="AK33"/>
  <c r="AH33"/>
  <c r="AG33"/>
  <c r="Z33"/>
  <c r="Y33"/>
  <c r="O33"/>
  <c r="N33"/>
  <c r="M33" s="1"/>
  <c r="F33"/>
  <c r="E33"/>
  <c r="D33" s="1"/>
  <c r="AK32"/>
  <c r="AH32"/>
  <c r="Z32"/>
  <c r="Y32"/>
  <c r="O32"/>
  <c r="N32"/>
  <c r="F32"/>
  <c r="E32"/>
  <c r="D32"/>
  <c r="AL31"/>
  <c r="AL22" s="1"/>
  <c r="AK31"/>
  <c r="AG31" s="1"/>
  <c r="AH31"/>
  <c r="Z31"/>
  <c r="Y31"/>
  <c r="O31"/>
  <c r="N31"/>
  <c r="F31"/>
  <c r="E31"/>
  <c r="D31"/>
  <c r="AK30"/>
  <c r="AH30"/>
  <c r="AG30" s="1"/>
  <c r="Z30"/>
  <c r="Y30"/>
  <c r="X30" s="1"/>
  <c r="V30" s="1"/>
  <c r="O30"/>
  <c r="N30"/>
  <c r="M30"/>
  <c r="F30"/>
  <c r="E30"/>
  <c r="D30"/>
  <c r="AK29"/>
  <c r="AH29"/>
  <c r="AG29" s="1"/>
  <c r="Z29"/>
  <c r="Y29"/>
  <c r="X29"/>
  <c r="V29" s="1"/>
  <c r="O29"/>
  <c r="N29"/>
  <c r="M29"/>
  <c r="F29"/>
  <c r="E29"/>
  <c r="D29" s="1"/>
  <c r="C29" s="1"/>
  <c r="AK28"/>
  <c r="AH28"/>
  <c r="AG28"/>
  <c r="Z28"/>
  <c r="Y28"/>
  <c r="O28"/>
  <c r="N28"/>
  <c r="M28" s="1"/>
  <c r="F28"/>
  <c r="E28"/>
  <c r="D28" s="1"/>
  <c r="AK27"/>
  <c r="AG27" s="1"/>
  <c r="AH27"/>
  <c r="Z27"/>
  <c r="Y27"/>
  <c r="O27"/>
  <c r="N27"/>
  <c r="F27"/>
  <c r="E27"/>
  <c r="D27"/>
  <c r="AK26"/>
  <c r="AH26"/>
  <c r="AH22" s="1"/>
  <c r="Z26"/>
  <c r="Y26"/>
  <c r="X26"/>
  <c r="V26" s="1"/>
  <c r="O26"/>
  <c r="N26"/>
  <c r="M26"/>
  <c r="F26"/>
  <c r="E26"/>
  <c r="D26" s="1"/>
  <c r="C26" s="1"/>
  <c r="AK25"/>
  <c r="AH25"/>
  <c r="AG25"/>
  <c r="Z25"/>
  <c r="Y25"/>
  <c r="O25"/>
  <c r="N25"/>
  <c r="M25" s="1"/>
  <c r="F25"/>
  <c r="E25"/>
  <c r="D25" s="1"/>
  <c r="AK24"/>
  <c r="AH24"/>
  <c r="Z24"/>
  <c r="Y24"/>
  <c r="R24"/>
  <c r="O24"/>
  <c r="F24"/>
  <c r="E24"/>
  <c r="AK23"/>
  <c r="AH23"/>
  <c r="AG23" s="1"/>
  <c r="Z23"/>
  <c r="Y23"/>
  <c r="O23"/>
  <c r="N23"/>
  <c r="F23"/>
  <c r="E23"/>
  <c r="E22" s="1"/>
  <c r="AO22"/>
  <c r="AM22"/>
  <c r="AJ22"/>
  <c r="AI22"/>
  <c r="AF22"/>
  <c r="AE22"/>
  <c r="AD22"/>
  <c r="AC22"/>
  <c r="AB22"/>
  <c r="AA22"/>
  <c r="W22"/>
  <c r="U22"/>
  <c r="T22"/>
  <c r="T19" s="1"/>
  <c r="T18" s="1"/>
  <c r="S22"/>
  <c r="S19" s="1"/>
  <c r="S18" s="1"/>
  <c r="Q22"/>
  <c r="P22"/>
  <c r="O22"/>
  <c r="L22"/>
  <c r="K22"/>
  <c r="J22"/>
  <c r="I22"/>
  <c r="H22"/>
  <c r="G22"/>
  <c r="F21"/>
  <c r="E21"/>
  <c r="D21"/>
  <c r="F20"/>
  <c r="E20"/>
  <c r="AO19"/>
  <c r="U19"/>
  <c r="U18" s="1"/>
  <c r="Q19"/>
  <c r="AT18"/>
  <c r="AP18"/>
  <c r="AO18"/>
  <c r="Q18"/>
  <c r="AV17"/>
  <c r="AU17"/>
  <c r="AT16"/>
  <c r="AT15"/>
  <c r="AQ15"/>
  <c r="AT14"/>
  <c r="AU13"/>
  <c r="AT13"/>
  <c r="AT12"/>
  <c r="AT11"/>
  <c r="AK10"/>
  <c r="P3"/>
  <c r="F79" i="42"/>
  <c r="C79" s="1"/>
  <c r="F78"/>
  <c r="C78"/>
  <c r="F77"/>
  <c r="C77" s="1"/>
  <c r="F76"/>
  <c r="C76"/>
  <c r="F75"/>
  <c r="C75" s="1"/>
  <c r="P75" s="1"/>
  <c r="F74"/>
  <c r="C74" s="1"/>
  <c r="P74" s="1"/>
  <c r="F73"/>
  <c r="C73"/>
  <c r="P73" s="1"/>
  <c r="F72"/>
  <c r="C72"/>
  <c r="P72" s="1"/>
  <c r="F71"/>
  <c r="C71" s="1"/>
  <c r="P71" s="1"/>
  <c r="F70"/>
  <c r="C70" s="1"/>
  <c r="P70" s="1"/>
  <c r="F69"/>
  <c r="C69"/>
  <c r="P69" s="1"/>
  <c r="M68"/>
  <c r="I68"/>
  <c r="F68"/>
  <c r="F67" s="1"/>
  <c r="O67"/>
  <c r="O66" s="1"/>
  <c r="N67"/>
  <c r="N66" s="1"/>
  <c r="M67"/>
  <c r="J67"/>
  <c r="I67"/>
  <c r="H67"/>
  <c r="H66" s="1"/>
  <c r="H15" s="1"/>
  <c r="H13" s="1"/>
  <c r="G67"/>
  <c r="M66"/>
  <c r="J66"/>
  <c r="G66"/>
  <c r="E66"/>
  <c r="D66"/>
  <c r="F65"/>
  <c r="C65"/>
  <c r="F64"/>
  <c r="C64" s="1"/>
  <c r="F63"/>
  <c r="C63"/>
  <c r="F62"/>
  <c r="C62" s="1"/>
  <c r="F61"/>
  <c r="C61"/>
  <c r="F60"/>
  <c r="C60" s="1"/>
  <c r="F59"/>
  <c r="C59" s="1"/>
  <c r="M58"/>
  <c r="J58"/>
  <c r="J57" s="1"/>
  <c r="I58"/>
  <c r="H58"/>
  <c r="G58"/>
  <c r="F58"/>
  <c r="F57" s="1"/>
  <c r="E58"/>
  <c r="E57" s="1"/>
  <c r="E15" s="1"/>
  <c r="E13" s="1"/>
  <c r="D58"/>
  <c r="M57"/>
  <c r="H57"/>
  <c r="G57"/>
  <c r="D57"/>
  <c r="F56"/>
  <c r="C56" s="1"/>
  <c r="F55"/>
  <c r="C55" s="1"/>
  <c r="F54"/>
  <c r="C54" s="1"/>
  <c r="F53"/>
  <c r="C53" s="1"/>
  <c r="F52"/>
  <c r="C52" s="1"/>
  <c r="F51"/>
  <c r="C51" s="1"/>
  <c r="F50"/>
  <c r="C50" s="1"/>
  <c r="F49"/>
  <c r="C49" s="1"/>
  <c r="F48"/>
  <c r="C48"/>
  <c r="F47"/>
  <c r="C47" s="1"/>
  <c r="I46"/>
  <c r="F46"/>
  <c r="C46"/>
  <c r="I45"/>
  <c r="F45"/>
  <c r="C45"/>
  <c r="I44"/>
  <c r="F44"/>
  <c r="C44" s="1"/>
  <c r="I43"/>
  <c r="F43"/>
  <c r="C43" s="1"/>
  <c r="I42"/>
  <c r="F42"/>
  <c r="C42"/>
  <c r="N41"/>
  <c r="M41" s="1"/>
  <c r="F41"/>
  <c r="C41" s="1"/>
  <c r="I40"/>
  <c r="F40"/>
  <c r="C40" s="1"/>
  <c r="C39" s="1"/>
  <c r="C38" s="1"/>
  <c r="O39"/>
  <c r="N39"/>
  <c r="N38" s="1"/>
  <c r="L39"/>
  <c r="K39"/>
  <c r="J39"/>
  <c r="J38" s="1"/>
  <c r="H39"/>
  <c r="G39"/>
  <c r="F39"/>
  <c r="F38" s="1"/>
  <c r="E39"/>
  <c r="D39"/>
  <c r="O38"/>
  <c r="L38"/>
  <c r="K38"/>
  <c r="H38"/>
  <c r="G38"/>
  <c r="E38"/>
  <c r="D38"/>
  <c r="M37"/>
  <c r="I37"/>
  <c r="F37"/>
  <c r="C37" s="1"/>
  <c r="M36"/>
  <c r="I36" s="1"/>
  <c r="P36" s="1"/>
  <c r="F36"/>
  <c r="C36"/>
  <c r="M35"/>
  <c r="I35" s="1"/>
  <c r="P35" s="1"/>
  <c r="F35"/>
  <c r="C35"/>
  <c r="M34"/>
  <c r="I34"/>
  <c r="P34" s="1"/>
  <c r="F34"/>
  <c r="C34" s="1"/>
  <c r="M33"/>
  <c r="I33"/>
  <c r="F33"/>
  <c r="C33" s="1"/>
  <c r="M32"/>
  <c r="I32" s="1"/>
  <c r="P32" s="1"/>
  <c r="F32"/>
  <c r="C32"/>
  <c r="M31"/>
  <c r="I31" s="1"/>
  <c r="F31"/>
  <c r="C31"/>
  <c r="M30"/>
  <c r="I30"/>
  <c r="F30"/>
  <c r="F29" s="1"/>
  <c r="F28" s="1"/>
  <c r="O29"/>
  <c r="N29"/>
  <c r="J29"/>
  <c r="H29"/>
  <c r="G29"/>
  <c r="E29"/>
  <c r="D29"/>
  <c r="O28"/>
  <c r="N28"/>
  <c r="J28"/>
  <c r="H28"/>
  <c r="G28"/>
  <c r="E28"/>
  <c r="D28"/>
  <c r="F27"/>
  <c r="C27"/>
  <c r="F26"/>
  <c r="C26" s="1"/>
  <c r="F24"/>
  <c r="C24"/>
  <c r="F23"/>
  <c r="C23" s="1"/>
  <c r="I22"/>
  <c r="P22" s="1"/>
  <c r="F22"/>
  <c r="C22" s="1"/>
  <c r="C21" s="1"/>
  <c r="O21"/>
  <c r="N21"/>
  <c r="M21"/>
  <c r="L21"/>
  <c r="K21"/>
  <c r="J21"/>
  <c r="J18" s="1"/>
  <c r="J15" s="1"/>
  <c r="J13" s="1"/>
  <c r="I21"/>
  <c r="P21" s="1"/>
  <c r="H21"/>
  <c r="G21"/>
  <c r="F21"/>
  <c r="E21"/>
  <c r="D21"/>
  <c r="F20"/>
  <c r="F19"/>
  <c r="F18" s="1"/>
  <c r="M18"/>
  <c r="L18"/>
  <c r="K18"/>
  <c r="I18"/>
  <c r="H18"/>
  <c r="G18"/>
  <c r="E18"/>
  <c r="D18"/>
  <c r="F17"/>
  <c r="F16"/>
  <c r="G15"/>
  <c r="D15"/>
  <c r="D13" s="1"/>
  <c r="R13"/>
  <c r="Q13"/>
  <c r="G13"/>
  <c r="AG28" i="44" l="1"/>
  <c r="C57"/>
  <c r="AN57" s="1"/>
  <c r="C78"/>
  <c r="AN78" s="1"/>
  <c r="C133"/>
  <c r="C146"/>
  <c r="C170"/>
  <c r="AN170" s="1"/>
  <c r="C174"/>
  <c r="AM45"/>
  <c r="AM15" s="1"/>
  <c r="AM12" s="1"/>
  <c r="C125"/>
  <c r="C132"/>
  <c r="C145"/>
  <c r="C166"/>
  <c r="C178"/>
  <c r="C182"/>
  <c r="Q15"/>
  <c r="Q12" s="1"/>
  <c r="U15"/>
  <c r="U12" s="1"/>
  <c r="D18"/>
  <c r="D19"/>
  <c r="C19" s="1"/>
  <c r="AG19"/>
  <c r="AG17" s="1"/>
  <c r="AG16" s="1"/>
  <c r="M21"/>
  <c r="C21" s="1"/>
  <c r="X22"/>
  <c r="V22" s="1"/>
  <c r="D23"/>
  <c r="AG23"/>
  <c r="D26"/>
  <c r="C26" s="1"/>
  <c r="X26"/>
  <c r="V26" s="1"/>
  <c r="M27"/>
  <c r="F28"/>
  <c r="D31"/>
  <c r="C31" s="1"/>
  <c r="X32"/>
  <c r="V32" s="1"/>
  <c r="D33"/>
  <c r="M34"/>
  <c r="C34" s="1"/>
  <c r="AN34" s="1"/>
  <c r="D35"/>
  <c r="C35" s="1"/>
  <c r="M36"/>
  <c r="M38"/>
  <c r="X39"/>
  <c r="V39" s="1"/>
  <c r="C39" s="1"/>
  <c r="AN39" s="1"/>
  <c r="M41"/>
  <c r="M43"/>
  <c r="D48"/>
  <c r="C48" s="1"/>
  <c r="AN48" s="1"/>
  <c r="X50"/>
  <c r="V50" s="1"/>
  <c r="C50" s="1"/>
  <c r="AN50" s="1"/>
  <c r="M53"/>
  <c r="AH56"/>
  <c r="AG60"/>
  <c r="X61"/>
  <c r="AM62"/>
  <c r="M63"/>
  <c r="D64"/>
  <c r="X64"/>
  <c r="V64" s="1"/>
  <c r="M67"/>
  <c r="C67" s="1"/>
  <c r="AN67" s="1"/>
  <c r="M68"/>
  <c r="Z82"/>
  <c r="Z81" s="1"/>
  <c r="D86"/>
  <c r="C86" s="1"/>
  <c r="AN86" s="1"/>
  <c r="D90"/>
  <c r="AG90"/>
  <c r="X91"/>
  <c r="V91" s="1"/>
  <c r="C91" s="1"/>
  <c r="AG92"/>
  <c r="M98"/>
  <c r="D103"/>
  <c r="C103" s="1"/>
  <c r="W101"/>
  <c r="D105"/>
  <c r="AH106"/>
  <c r="AH101" s="1"/>
  <c r="Z106"/>
  <c r="AL101"/>
  <c r="AG118"/>
  <c r="X126"/>
  <c r="V126" s="1"/>
  <c r="AG127"/>
  <c r="M128"/>
  <c r="M129"/>
  <c r="M130"/>
  <c r="D138"/>
  <c r="D139"/>
  <c r="AG142"/>
  <c r="M146"/>
  <c r="D152"/>
  <c r="C152" s="1"/>
  <c r="AG154"/>
  <c r="X158"/>
  <c r="AG159"/>
  <c r="D160"/>
  <c r="C160" s="1"/>
  <c r="D161"/>
  <c r="I157"/>
  <c r="Q157"/>
  <c r="U157"/>
  <c r="M167"/>
  <c r="C167" s="1"/>
  <c r="AN167" s="1"/>
  <c r="D169"/>
  <c r="C169" s="1"/>
  <c r="AN169" s="1"/>
  <c r="X172"/>
  <c r="V172" s="1"/>
  <c r="AG175"/>
  <c r="M176"/>
  <c r="AG178"/>
  <c r="AN178" s="1"/>
  <c r="M179"/>
  <c r="C179" s="1"/>
  <c r="AN179" s="1"/>
  <c r="D181"/>
  <c r="C181" s="1"/>
  <c r="X183"/>
  <c r="V183" s="1"/>
  <c r="D184"/>
  <c r="AG187"/>
  <c r="E17"/>
  <c r="AN40"/>
  <c r="G45"/>
  <c r="E45" s="1"/>
  <c r="P45"/>
  <c r="AD15"/>
  <c r="AD12" s="1"/>
  <c r="AJ15"/>
  <c r="AJ12" s="1"/>
  <c r="AL56"/>
  <c r="E62"/>
  <c r="D62" s="1"/>
  <c r="E80"/>
  <c r="D80" s="1"/>
  <c r="C99"/>
  <c r="AN99" s="1"/>
  <c r="F104"/>
  <c r="D104" s="1"/>
  <c r="S101"/>
  <c r="O101"/>
  <c r="E110"/>
  <c r="D110" s="1"/>
  <c r="C131"/>
  <c r="C141"/>
  <c r="AN151"/>
  <c r="C159"/>
  <c r="AN159" s="1"/>
  <c r="AL157"/>
  <c r="C177"/>
  <c r="C186"/>
  <c r="AN186" s="1"/>
  <c r="F17"/>
  <c r="Y17"/>
  <c r="AO16"/>
  <c r="AO15" s="1"/>
  <c r="AO12" s="1"/>
  <c r="D20"/>
  <c r="C20" s="1"/>
  <c r="AN20" s="1"/>
  <c r="X21"/>
  <c r="V21" s="1"/>
  <c r="D24"/>
  <c r="AG25"/>
  <c r="X27"/>
  <c r="V27" s="1"/>
  <c r="C27" s="1"/>
  <c r="AC16"/>
  <c r="AK28"/>
  <c r="AK16" s="1"/>
  <c r="X34"/>
  <c r="V34" s="1"/>
  <c r="X36"/>
  <c r="V36" s="1"/>
  <c r="M39"/>
  <c r="M40"/>
  <c r="X41"/>
  <c r="V41" s="1"/>
  <c r="C41" s="1"/>
  <c r="AN41" s="1"/>
  <c r="D42"/>
  <c r="C42" s="1"/>
  <c r="AN42" s="1"/>
  <c r="M49"/>
  <c r="M50"/>
  <c r="X53"/>
  <c r="V53" s="1"/>
  <c r="C53" s="1"/>
  <c r="AN53" s="1"/>
  <c r="D54"/>
  <c r="C54" s="1"/>
  <c r="AN54" s="1"/>
  <c r="X55"/>
  <c r="V55" s="1"/>
  <c r="D56"/>
  <c r="C56" s="1"/>
  <c r="D58"/>
  <c r="C58" s="1"/>
  <c r="AN58" s="1"/>
  <c r="D59"/>
  <c r="C59" s="1"/>
  <c r="AG61"/>
  <c r="T62"/>
  <c r="D66"/>
  <c r="C66" s="1"/>
  <c r="AN66" s="1"/>
  <c r="X67"/>
  <c r="V67" s="1"/>
  <c r="D69"/>
  <c r="C69" s="1"/>
  <c r="D71"/>
  <c r="X71"/>
  <c r="V71" s="1"/>
  <c r="C71" s="1"/>
  <c r="AN71" s="1"/>
  <c r="D75"/>
  <c r="D76"/>
  <c r="AH82"/>
  <c r="AH81" s="1"/>
  <c r="AG86"/>
  <c r="X87"/>
  <c r="V87" s="1"/>
  <c r="C87" s="1"/>
  <c r="AG88"/>
  <c r="D94"/>
  <c r="C94" s="1"/>
  <c r="AN94" s="1"/>
  <c r="D98"/>
  <c r="N102"/>
  <c r="K101"/>
  <c r="M105"/>
  <c r="M104" s="1"/>
  <c r="E106"/>
  <c r="Y106"/>
  <c r="AG108"/>
  <c r="D113"/>
  <c r="X113"/>
  <c r="E114"/>
  <c r="D114" s="1"/>
  <c r="C114" s="1"/>
  <c r="D120"/>
  <c r="C120" s="1"/>
  <c r="AN120" s="1"/>
  <c r="AG122"/>
  <c r="AN122" s="1"/>
  <c r="O116"/>
  <c r="AG125"/>
  <c r="M126"/>
  <c r="C126" s="1"/>
  <c r="X128"/>
  <c r="V128" s="1"/>
  <c r="C128" s="1"/>
  <c r="AN128" s="1"/>
  <c r="D129"/>
  <c r="X129"/>
  <c r="V129" s="1"/>
  <c r="D130"/>
  <c r="C130" s="1"/>
  <c r="AN130" s="1"/>
  <c r="X130"/>
  <c r="V130" s="1"/>
  <c r="D144"/>
  <c r="C144" s="1"/>
  <c r="X146"/>
  <c r="V146" s="1"/>
  <c r="D147"/>
  <c r="AG150"/>
  <c r="H157"/>
  <c r="E158"/>
  <c r="D158" s="1"/>
  <c r="C158" s="1"/>
  <c r="AC157"/>
  <c r="X167"/>
  <c r="V167" s="1"/>
  <c r="D168"/>
  <c r="AG171"/>
  <c r="M172"/>
  <c r="C172" s="1"/>
  <c r="AN172" s="1"/>
  <c r="X176"/>
  <c r="V176" s="1"/>
  <c r="C176" s="1"/>
  <c r="AN176" s="1"/>
  <c r="X179"/>
  <c r="V179" s="1"/>
  <c r="D180"/>
  <c r="C180" s="1"/>
  <c r="AN180" s="1"/>
  <c r="M183"/>
  <c r="C183" s="1"/>
  <c r="AN183" s="1"/>
  <c r="D189"/>
  <c r="C189" s="1"/>
  <c r="AN189" s="1"/>
  <c r="AG191"/>
  <c r="D28"/>
  <c r="C33"/>
  <c r="C40"/>
  <c r="K15"/>
  <c r="K12" s="1"/>
  <c r="R15"/>
  <c r="R12" s="1"/>
  <c r="AB15"/>
  <c r="AB12" s="1"/>
  <c r="C51"/>
  <c r="AH46"/>
  <c r="AH45" s="1"/>
  <c r="S15"/>
  <c r="S12" s="1"/>
  <c r="C70"/>
  <c r="C74"/>
  <c r="C96"/>
  <c r="AA101"/>
  <c r="AE101"/>
  <c r="J157"/>
  <c r="R157"/>
  <c r="C173"/>
  <c r="AG92" i="43"/>
  <c r="AN92" s="1"/>
  <c r="AN79"/>
  <c r="C82"/>
  <c r="C78"/>
  <c r="AG82"/>
  <c r="AN82" s="1"/>
  <c r="AG99"/>
  <c r="AG102"/>
  <c r="AN102" s="1"/>
  <c r="AK92"/>
  <c r="AN78"/>
  <c r="AN84"/>
  <c r="W19"/>
  <c r="W18" s="1"/>
  <c r="C30"/>
  <c r="AG90"/>
  <c r="AN90" s="1"/>
  <c r="AG107"/>
  <c r="AG110"/>
  <c r="AN110" s="1"/>
  <c r="AK73"/>
  <c r="AG73" s="1"/>
  <c r="AI19"/>
  <c r="AI18" s="1"/>
  <c r="AM19"/>
  <c r="AM18" s="1"/>
  <c r="AE72"/>
  <c r="AE19" s="1"/>
  <c r="AE18" s="1"/>
  <c r="AC8" s="1"/>
  <c r="AN76"/>
  <c r="AD8"/>
  <c r="AT17"/>
  <c r="AC15" i="44"/>
  <c r="AC12" s="1"/>
  <c r="M47"/>
  <c r="O46"/>
  <c r="O45" s="1"/>
  <c r="X65"/>
  <c r="V65" s="1"/>
  <c r="C65" s="1"/>
  <c r="AN65" s="1"/>
  <c r="AW6"/>
  <c r="AU6"/>
  <c r="AQ63"/>
  <c r="AK63"/>
  <c r="AL62"/>
  <c r="N82"/>
  <c r="N81" s="1"/>
  <c r="M83"/>
  <c r="C24"/>
  <c r="AN35"/>
  <c r="AN70"/>
  <c r="C76"/>
  <c r="C83"/>
  <c r="AN33"/>
  <c r="C38"/>
  <c r="AN38" s="1"/>
  <c r="AE15"/>
  <c r="AE12" s="1"/>
  <c r="J15"/>
  <c r="J12" s="1"/>
  <c r="AG52"/>
  <c r="C64"/>
  <c r="AN64" s="1"/>
  <c r="AN68"/>
  <c r="C90"/>
  <c r="AN90" s="1"/>
  <c r="M18"/>
  <c r="O17"/>
  <c r="Z28"/>
  <c r="X29"/>
  <c r="X47"/>
  <c r="Z46"/>
  <c r="E82"/>
  <c r="D82" s="1"/>
  <c r="G81"/>
  <c r="E81" s="1"/>
  <c r="D81" s="1"/>
  <c r="M84"/>
  <c r="C84" s="1"/>
  <c r="AN84" s="1"/>
  <c r="O82"/>
  <c r="O81" s="1"/>
  <c r="I16"/>
  <c r="C23"/>
  <c r="C44"/>
  <c r="AN60"/>
  <c r="AN69"/>
  <c r="AN76"/>
  <c r="Z17"/>
  <c r="X18"/>
  <c r="N17"/>
  <c r="M22"/>
  <c r="C22" s="1"/>
  <c r="AN22" s="1"/>
  <c r="M29"/>
  <c r="O28"/>
  <c r="N28"/>
  <c r="M32"/>
  <c r="C32" s="1"/>
  <c r="H45"/>
  <c r="F46"/>
  <c r="D46" s="1"/>
  <c r="AG47"/>
  <c r="Y49"/>
  <c r="AA46"/>
  <c r="AA45" s="1"/>
  <c r="AA15" s="1"/>
  <c r="AA12" s="1"/>
  <c r="M52"/>
  <c r="C52" s="1"/>
  <c r="T55"/>
  <c r="T46" s="1"/>
  <c r="T45" s="1"/>
  <c r="X63"/>
  <c r="Z62"/>
  <c r="Y79"/>
  <c r="X79" s="1"/>
  <c r="V79" s="1"/>
  <c r="AC62"/>
  <c r="AC45" s="1"/>
  <c r="AN83"/>
  <c r="Y116"/>
  <c r="X117"/>
  <c r="AH17"/>
  <c r="AH16" s="1"/>
  <c r="C25"/>
  <c r="Y28"/>
  <c r="Y16" s="1"/>
  <c r="AN30"/>
  <c r="C36"/>
  <c r="AN36" s="1"/>
  <c r="C43"/>
  <c r="W15"/>
  <c r="W12" s="1"/>
  <c r="AG51"/>
  <c r="AN51" s="1"/>
  <c r="AG59"/>
  <c r="AN59" s="1"/>
  <c r="C68"/>
  <c r="C72"/>
  <c r="AN72" s="1"/>
  <c r="AN74"/>
  <c r="M80"/>
  <c r="C80" s="1"/>
  <c r="C95"/>
  <c r="AN95" s="1"/>
  <c r="Z101"/>
  <c r="X111"/>
  <c r="Y110"/>
  <c r="V113"/>
  <c r="V112" s="1"/>
  <c r="X112"/>
  <c r="E137"/>
  <c r="D137" s="1"/>
  <c r="G136"/>
  <c r="E136" s="1"/>
  <c r="D136" s="1"/>
  <c r="Y137"/>
  <c r="Y136" s="1"/>
  <c r="X138"/>
  <c r="AG160"/>
  <c r="AN160" s="1"/>
  <c r="AK158"/>
  <c r="AK157" s="1"/>
  <c r="AN141"/>
  <c r="AN175"/>
  <c r="N62"/>
  <c r="X73"/>
  <c r="V73" s="1"/>
  <c r="C73" s="1"/>
  <c r="AN73" s="1"/>
  <c r="M79"/>
  <c r="AG87"/>
  <c r="AN87" s="1"/>
  <c r="M88"/>
  <c r="C88" s="1"/>
  <c r="AN88" s="1"/>
  <c r="X89"/>
  <c r="V89" s="1"/>
  <c r="X92"/>
  <c r="V92" s="1"/>
  <c r="X97"/>
  <c r="V97" s="1"/>
  <c r="X100"/>
  <c r="E102"/>
  <c r="X105"/>
  <c r="D106"/>
  <c r="X108"/>
  <c r="V108" s="1"/>
  <c r="M109"/>
  <c r="C109" s="1"/>
  <c r="AN109" s="1"/>
  <c r="D116"/>
  <c r="AG121"/>
  <c r="AN121" s="1"/>
  <c r="M123"/>
  <c r="D124"/>
  <c r="C124" s="1"/>
  <c r="AN124" s="1"/>
  <c r="AN131"/>
  <c r="AG134"/>
  <c r="AN134" s="1"/>
  <c r="X139"/>
  <c r="V139" s="1"/>
  <c r="AH137"/>
  <c r="AH136" s="1"/>
  <c r="AG145"/>
  <c r="AN145" s="1"/>
  <c r="M147"/>
  <c r="D148"/>
  <c r="C148" s="1"/>
  <c r="AN148" s="1"/>
  <c r="C150"/>
  <c r="AN150" s="1"/>
  <c r="AN152"/>
  <c r="X155"/>
  <c r="V155" s="1"/>
  <c r="AG158"/>
  <c r="AN165"/>
  <c r="AG174"/>
  <c r="AN174" s="1"/>
  <c r="AN181"/>
  <c r="X184"/>
  <c r="V184" s="1"/>
  <c r="AN190"/>
  <c r="M192"/>
  <c r="V162"/>
  <c r="X161"/>
  <c r="AG111"/>
  <c r="AK110"/>
  <c r="N112"/>
  <c r="M113"/>
  <c r="M112" s="1"/>
  <c r="M117"/>
  <c r="M116" s="1"/>
  <c r="N116"/>
  <c r="M138"/>
  <c r="N137"/>
  <c r="N136" s="1"/>
  <c r="AG138"/>
  <c r="AK137"/>
  <c r="AK136" s="1"/>
  <c r="O163"/>
  <c r="O157" s="1"/>
  <c r="M168"/>
  <c r="C168" s="1"/>
  <c r="AN168" s="1"/>
  <c r="AN146"/>
  <c r="Y157"/>
  <c r="AN177"/>
  <c r="C89"/>
  <c r="AN89" s="1"/>
  <c r="C119"/>
  <c r="AN119" s="1"/>
  <c r="AN125"/>
  <c r="AI126"/>
  <c r="AN127"/>
  <c r="AN133"/>
  <c r="C143"/>
  <c r="AN143" s="1"/>
  <c r="AN149"/>
  <c r="AN154"/>
  <c r="G157"/>
  <c r="Y163"/>
  <c r="AK163"/>
  <c r="C188"/>
  <c r="AN188" s="1"/>
  <c r="X188"/>
  <c r="V188" s="1"/>
  <c r="C164"/>
  <c r="AN164" s="1"/>
  <c r="F102"/>
  <c r="H101"/>
  <c r="F101" s="1"/>
  <c r="AG107"/>
  <c r="AK106"/>
  <c r="AN191"/>
  <c r="M75"/>
  <c r="C75" s="1"/>
  <c r="AN75" s="1"/>
  <c r="X77"/>
  <c r="V77" s="1"/>
  <c r="C77" s="1"/>
  <c r="AN77" s="1"/>
  <c r="Y82"/>
  <c r="Y81" s="1"/>
  <c r="AK82"/>
  <c r="AK81" s="1"/>
  <c r="X85"/>
  <c r="V85" s="1"/>
  <c r="X88"/>
  <c r="V88" s="1"/>
  <c r="AG91"/>
  <c r="AN91" s="1"/>
  <c r="M92"/>
  <c r="C92" s="1"/>
  <c r="X93"/>
  <c r="V93" s="1"/>
  <c r="C93" s="1"/>
  <c r="AN93" s="1"/>
  <c r="AG96"/>
  <c r="AN96" s="1"/>
  <c r="M97"/>
  <c r="C97" s="1"/>
  <c r="AN97" s="1"/>
  <c r="X98"/>
  <c r="V98" s="1"/>
  <c r="G101"/>
  <c r="E101" s="1"/>
  <c r="L101"/>
  <c r="L15" s="1"/>
  <c r="L12" s="1"/>
  <c r="P101"/>
  <c r="P15" s="1"/>
  <c r="P12" s="1"/>
  <c r="T101"/>
  <c r="AG103"/>
  <c r="N106"/>
  <c r="N101" s="1"/>
  <c r="X107"/>
  <c r="M108"/>
  <c r="Z116"/>
  <c r="C118"/>
  <c r="AN118" s="1"/>
  <c r="X123"/>
  <c r="V123" s="1"/>
  <c r="AG132"/>
  <c r="AN132" s="1"/>
  <c r="M139"/>
  <c r="C139" s="1"/>
  <c r="AN139" s="1"/>
  <c r="D140"/>
  <c r="C140" s="1"/>
  <c r="AN140" s="1"/>
  <c r="C142"/>
  <c r="AN144"/>
  <c r="X147"/>
  <c r="V147" s="1"/>
  <c r="AG153"/>
  <c r="AN153" s="1"/>
  <c r="M155"/>
  <c r="C155" s="1"/>
  <c r="AN155" s="1"/>
  <c r="D156"/>
  <c r="C156" s="1"/>
  <c r="AN156" s="1"/>
  <c r="N157"/>
  <c r="F163"/>
  <c r="Z163"/>
  <c r="Z157" s="1"/>
  <c r="X163"/>
  <c r="E163"/>
  <c r="AG166"/>
  <c r="C171"/>
  <c r="AN171"/>
  <c r="AN173"/>
  <c r="AG182"/>
  <c r="AN182" s="1"/>
  <c r="M184"/>
  <c r="M163" s="1"/>
  <c r="M157" s="1"/>
  <c r="D185"/>
  <c r="C185" s="1"/>
  <c r="AN185" s="1"/>
  <c r="C187"/>
  <c r="C192"/>
  <c r="AG117"/>
  <c r="H136"/>
  <c r="F136" s="1"/>
  <c r="Y104"/>
  <c r="AK112"/>
  <c r="C44" i="43"/>
  <c r="AN29"/>
  <c r="V40"/>
  <c r="V39" s="1"/>
  <c r="C37"/>
  <c r="AN37" s="1"/>
  <c r="C41"/>
  <c r="D20"/>
  <c r="M23"/>
  <c r="AG67"/>
  <c r="AG69"/>
  <c r="G39"/>
  <c r="AA39"/>
  <c r="Y39" s="1"/>
  <c r="Y40"/>
  <c r="X40" s="1"/>
  <c r="AN55"/>
  <c r="AG54"/>
  <c r="AN54" s="1"/>
  <c r="K19"/>
  <c r="K18" s="1"/>
  <c r="F22"/>
  <c r="C27"/>
  <c r="AN27" s="1"/>
  <c r="AN30"/>
  <c r="C32"/>
  <c r="X63"/>
  <c r="M69"/>
  <c r="M66" s="1"/>
  <c r="AN71"/>
  <c r="Z22"/>
  <c r="D24"/>
  <c r="X24"/>
  <c r="V24" s="1"/>
  <c r="M27"/>
  <c r="X28"/>
  <c r="V28" s="1"/>
  <c r="X31"/>
  <c r="V31" s="1"/>
  <c r="AL19"/>
  <c r="AL18" s="1"/>
  <c r="M32"/>
  <c r="AG32"/>
  <c r="AN32" s="1"/>
  <c r="X33"/>
  <c r="V33" s="1"/>
  <c r="X35"/>
  <c r="V35" s="1"/>
  <c r="M38"/>
  <c r="AG44"/>
  <c r="D46"/>
  <c r="C46" s="1"/>
  <c r="AN46" s="1"/>
  <c r="X48"/>
  <c r="V48" s="1"/>
  <c r="C48" s="1"/>
  <c r="AN48" s="1"/>
  <c r="AG49"/>
  <c r="M53"/>
  <c r="Y57"/>
  <c r="X73"/>
  <c r="M73"/>
  <c r="M72" s="1"/>
  <c r="C75"/>
  <c r="AN75" s="1"/>
  <c r="AN81"/>
  <c r="C88"/>
  <c r="AN88" s="1"/>
  <c r="C91"/>
  <c r="C95"/>
  <c r="AN95" s="1"/>
  <c r="AN98"/>
  <c r="C101"/>
  <c r="C104"/>
  <c r="AN104" s="1"/>
  <c r="C107"/>
  <c r="AN108"/>
  <c r="K39"/>
  <c r="I50"/>
  <c r="C28"/>
  <c r="AN28" s="1"/>
  <c r="AN43"/>
  <c r="AN77"/>
  <c r="AN87"/>
  <c r="AN91"/>
  <c r="AN100"/>
  <c r="AN107"/>
  <c r="Y22"/>
  <c r="X23"/>
  <c r="N24"/>
  <c r="M24" s="1"/>
  <c r="R22"/>
  <c r="V93"/>
  <c r="V92" s="1"/>
  <c r="V72" s="1"/>
  <c r="X92"/>
  <c r="O18"/>
  <c r="C33"/>
  <c r="AN33" s="1"/>
  <c r="D23"/>
  <c r="AK22"/>
  <c r="AG24"/>
  <c r="X25"/>
  <c r="V25" s="1"/>
  <c r="AG26"/>
  <c r="X27"/>
  <c r="V27" s="1"/>
  <c r="M31"/>
  <c r="C31" s="1"/>
  <c r="AN31" s="1"/>
  <c r="X32"/>
  <c r="V32" s="1"/>
  <c r="M35"/>
  <c r="C35" s="1"/>
  <c r="AG35"/>
  <c r="X36"/>
  <c r="V36" s="1"/>
  <c r="D38"/>
  <c r="AG41"/>
  <c r="M46"/>
  <c r="AN51"/>
  <c r="C53"/>
  <c r="X53"/>
  <c r="V53" s="1"/>
  <c r="E57"/>
  <c r="C58"/>
  <c r="D59"/>
  <c r="O56"/>
  <c r="O19" s="1"/>
  <c r="M63"/>
  <c r="C64"/>
  <c r="C68"/>
  <c r="C67" s="1"/>
  <c r="V66"/>
  <c r="X69"/>
  <c r="C70"/>
  <c r="C69" s="1"/>
  <c r="C71"/>
  <c r="D73"/>
  <c r="C80"/>
  <c r="AN80" s="1"/>
  <c r="C83"/>
  <c r="AN83" s="1"/>
  <c r="AN89"/>
  <c r="AN94"/>
  <c r="C96"/>
  <c r="AN96" s="1"/>
  <c r="C99"/>
  <c r="AN99" s="1"/>
  <c r="AN101"/>
  <c r="AN103"/>
  <c r="AN106"/>
  <c r="C109"/>
  <c r="AN109" s="1"/>
  <c r="AG22"/>
  <c r="C25"/>
  <c r="AN25" s="1"/>
  <c r="C36"/>
  <c r="AN36" s="1"/>
  <c r="V56"/>
  <c r="C74"/>
  <c r="AN85"/>
  <c r="AN97"/>
  <c r="AG60"/>
  <c r="M61"/>
  <c r="M59" s="1"/>
  <c r="M57" s="1"/>
  <c r="M56" s="1"/>
  <c r="H39"/>
  <c r="P39"/>
  <c r="P19" s="1"/>
  <c r="P18" s="1"/>
  <c r="AB39"/>
  <c r="AH54"/>
  <c r="AH39" s="1"/>
  <c r="G56"/>
  <c r="E56" s="1"/>
  <c r="AA56"/>
  <c r="Y56" s="1"/>
  <c r="AA66"/>
  <c r="Y66" s="1"/>
  <c r="X66" s="1"/>
  <c r="AK67"/>
  <c r="AK66" s="1"/>
  <c r="H72"/>
  <c r="F72" s="1"/>
  <c r="AB72"/>
  <c r="Z72" s="1"/>
  <c r="AH73"/>
  <c r="N92"/>
  <c r="N72" s="1"/>
  <c r="Z92"/>
  <c r="E52"/>
  <c r="D52" s="1"/>
  <c r="C52" s="1"/>
  <c r="H57"/>
  <c r="AB57"/>
  <c r="N69"/>
  <c r="N66" s="1"/>
  <c r="G72"/>
  <c r="E72" s="1"/>
  <c r="D72" s="1"/>
  <c r="AA72"/>
  <c r="Y72" s="1"/>
  <c r="P59" i="42"/>
  <c r="C58"/>
  <c r="C57" s="1"/>
  <c r="M39"/>
  <c r="M38" s="1"/>
  <c r="I41"/>
  <c r="I39" s="1"/>
  <c r="I29"/>
  <c r="P31"/>
  <c r="C67"/>
  <c r="C66" s="1"/>
  <c r="F66"/>
  <c r="F15"/>
  <c r="F13" s="1"/>
  <c r="C18"/>
  <c r="P33"/>
  <c r="P37"/>
  <c r="P40"/>
  <c r="P58"/>
  <c r="I57"/>
  <c r="P57" s="1"/>
  <c r="I66"/>
  <c r="P66" s="1"/>
  <c r="C68"/>
  <c r="P68" s="1"/>
  <c r="M29"/>
  <c r="M28" s="1"/>
  <c r="C30"/>
  <c r="C29" s="1"/>
  <c r="C28" s="1"/>
  <c r="AK56" i="44" l="1"/>
  <c r="AL46"/>
  <c r="AL45" s="1"/>
  <c r="V82"/>
  <c r="V81" s="1"/>
  <c r="E157"/>
  <c r="D157" s="1"/>
  <c r="N55"/>
  <c r="M55" s="1"/>
  <c r="C55" s="1"/>
  <c r="AN55" s="1"/>
  <c r="Z16"/>
  <c r="AN187"/>
  <c r="AN166"/>
  <c r="AK101"/>
  <c r="M137"/>
  <c r="M136" s="1"/>
  <c r="V163"/>
  <c r="C79"/>
  <c r="AN79" s="1"/>
  <c r="F157"/>
  <c r="C129"/>
  <c r="AN129" s="1"/>
  <c r="D17"/>
  <c r="C147"/>
  <c r="AN147" s="1"/>
  <c r="Y101"/>
  <c r="AN142"/>
  <c r="C123"/>
  <c r="AN123" s="1"/>
  <c r="C108"/>
  <c r="AN108" s="1"/>
  <c r="C98"/>
  <c r="AN98" s="1"/>
  <c r="AN92"/>
  <c r="C112"/>
  <c r="AN112" s="1"/>
  <c r="AN44" i="43"/>
  <c r="AN68"/>
  <c r="AK72"/>
  <c r="AH72"/>
  <c r="AH19" s="1"/>
  <c r="AH18" s="1"/>
  <c r="X106" i="44"/>
  <c r="V107"/>
  <c r="X49"/>
  <c r="V49" s="1"/>
  <c r="C49" s="1"/>
  <c r="AN49" s="1"/>
  <c r="Y46"/>
  <c r="F45"/>
  <c r="H15"/>
  <c r="M106"/>
  <c r="M101" s="1"/>
  <c r="AG163"/>
  <c r="AG157" s="1"/>
  <c r="C113"/>
  <c r="AN113" s="1"/>
  <c r="D102"/>
  <c r="C102" s="1"/>
  <c r="T15"/>
  <c r="T12" s="1"/>
  <c r="M28"/>
  <c r="G15"/>
  <c r="O16"/>
  <c r="O15" s="1"/>
  <c r="O12" s="1"/>
  <c r="C85"/>
  <c r="AN85" s="1"/>
  <c r="M62"/>
  <c r="M46"/>
  <c r="AG63"/>
  <c r="AK62"/>
  <c r="AG106"/>
  <c r="AL126"/>
  <c r="AH126"/>
  <c r="AH116" s="1"/>
  <c r="AH15" s="1"/>
  <c r="AH12" s="1"/>
  <c r="AI116"/>
  <c r="AI15" s="1"/>
  <c r="AI12" s="1"/>
  <c r="AG137"/>
  <c r="AG110"/>
  <c r="V161"/>
  <c r="C162"/>
  <c r="AN162" s="1"/>
  <c r="X104"/>
  <c r="V105"/>
  <c r="X137"/>
  <c r="X136" s="1"/>
  <c r="V138"/>
  <c r="V137" s="1"/>
  <c r="V136" s="1"/>
  <c r="C136" s="1"/>
  <c r="X116"/>
  <c r="V117"/>
  <c r="V116" s="1"/>
  <c r="C116" s="1"/>
  <c r="V18"/>
  <c r="V17" s="1"/>
  <c r="X17"/>
  <c r="V47"/>
  <c r="X46"/>
  <c r="X45" s="1"/>
  <c r="AG82"/>
  <c r="D45"/>
  <c r="D101"/>
  <c r="C184"/>
  <c r="AN184" s="1"/>
  <c r="AN52"/>
  <c r="I15"/>
  <c r="I12" s="1"/>
  <c r="E16"/>
  <c r="D16" s="1"/>
  <c r="AN103"/>
  <c r="AG102"/>
  <c r="AN158"/>
  <c r="V111"/>
  <c r="X110"/>
  <c r="V63"/>
  <c r="X62"/>
  <c r="V29"/>
  <c r="X28"/>
  <c r="M17"/>
  <c r="D163"/>
  <c r="X157"/>
  <c r="C117"/>
  <c r="AN117" s="1"/>
  <c r="N46"/>
  <c r="N45" s="1"/>
  <c r="N16"/>
  <c r="Z45"/>
  <c r="Z15" s="1"/>
  <c r="Z12" s="1"/>
  <c r="X82"/>
  <c r="X81" s="1"/>
  <c r="M82"/>
  <c r="M81" s="1"/>
  <c r="Y62"/>
  <c r="Z57" i="43"/>
  <c r="AB56"/>
  <c r="Z56" s="1"/>
  <c r="F39"/>
  <c r="F19" s="1"/>
  <c r="F18" s="1"/>
  <c r="V23"/>
  <c r="V22" s="1"/>
  <c r="V19" s="1"/>
  <c r="V18" s="1"/>
  <c r="X22"/>
  <c r="AG72"/>
  <c r="Y19"/>
  <c r="Y18" s="1"/>
  <c r="X57"/>
  <c r="AN69"/>
  <c r="M22"/>
  <c r="X56"/>
  <c r="C73"/>
  <c r="AN74"/>
  <c r="C38"/>
  <c r="AN70"/>
  <c r="N22"/>
  <c r="AB19"/>
  <c r="AB18" s="1"/>
  <c r="Z39"/>
  <c r="X39" s="1"/>
  <c r="AG59"/>
  <c r="AN60"/>
  <c r="AN64"/>
  <c r="C63"/>
  <c r="AN63" s="1"/>
  <c r="AN41"/>
  <c r="AG40"/>
  <c r="D22"/>
  <c r="R50"/>
  <c r="I40"/>
  <c r="E50"/>
  <c r="D50" s="1"/>
  <c r="F57"/>
  <c r="D57" s="1"/>
  <c r="H56"/>
  <c r="F56" s="1"/>
  <c r="D56" s="1"/>
  <c r="AG66"/>
  <c r="AN67"/>
  <c r="Z19"/>
  <c r="Z18" s="1"/>
  <c r="X72"/>
  <c r="C93"/>
  <c r="G19"/>
  <c r="G18" s="1"/>
  <c r="C66"/>
  <c r="C61"/>
  <c r="C59" s="1"/>
  <c r="C57" s="1"/>
  <c r="AN35"/>
  <c r="AK19"/>
  <c r="AK18" s="1"/>
  <c r="AA19"/>
  <c r="AA18" s="1"/>
  <c r="C24"/>
  <c r="AN24" s="1"/>
  <c r="C15" i="42"/>
  <c r="C13" s="1"/>
  <c r="P18"/>
  <c r="M15"/>
  <c r="M13" s="1"/>
  <c r="P67"/>
  <c r="P29"/>
  <c r="I28"/>
  <c r="P30"/>
  <c r="P39"/>
  <c r="I38"/>
  <c r="P38" s="1"/>
  <c r="AG56" i="44" l="1"/>
  <c r="AK46"/>
  <c r="AK45" s="1"/>
  <c r="X101"/>
  <c r="M45"/>
  <c r="C81"/>
  <c r="N15"/>
  <c r="N12" s="1"/>
  <c r="X16"/>
  <c r="F15"/>
  <c r="H12"/>
  <c r="F12" s="1"/>
  <c r="V106"/>
  <c r="C106" s="1"/>
  <c r="AN106" s="1"/>
  <c r="C107"/>
  <c r="AN107" s="1"/>
  <c r="M16"/>
  <c r="M15" s="1"/>
  <c r="M12" s="1"/>
  <c r="C17"/>
  <c r="AN17" s="1"/>
  <c r="AG101"/>
  <c r="AN102"/>
  <c r="V157"/>
  <c r="C157" s="1"/>
  <c r="C161"/>
  <c r="AN161" s="1"/>
  <c r="C137"/>
  <c r="AN137" s="1"/>
  <c r="C138"/>
  <c r="AN138" s="1"/>
  <c r="C82"/>
  <c r="C18"/>
  <c r="V28"/>
  <c r="C28" s="1"/>
  <c r="AN28" s="1"/>
  <c r="C29"/>
  <c r="AN29" s="1"/>
  <c r="V104"/>
  <c r="C105"/>
  <c r="AN105" s="1"/>
  <c r="V62"/>
  <c r="C63"/>
  <c r="AN63" s="1"/>
  <c r="AG136"/>
  <c r="AN136" s="1"/>
  <c r="AK126"/>
  <c r="AL116"/>
  <c r="AL15" s="1"/>
  <c r="AL12" s="1"/>
  <c r="C163"/>
  <c r="AN163" s="1"/>
  <c r="X15"/>
  <c r="X12" s="1"/>
  <c r="C62"/>
  <c r="Y45"/>
  <c r="Y15" s="1"/>
  <c r="Y12" s="1"/>
  <c r="V110"/>
  <c r="C110" s="1"/>
  <c r="AN110" s="1"/>
  <c r="C111"/>
  <c r="AN111" s="1"/>
  <c r="AG62"/>
  <c r="AN62" s="1"/>
  <c r="AG81"/>
  <c r="AN81" s="1"/>
  <c r="AN82"/>
  <c r="V46"/>
  <c r="C47"/>
  <c r="AN47" s="1"/>
  <c r="E15"/>
  <c r="G12"/>
  <c r="E12" s="1"/>
  <c r="AN157"/>
  <c r="I39" i="43"/>
  <c r="E40"/>
  <c r="AG39"/>
  <c r="AN66"/>
  <c r="C56"/>
  <c r="C23"/>
  <c r="X19"/>
  <c r="X18" s="1"/>
  <c r="H19"/>
  <c r="H18" s="1"/>
  <c r="C92"/>
  <c r="C72"/>
  <c r="AN72" s="1"/>
  <c r="AN73"/>
  <c r="N50"/>
  <c r="R40"/>
  <c r="R39" s="1"/>
  <c r="R19" s="1"/>
  <c r="R18" s="1"/>
  <c r="N18" s="1"/>
  <c r="M18" s="1"/>
  <c r="AN59"/>
  <c r="AG57"/>
  <c r="P28" i="42"/>
  <c r="I15"/>
  <c r="AN56" i="44" l="1"/>
  <c r="AG46"/>
  <c r="AG45" s="1"/>
  <c r="D12"/>
  <c r="V45"/>
  <c r="C45" s="1"/>
  <c r="AN45" s="1"/>
  <c r="C46"/>
  <c r="AN46" s="1"/>
  <c r="AG126"/>
  <c r="AK116"/>
  <c r="AK15" s="1"/>
  <c r="AK12" s="1"/>
  <c r="V16"/>
  <c r="V15" s="1"/>
  <c r="V12" s="1"/>
  <c r="AP81"/>
  <c r="C104"/>
  <c r="AN104" s="1"/>
  <c r="V101"/>
  <c r="C101" s="1"/>
  <c r="AN101" s="1"/>
  <c r="D15"/>
  <c r="AN23" i="43"/>
  <c r="C22"/>
  <c r="AN22" s="1"/>
  <c r="I19"/>
  <c r="I18" s="1"/>
  <c r="E39"/>
  <c r="AG56"/>
  <c r="AG19" s="1"/>
  <c r="AN57"/>
  <c r="AN56" s="1"/>
  <c r="M50"/>
  <c r="N40"/>
  <c r="N39" s="1"/>
  <c r="N19" s="1"/>
  <c r="P15" i="42"/>
  <c r="I13"/>
  <c r="P13" s="1"/>
  <c r="AN126" i="44" l="1"/>
  <c r="AG116"/>
  <c r="C15"/>
  <c r="C12"/>
  <c r="C16"/>
  <c r="AN16" s="1"/>
  <c r="AG18" i="43"/>
  <c r="M40"/>
  <c r="M39" s="1"/>
  <c r="M19" s="1"/>
  <c r="C50"/>
  <c r="C40" s="1"/>
  <c r="AN40" s="1"/>
  <c r="D39"/>
  <c r="D19" s="1"/>
  <c r="E19"/>
  <c r="E18" s="1"/>
  <c r="AN116" i="44" l="1"/>
  <c r="AG15"/>
  <c r="AN50" i="43"/>
  <c r="C19"/>
  <c r="AN19" s="1"/>
  <c r="D18"/>
  <c r="C18" s="1"/>
  <c r="C3" s="1"/>
  <c r="AG12" i="44" l="1"/>
  <c r="AN12" s="1"/>
  <c r="AN15"/>
  <c r="C39" i="43"/>
  <c r="AN39" s="1"/>
  <c r="AN18"/>
  <c r="J42" i="41" l="1"/>
  <c r="G5" l="1"/>
  <c r="C48"/>
  <c r="C47" s="1"/>
  <c r="C46" s="1"/>
  <c r="M47"/>
  <c r="L47"/>
  <c r="L46" s="1"/>
  <c r="K47"/>
  <c r="J47"/>
  <c r="J46" s="1"/>
  <c r="I47"/>
  <c r="H47"/>
  <c r="H46" s="1"/>
  <c r="G47"/>
  <c r="G46" s="1"/>
  <c r="F47"/>
  <c r="F46" s="1"/>
  <c r="E47"/>
  <c r="E46" s="1"/>
  <c r="D47"/>
  <c r="D46" s="1"/>
  <c r="M46"/>
  <c r="K46"/>
  <c r="I46"/>
  <c r="L45"/>
  <c r="L44" s="1"/>
  <c r="G45"/>
  <c r="K45" s="1"/>
  <c r="K44" s="1"/>
  <c r="C45"/>
  <c r="C44" s="1"/>
  <c r="M44"/>
  <c r="J44"/>
  <c r="I44"/>
  <c r="H44"/>
  <c r="F44"/>
  <c r="E44"/>
  <c r="D44"/>
  <c r="J43"/>
  <c r="J41" s="1"/>
  <c r="J40" s="1"/>
  <c r="F43"/>
  <c r="C43" s="1"/>
  <c r="M42"/>
  <c r="L42"/>
  <c r="H42"/>
  <c r="G42" s="1"/>
  <c r="F42"/>
  <c r="C42" s="1"/>
  <c r="I41"/>
  <c r="H41"/>
  <c r="E41"/>
  <c r="E40" s="1"/>
  <c r="D41"/>
  <c r="I40"/>
  <c r="H40"/>
  <c r="D40"/>
  <c r="C34"/>
  <c r="K34" s="1"/>
  <c r="Q33"/>
  <c r="G33"/>
  <c r="F33"/>
  <c r="N33" s="1"/>
  <c r="Q32"/>
  <c r="N32"/>
  <c r="K32"/>
  <c r="G32"/>
  <c r="M32" s="1"/>
  <c r="C32"/>
  <c r="Q31"/>
  <c r="N31"/>
  <c r="G31"/>
  <c r="C31"/>
  <c r="Q30"/>
  <c r="G30"/>
  <c r="F30"/>
  <c r="N30" s="1"/>
  <c r="Q29"/>
  <c r="N29"/>
  <c r="K29"/>
  <c r="G29"/>
  <c r="C29"/>
  <c r="Q28"/>
  <c r="N28"/>
  <c r="L28"/>
  <c r="K28"/>
  <c r="G28"/>
  <c r="M28" s="1"/>
  <c r="C28"/>
  <c r="Q27"/>
  <c r="F27"/>
  <c r="N27" s="1"/>
  <c r="Q26"/>
  <c r="N26"/>
  <c r="C26"/>
  <c r="K26" s="1"/>
  <c r="Q25"/>
  <c r="M25"/>
  <c r="G25"/>
  <c r="F25"/>
  <c r="N25" s="1"/>
  <c r="G24"/>
  <c r="E24"/>
  <c r="Q24" s="1"/>
  <c r="C24"/>
  <c r="K24" s="1"/>
  <c r="Q23"/>
  <c r="G23"/>
  <c r="F23"/>
  <c r="N23" s="1"/>
  <c r="Q22"/>
  <c r="N22"/>
  <c r="G22"/>
  <c r="K22" s="1"/>
  <c r="C22"/>
  <c r="Q21"/>
  <c r="G21"/>
  <c r="F21"/>
  <c r="N21" s="1"/>
  <c r="Q20"/>
  <c r="M20"/>
  <c r="K20"/>
  <c r="G20"/>
  <c r="C20"/>
  <c r="N19"/>
  <c r="G19"/>
  <c r="K19" s="1"/>
  <c r="C19"/>
  <c r="J18"/>
  <c r="J11" s="1"/>
  <c r="I18"/>
  <c r="I11" s="1"/>
  <c r="H18"/>
  <c r="H11" s="1"/>
  <c r="F18"/>
  <c r="F11" s="1"/>
  <c r="E18"/>
  <c r="E11" s="1"/>
  <c r="D18"/>
  <c r="D11" s="1"/>
  <c r="C14" i="40"/>
  <c r="L13"/>
  <c r="G13"/>
  <c r="C13"/>
  <c r="L12"/>
  <c r="G12"/>
  <c r="C12"/>
  <c r="N11"/>
  <c r="G11"/>
  <c r="C11"/>
  <c r="J10"/>
  <c r="I10"/>
  <c r="I8" s="1"/>
  <c r="H10"/>
  <c r="H8" s="1"/>
  <c r="F10"/>
  <c r="F8" s="1"/>
  <c r="E10"/>
  <c r="E8" s="1"/>
  <c r="D10"/>
  <c r="D8" s="1"/>
  <c r="M8"/>
  <c r="K12" l="1"/>
  <c r="K13"/>
  <c r="C10"/>
  <c r="N10"/>
  <c r="N8" s="1"/>
  <c r="J8"/>
  <c r="D9" i="41"/>
  <c r="C27"/>
  <c r="K27" s="1"/>
  <c r="G43"/>
  <c r="K43" s="1"/>
  <c r="H9"/>
  <c r="Q18"/>
  <c r="R18" s="1"/>
  <c r="J9"/>
  <c r="M24"/>
  <c r="L41"/>
  <c r="L40" s="1"/>
  <c r="N43"/>
  <c r="E9"/>
  <c r="L10" i="40"/>
  <c r="P10" s="1"/>
  <c r="M41" i="41"/>
  <c r="M40" s="1"/>
  <c r="G18"/>
  <c r="G44"/>
  <c r="C8" i="40"/>
  <c r="C41" i="41"/>
  <c r="C40" s="1"/>
  <c r="K31"/>
  <c r="G10" i="40"/>
  <c r="K10" s="1"/>
  <c r="K11"/>
  <c r="G11" i="41"/>
  <c r="K42"/>
  <c r="G41"/>
  <c r="I9"/>
  <c r="M11"/>
  <c r="L9"/>
  <c r="N18"/>
  <c r="M18"/>
  <c r="C23"/>
  <c r="K23" s="1"/>
  <c r="C25"/>
  <c r="K25" s="1"/>
  <c r="C30"/>
  <c r="K30" s="1"/>
  <c r="F41"/>
  <c r="F40" s="1"/>
  <c r="F9" s="1"/>
  <c r="N42"/>
  <c r="C21"/>
  <c r="K21" s="1"/>
  <c r="C33"/>
  <c r="K33" s="1"/>
  <c r="N9" l="1"/>
  <c r="G8" i="40"/>
  <c r="L8"/>
  <c r="M9" i="41"/>
  <c r="K41"/>
  <c r="K40" s="1"/>
  <c r="G40"/>
  <c r="N41"/>
  <c r="N40" s="1"/>
  <c r="G9"/>
  <c r="C18"/>
  <c r="K8" i="40"/>
  <c r="O10"/>
  <c r="C11" i="41" l="1"/>
  <c r="K18"/>
  <c r="C9" l="1"/>
  <c r="K9" s="1"/>
  <c r="K11"/>
</calcChain>
</file>

<file path=xl/sharedStrings.xml><?xml version="1.0" encoding="utf-8"?>
<sst xmlns="http://schemas.openxmlformats.org/spreadsheetml/2006/main" count="800" uniqueCount="273">
  <si>
    <t>TỔNG CỘNG</t>
  </si>
  <si>
    <t>I</t>
  </si>
  <si>
    <t>Dự án 1: Giải quyết tình trạng thiếu đất ở, nhà ở, đất sản xuất, nước sinh hoạt</t>
  </si>
  <si>
    <t>Na Rì:</t>
  </si>
  <si>
    <t>Cụ thể theo 3 nội dung:</t>
  </si>
  <si>
    <r>
      <t xml:space="preserve">Nội dung số 01: Hỗ trợ đất ở </t>
    </r>
    <r>
      <rPr>
        <i/>
        <sz val="12"/>
        <rFont val="Times New Roman"/>
        <family val="1"/>
      </rPr>
      <t/>
    </r>
  </si>
  <si>
    <t>1.4</t>
  </si>
  <si>
    <r>
      <t xml:space="preserve">Nội dung số 02: Hỗ trợ nhà ở </t>
    </r>
    <r>
      <rPr>
        <i/>
        <sz val="12"/>
        <rFont val="Times New Roman"/>
        <family val="1"/>
      </rPr>
      <t/>
    </r>
  </si>
  <si>
    <t>2.4</t>
  </si>
  <si>
    <t>Nội dung số 03: Hỗ trợ đất sản xuất</t>
  </si>
  <si>
    <t>3.4</t>
  </si>
  <si>
    <t>Na Rì</t>
  </si>
  <si>
    <t>4.1</t>
  </si>
  <si>
    <t>II</t>
  </si>
  <si>
    <t>III</t>
  </si>
  <si>
    <t>Dự án 3: Phát triển sản xuất nông, lâm nghiệp bền vững, phát huy tiềm năng, thế mạnh của các vùng miền để sản xuất hàng hóa theo chuỗi giá trị</t>
  </si>
  <si>
    <t>IV</t>
  </si>
  <si>
    <t>Dự án 4: Đầu tư cơ sở hạ tầng thiết yếu, phục vụ sản xuất, đời sống trong vùng đồng bào dân tộc thiểu số và miền núi và các đơn vị sự nghiệp công lập của lĩnh vực dân tộc</t>
  </si>
  <si>
    <t>DA4 phân cấp huyện điều hành</t>
  </si>
  <si>
    <t>DA4 tỉnh điều hành (đường QP-ĐX)</t>
  </si>
  <si>
    <t>V</t>
  </si>
  <si>
    <t>Dự án 5: Phát triển giáo dục đào tạo nâng cao chất lượng nguồn nhân lực</t>
  </si>
  <si>
    <t>VI</t>
  </si>
  <si>
    <t>Dự án 6: bảo tồn, phát huy giá trị văn hóa truyền thống tốt đẹp của các dân tộc thiểu số gắn với phát triển du lịch (QĐ4295/QĐ-UBND ngày 31/12/2022)</t>
  </si>
  <si>
    <t>VII</t>
  </si>
  <si>
    <t>Dự án 7: Chăm sóc sức khỏe Nhân dân, nâng cao thể trạng, tầm vóc người dân tộc thiểu số; phòng chống suy dinh dưỡng trẻ em</t>
  </si>
  <si>
    <t>VIII</t>
  </si>
  <si>
    <t>Dự án 10: Truyền thông, tuyên truyền, vận động trong vùng đồng bào dân tộc thiểu số và miền núi. Kiểm tra, giám sát đánh giá việc tổ chức thực hiện Chương trình</t>
  </si>
  <si>
    <t>Tiểu dự án 2: Ứng dụng công nghệ thông tin hỗ trợ phát triển kinh tế - xã hội và đảm bảo an ninh trật tự vùng đồng bào dân tộc thiểu số và miền núi</t>
  </si>
  <si>
    <t>STT</t>
  </si>
  <si>
    <t>Trong đó</t>
  </si>
  <si>
    <t>3 =4+5</t>
  </si>
  <si>
    <t>KHV năm 2022 chuyển sang</t>
  </si>
  <si>
    <t>Xã…</t>
  </si>
  <si>
    <t>…</t>
  </si>
  <si>
    <t>3.4.1</t>
  </si>
  <si>
    <t>3.4.17</t>
  </si>
  <si>
    <t>6.1</t>
  </si>
  <si>
    <t>6.2</t>
  </si>
  <si>
    <t>A</t>
  </si>
  <si>
    <t>B</t>
  </si>
  <si>
    <t>-</t>
  </si>
  <si>
    <t>Tổng</t>
  </si>
  <si>
    <t>Tình hình giải ngân</t>
  </si>
  <si>
    <t>Tỷ lệ giải ngân (%)</t>
  </si>
  <si>
    <t>Đơn vị tính: Triệu đồng.</t>
  </si>
  <si>
    <t>Tổng số</t>
  </si>
  <si>
    <t>Gồm</t>
  </si>
  <si>
    <t>1=2+3</t>
  </si>
  <si>
    <t>TỔNG SỐ</t>
  </si>
  <si>
    <t>Huyện Na Rì</t>
  </si>
  <si>
    <t>Mục 3. Tiếp tục thực hiện có hiệu quả cơ cấu lại ngành nông nghiệp, phát triển kinh tế nông thôn</t>
  </si>
  <si>
    <t>Hỗ trợ xây dựng và phát triển hiệu quả các vùng nguyên liệu tập trung, chuyển đổi cơ cấu sản xuất, góp phần thúc đẩy chuyển đổi số trong nông nghiệp</t>
  </si>
  <si>
    <t>Hỗ trợ các dự án liên kết, kế hoạch liên kết chuỗi giá trị sản phẩm nông nghiệp</t>
  </si>
  <si>
    <t>Triển khai Chương trình OCOP</t>
  </si>
  <si>
    <t>Nâng cao hiệu quả hoạt động của các hình thức tổ chức sản xuất</t>
  </si>
  <si>
    <t>Hỗ trợ nâng cao chất lượng nguồn nhân lực thương mại nông thôn</t>
  </si>
  <si>
    <t>Thực hiện Chương trình Phát triển du lịch nông thôn trong xây dựng nông thôn mới gắn với bảo tồn và phát huy các giá trị văn hóa truyền thống theo hướng bền vững, bao trùm và đa giá trị.</t>
  </si>
  <si>
    <t>Nâng cao chất lượng, phát triển giáo dục ở nông thôn</t>
  </si>
  <si>
    <t>Nâng cao hiệu quả hoạt động của hệ thống thiết chế văn hóa, thể thao cơ sở</t>
  </si>
  <si>
    <t>Hỗ trợ tổ chức thực hiện Đề án/Kế hoạch được cấp có thẩm quyền phê duyệt theo hướng dẫn của Bộ Tài nguyên và Môi trường; thí điểm và hỗ trợ nhân rộng các mô hình phân loại chất thải tại nguồn phát sinh và xây dựng kế hoạch chi tiết thực hiện mô hình phân loại rác tại nguồn phát sinh.</t>
  </si>
  <si>
    <t>Xử lý, khắc khục ô nhiễm và cải thiện chất lượng môi trường</t>
  </si>
  <si>
    <t>Giữ gìn và khôi phục cảnh quan truyền thống của nông thôn Việt Nam; phát triển các mô hình thôn, xóm sáng, xanh, sạch, đẹp, an toàn, khu dân cư kiểu mẫu</t>
  </si>
  <si>
    <t>Chi hỗ trợ thực hiện Chương trình Tăng cường bảo vệ môi trường, an toàn thực phẩm và cấp nước sạch nông thôn trong xây dựng nông thôn mới giai đoạn 2021-2025</t>
  </si>
  <si>
    <t>Hỗ trợ thực hiện bộ chỉ số theo dõi, đánh giá nước sạch nông thôn; Xét nghiệm nước sạch</t>
  </si>
  <si>
    <t>Hỗ trợ phát triển mô hình tuyên truyền viên bảo vệ môi trường</t>
  </si>
  <si>
    <t>Tăng cường ứng dụng công nghệ thông tin trong thực hiện các dịch vụ hành chính công; thúc đẩy chuyển đổi số trong nông thôn mới,tăng cường ứng dụng công nghệ thông tin, công nghệ số, xây dựng nông thôn mới thông minh</t>
  </si>
  <si>
    <t>Hỗ trợ Chương trình chuyển đổi số trong xây dựng nông thôn mới, hướng tới nông thôn mới thông minh</t>
  </si>
  <si>
    <t>Phổ biến, giáo dục pháp luật, hòa giải ở cơ sở, giải quyết hòa giải, mâu thuẫn ở khu vực nông thôn</t>
  </si>
  <si>
    <t>Sở Tư pháp</t>
  </si>
  <si>
    <t>Nâng cao nhận thức, thông tin về trợ giúp pháp lý; tăng cường khả năng thụ hưởng dịch vụ trợ giúp pháp lý</t>
  </si>
  <si>
    <t>Tiếp tục tổ chức triển khai Cuộc vận động “Toàn dân đoàn kết xây dựng NTM, đô thị văn minh”; nâng cao hiệu quả thực hiện công tác giám sát và phản hiện xã hội; tăng cường vận động, phát huy vai trò làm chủ của người dân; nâng cao hiệu quả việc lấy ý kiến sự hài lòng của người dân về kết quả xây dựng NTM.</t>
  </si>
  <si>
    <t>Triển khai hiệu quả Phong trào “Nông dân thi đua sản xuất kinh doanh giỏi, đoàn kết giúp nhau làm giàu và giảm nghèo bền vững”; xây dựng các Chi hội nông dân nghề nghiệp, Tổ hội nông dân nghề nghiệp theo nguyên tắc “5 tự” và “5 cùng”.</t>
  </si>
  <si>
    <t>Triển khai hiệu quả Đề án “Hỗ trợ phụ nữ khởi nghiệp giai đoạn 2017-2025”.</t>
  </si>
  <si>
    <t>Thúc đẩy chương trình khởi nghiệp, thanh niên làm kinh tế; triển khai hiệu quả Chương trình Trí thức trẻ tình nguyện tham gia xây dựng NTM</t>
  </si>
  <si>
    <t>Vun đắp, gìn giữ giá trị tốt đẹp và phát triển hệ giá trị gia đình Việt Nam; thực hiện Cuộc vận động “Xây dựng gia đình 5 không, 3 sạch”.</t>
  </si>
  <si>
    <t>IX</t>
  </si>
  <si>
    <t>Tăng cường đảm bảo an ninh và trật tự xã hội nông thôn</t>
  </si>
  <si>
    <t>X</t>
  </si>
  <si>
    <t>Chi nâng cao chất lượng và hiệu quả công tác kiểm tra, giám sát, đánh giá kết quả thực hiện Chương trình; xây dựng hệ thống giám sát, đánh giá; nhân rộng mô hình giám sát an ninh hiện đại và giám sát của cộng đồng</t>
  </si>
  <si>
    <t>Đào tạo nâng cao năng lực đội ngũ cán bộ làm công tác xây dựng nông thôn mới các cấp, nâng cao nhận thức và chuyển đổi tư duy của người dân và cộng đồng</t>
  </si>
  <si>
    <t>Đẩy mạnh, đa dạng hình thức thông tin, truyền thông; triển khai phong trào “Cả nước thi đua xây dựng nông thôn mới”.</t>
  </si>
  <si>
    <t>XI</t>
  </si>
  <si>
    <t>Mục 11: Duy tu bảo dưỡng, vận hành các công trình sau đầu tư trên địa bàn xã</t>
  </si>
  <si>
    <t>Phân bổ cho các huyện để thực hiện CTNTM</t>
  </si>
  <si>
    <t>Đơn vị tính: Đồng.</t>
  </si>
  <si>
    <t>Dự án 1. Hỗ trợ đầu tư phát triển hạ tầng KTXH các huyện nghèo, các xã ĐBKK vùng bãi ngang, ven biển và hải đảo</t>
  </si>
  <si>
    <t>TDA 1. Hỗ trợ đầu tư phát triển hạ tầng KTXH tại các huyện nghèo, xã ĐBKK vùng bãi ngang, ven biển và hải đảo</t>
  </si>
  <si>
    <t xml:space="preserve">Dự án 2. Đa dạng hóa sinh kế, phát triển mô hình giảm nghèo </t>
  </si>
  <si>
    <t>Dự án 3.  Hỗ trợ phát triển sản xuất</t>
  </si>
  <si>
    <t>Tiểu dự án 1: Hỗ trợ phát triển sản xuất trong lĩnh vực nông nghiệp</t>
  </si>
  <si>
    <t>Tiểu dự án 2: Cải thiện dinh dưỡng</t>
  </si>
  <si>
    <t>Dự án 4.  Phát triển giáo dục nghề nghiệp, việc làm bền vững</t>
  </si>
  <si>
    <t>*</t>
  </si>
  <si>
    <t>Tiểu dự án 1. Phát triển giáo dục nghề nghiệp vùng nghèo, vùng khó khăn</t>
  </si>
  <si>
    <t xml:space="preserve"> - </t>
  </si>
  <si>
    <t>Nội dung hỗ trợ một số cơ sở giáo dục nghề nghiệp công lập trên địa bàn tỉnh</t>
  </si>
  <si>
    <t>Nội dung hỗ trợ đào tạo nghề cho người lao động thuộc hộ nghèo, hộ cận nghèo, hộ mới thoát nghèo; người có thu nhập thấp</t>
  </si>
  <si>
    <t>Tiểu dự án 2. Hỗ trợ người LĐ đi làm việc ở nước ngoài theo hợp đồng</t>
  </si>
  <si>
    <t>Tiểu dự án 3. Hỗ trợ việc làm bền vững</t>
  </si>
  <si>
    <t>Dự án 5: Hỗ trợ nhà ở cho hộ nghèo, hộ cận nghèo trên địa bàn huyện nghèo</t>
  </si>
  <si>
    <t>Dự án 6:Truyền thông và giảm nghèo về thông tin</t>
  </si>
  <si>
    <t>Tiểu dự án 1. Giảm nghèo về thông tin</t>
  </si>
  <si>
    <t>Tiểu dự án 2. Truyền thông về giảm nghèo đa chiều</t>
  </si>
  <si>
    <t>Dự án 7. Nâng cao năng lực và giám sát, đánh giá Chương trình</t>
  </si>
  <si>
    <t>Tiểu dự án 1. Nâng cao năng lực thực hiện Chương trình</t>
  </si>
  <si>
    <t>Tiểu dự án 2. Giám sát, đánh giá</t>
  </si>
  <si>
    <t>Tiểu dự án 1: Phát triển kinh tế nông, lâm nghiệp bền vững gắn với bảo vệ rừng và nâng cao thu nhập cho người dân</t>
  </si>
  <si>
    <t>Tiểu dự án 2: Hỗ trợ phát triển sản xuất theo chuỗi giá trị, vùng trồng dược liệu quý, thúc đẩy khởi sự kinh doanh, khởi nghiệp và thu hút đầu tư vùng đồng bào dân tộc thiểu số và miền núi - Hỗ trợ phát triển trồng vùng dược liệu quý</t>
  </si>
  <si>
    <t>Tiểu dự án 1: Đầu tư cơ sở hạ tầng thiết yếu, phục vụ sản xuất, đời sống trong vùng đồng bào dân tộc thiểu số và miền núi</t>
  </si>
  <si>
    <t>Tiểu dự án 1: Đổi mới hoạt động, củng cố phát triển các trường phổ thông dân tộc nội trú, trường phổ thông dân tộc bán trú, trường phổ thông có học sinh ở bán trú và xóa mù chữ cho người dân vùng đồng bào dân tộc thiểu số</t>
  </si>
  <si>
    <t>Tiểu dự án 2: Bồi dưỡng kiến thức dân tộc; đào tạo dự bị đại học, đại học và sau đại học đáp ứng nhu cầu nhân lực cho vùng đồng bào dân tộc thiểu số và miền núi</t>
  </si>
  <si>
    <t>Tiểu dự án 3: Dự án phát triển giáo dục nghề nghiệp và giải quyết việc làm cho người lao động vùng dân tộc thiểu số và miền núi</t>
  </si>
  <si>
    <t>Tiểu dự án 4: Đào tạo nâng cao năng lực cho cộng đồng và cán bộ triển khai Chương trình ở các cấp</t>
  </si>
  <si>
    <t>Dự án 6: Bảo tồn, phát huy giá trị văn hóa truyền thống tốt đẹp của các dân tộc thiểu số gắn với phát triển du lịch</t>
  </si>
  <si>
    <t>Dự án 8: Thực hiện bình đẳng giới và giải quyết những vấn đề cấp thiết đối với phụ nữ và trẻ em</t>
  </si>
  <si>
    <t>Dự án 9: Đầu tư phát triển nhóm dân tộc thiểu số rất ít người và nhóm dân tộc còn nhiều khó khăn</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</si>
  <si>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dân tộc thiểu số và miền núi giai đoạn 2021-2030</t>
  </si>
  <si>
    <t>Tiểu dự án 3: Kiểm tra, giám sát, đánh giá, đào tạo, tập huấn tổ chức thực hiện Chương trình</t>
  </si>
  <si>
    <t>Chi tiêt theo từng đơn vị (như biểu GN)</t>
  </si>
  <si>
    <t>….</t>
  </si>
  <si>
    <t>Chi tiết theo từng nội dung thành phần:</t>
  </si>
  <si>
    <t>Chi tiết theo từng đơn vị (như biểu GN)</t>
  </si>
  <si>
    <t>NỘI DUNG</t>
  </si>
  <si>
    <t>TRONG ĐÓ</t>
  </si>
  <si>
    <t>DỰ ÁN/TIỂU DỰ ÁN</t>
  </si>
  <si>
    <t>TỔNG NGUỒN VỐN ĐƯỢC GIAO</t>
  </si>
  <si>
    <t>BIỂU SỐ 05</t>
  </si>
  <si>
    <t>Kết quả giải ngân</t>
  </si>
  <si>
    <t>10=7/3</t>
  </si>
  <si>
    <t>11=8/4</t>
  </si>
  <si>
    <t>12=9/5</t>
  </si>
  <si>
    <t>Khó khăn, vướng mắc; nguyên nhân (nếu có)</t>
  </si>
  <si>
    <t>Kiến nghị, đề xuất (nếu có)</t>
  </si>
  <si>
    <t>10=7/1</t>
  </si>
  <si>
    <t>Biểu số 01: BIỂU THEO DÕI, BÁO CÁO KẾT QUẢ THỰC HIỆN NGUỐN VỐN ĐẦU TƯ CHƯƠNG TRÌNH MTQG  XÂY DỰNG NÔNG THÔN MỚI NĂM 2024</t>
  </si>
  <si>
    <t>Tổng KHV giao năm 2024</t>
  </si>
  <si>
    <t>KHV năm 2023 chuyển sang</t>
  </si>
  <si>
    <t>KHV giao năm 2024</t>
  </si>
  <si>
    <t>7=8+9+10</t>
  </si>
  <si>
    <t>13=10/6</t>
  </si>
  <si>
    <t>Biểu số 03: BIỂU THEO DÕI, BÁO CÁO KẾT QUẢ THỰC HIỆN NGUỐN VỐN ĐẦU TƯ THỰC HIỆN CHƯƠNG TRÌNH MTQG PHÁT TRIỂN KINH TẾ XÃ HỘI VÙNG ĐỒNG BÀO DÂN TỘC THIỂU SỐ VÀ MIỀN NÚI NĂM 2024</t>
  </si>
  <si>
    <t>BIỂU THEO DÕI, BÁO CÁO TÌNH HÌNH THỰC HIỆN NGUỒN KINH PHÍ SỰ NGHIỆP CỦA CÁC DỰ ÁN THUỘC CHƯƠNG TRÌNH MỤC TIÊU QUỐC GIA XÂY DỰNG NÔNG THÔN MỚI  NĂM 2024</t>
  </si>
  <si>
    <t>Năm 2024</t>
  </si>
  <si>
    <t>Nguồn vốn  năm 2022 chuyển sang thực hiện và giải ngân năm 2024</t>
  </si>
  <si>
    <t>Nguồn vốn  năm 2023 chuyển sang thực hiện và giải ngân năm 2024</t>
  </si>
  <si>
    <t>Nguồn vốn năm 2022, 2023 phân bổ trong năm 2024</t>
  </si>
  <si>
    <t>Nguồn vốn năm 2024</t>
  </si>
  <si>
    <t>Nguồn vốn năm 2022, 2023 chuyển sang thực hiện và giải ngân năm 2024</t>
  </si>
  <si>
    <t>BIỂU THEO DÕI, BÁO CÁO TÌNH HÌNH THỰC HIỆN NGUỒN KINH PHÍ SỰ NGHIỆP NĂM 2024 CỦA CÁC DỰ ÁN THUỘC CHƯƠNG TRÌNH MỤC TIÊU QUỐC GIA GIẢM NGHÈO BỀN VỮNG</t>
  </si>
  <si>
    <t xml:space="preserve"> BIỂU THEO DÕI, BÁO CÁO KẾT QUẢ THỰC HIỆN NGUỐN VỐN SỰ NGHIỆP THỰC HIỆN CHƯƠNG TRÌNH MTQG PHÁT TRIỂN KINH TẾ XÃ HỘI VÙNG ĐỒNG BÀO DÂN TỘC THIỂU SỐ VÀ MIỀN NÚI NĂM 2024</t>
  </si>
  <si>
    <t>Xã Cường Lợi</t>
  </si>
  <si>
    <t>4.2</t>
  </si>
  <si>
    <t>Xã Lương Thượng</t>
  </si>
  <si>
    <t>Thị trấn Yến Lạc</t>
  </si>
  <si>
    <t>Xã Xuân Dương</t>
  </si>
  <si>
    <t>Xã Kim Lư</t>
  </si>
  <si>
    <t>Xã Dương Sơn</t>
  </si>
  <si>
    <t>Xã Kim Hỷ</t>
  </si>
  <si>
    <t>Xã Văn Lang</t>
  </si>
  <si>
    <t>Xã Sơn Thành</t>
  </si>
  <si>
    <t>Xã Văn Vũ</t>
  </si>
  <si>
    <t>Xã Trần Phú</t>
  </si>
  <si>
    <t>Xã Đổng Xá</t>
  </si>
  <si>
    <t>Xã Quang Phong</t>
  </si>
  <si>
    <t>2.4.1</t>
  </si>
  <si>
    <t>2.4.2</t>
  </si>
  <si>
    <t>2.4.3</t>
  </si>
  <si>
    <t>2.4.4</t>
  </si>
  <si>
    <t>2.4.5</t>
  </si>
  <si>
    <t>2.4.6</t>
  </si>
  <si>
    <t>2.4.7</t>
  </si>
  <si>
    <t>2.4.8</t>
  </si>
  <si>
    <t>2.4.9</t>
  </si>
  <si>
    <t>2.4.10</t>
  </si>
  <si>
    <t>2.4.11</t>
  </si>
  <si>
    <t>2.4.12</t>
  </si>
  <si>
    <t>2.4.13</t>
  </si>
  <si>
    <t>2.4.14</t>
  </si>
  <si>
    <t>Xã Côn Minh</t>
  </si>
  <si>
    <t>2.4.15</t>
  </si>
  <si>
    <t>Xã Cư Lễ</t>
  </si>
  <si>
    <t>2.4.16</t>
  </si>
  <si>
    <t>Chưa phân bổ</t>
  </si>
  <si>
    <t>Phòng Nông nghiệp &amp;PTNT</t>
  </si>
  <si>
    <t>Xã Văn Minh</t>
  </si>
  <si>
    <t>Xã Liêm Thủy</t>
  </si>
  <si>
    <t>xã Côn Minh</t>
  </si>
  <si>
    <t xml:space="preserve">UB Mặt trận Tổ quốc </t>
  </si>
  <si>
    <t>Xã  Cường Lợi</t>
  </si>
  <si>
    <t>Trung tâm Dịch vụ Nông nghiệp</t>
  </si>
  <si>
    <t>Trung tâm Y tế</t>
  </si>
  <si>
    <t xml:space="preserve"> </t>
  </si>
  <si>
    <t>Phòng Lao động Thương binh &amp;XH</t>
  </si>
  <si>
    <t>Phòng Văn hóa &amp; Thông tin</t>
  </si>
  <si>
    <t xml:space="preserve"> -</t>
  </si>
  <si>
    <t>Trung tâm VH TT&amp;TT</t>
  </si>
  <si>
    <t xml:space="preserve">Phòng Lao động - TB&amp;XH </t>
  </si>
  <si>
    <t>UBND thị trấn Yến Lạc</t>
  </si>
  <si>
    <t>UBND xã Kim Hỷ</t>
  </si>
  <si>
    <t>UBND xã Lương Thượng</t>
  </si>
  <si>
    <t>UBND xã Văn Lang</t>
  </si>
  <si>
    <t>UBND xã  Sơn Thành</t>
  </si>
  <si>
    <t>UBND xã Văn Vũ</t>
  </si>
  <si>
    <t>UBND xã Cường Lợi</t>
  </si>
  <si>
    <t>UBND xã Kim Lư</t>
  </si>
  <si>
    <t>UBND xã Văn Minh</t>
  </si>
  <si>
    <t>UBND xã Cư Lễ</t>
  </si>
  <si>
    <t>UBND xã Trần Phú</t>
  </si>
  <si>
    <t>UBND xã Quang Phong</t>
  </si>
  <si>
    <t>UBND xã Côn Minh</t>
  </si>
  <si>
    <t>UBND xã Đổng Xá</t>
  </si>
  <si>
    <t>UBND xã Liêm Thủy</t>
  </si>
  <si>
    <t>UBND xã Xuân Dương</t>
  </si>
  <si>
    <t>UBND xã Dương Sơn</t>
  </si>
  <si>
    <t>Nội dung số 03: Hỗ trợ chuyển đổi nghề</t>
  </si>
  <si>
    <t>UBND xã Sơn Thành</t>
  </si>
  <si>
    <t>Trung tâm Dịch vụ nông nghiệp huyện</t>
  </si>
  <si>
    <t>UBND thị  trấn Yến Lạc</t>
  </si>
  <si>
    <t>Phòng Giáo dục &amp; Đào tạo</t>
  </si>
  <si>
    <t>Phòng Nội vụ</t>
  </si>
  <si>
    <t>Phòng Lao động TB và XH</t>
  </si>
  <si>
    <t>Trung tâm giáo dục nghề nghiệp - Giáo dục thường xuyên</t>
  </si>
  <si>
    <t>Văn phòng HĐND-UBND</t>
  </si>
  <si>
    <t>Hội liên Hiệp Phụ nữ</t>
  </si>
  <si>
    <t>Phòng Tư Pháp</t>
  </si>
  <si>
    <t>Ủy ban Mặt trận Tổ quốc Việt Nam huyện</t>
  </si>
  <si>
    <t>Phòng NN&amp;PTNT huyện</t>
  </si>
  <si>
    <t>Phòng Kinh tế - Hạ tầng huyện</t>
  </si>
  <si>
    <t>Hạt Kiểm lâm huyện</t>
  </si>
  <si>
    <t>Nội dung số 04: Hỗ trợ nước sinh hoạt phân tán</t>
  </si>
  <si>
    <t>Dư chưa phân bổ</t>
  </si>
  <si>
    <t>Phòng Tài nguyên &amp; Môi trường</t>
  </si>
  <si>
    <t>Xã  Văn Minh</t>
  </si>
  <si>
    <t>Trung tâm GDNN-GDTX</t>
  </si>
  <si>
    <t>4.3</t>
  </si>
  <si>
    <t>Giao đầu năm</t>
  </si>
  <si>
    <t>Xã Liêm thủy</t>
  </si>
  <si>
    <t>UBND xã  Đổng Xá</t>
  </si>
  <si>
    <t>Tiểu dự án 2: Giảm thiểu tình trạng tảo hôn và hôn nhân cận huyết thống trong vùng đồng bào dân tộc thiểu số và miền núi</t>
  </si>
  <si>
    <t>Đầu năm</t>
  </si>
  <si>
    <t>Cấp bổ sung</t>
  </si>
  <si>
    <t>NSĐP</t>
  </si>
  <si>
    <t>NSTW</t>
  </si>
  <si>
    <t>Chuyển nguồn</t>
  </si>
  <si>
    <t>Bổ sung</t>
  </si>
  <si>
    <t>Điều chỉnh Giảm</t>
  </si>
  <si>
    <t>Giảm</t>
  </si>
  <si>
    <t>Dư chưa phân bổ (Trung tâm giáo dục nghề nghiệp - Giáo dục thường xuyên hủy DT)</t>
  </si>
  <si>
    <t>bổ sung</t>
  </si>
  <si>
    <t>Điều chỉnh giảm</t>
  </si>
  <si>
    <t xml:space="preserve">Nguồn chuyển nguồn </t>
  </si>
  <si>
    <t>Điều chỉnh tăng SN</t>
  </si>
  <si>
    <t>Bổ sung trong năm (L1)</t>
  </si>
  <si>
    <t>Giao bổ sung trong năm</t>
  </si>
  <si>
    <t>Nội dung thành phần số 02: Phát triển hạ tầng kinh tế - xã hội, cơ bản đồng bộ, hiện đại, đảm bảo kết nối nông thôn - đô thị và kết nối các vùng miền</t>
  </si>
  <si>
    <t>Nội dung thành phần số 04: Giảm nghèo bền vững, đặc biệt là vùng đồng bào dân tộc thiểu số, miền núi, vùng bãi ngang ven biển và hải đảo</t>
  </si>
  <si>
    <t>Nội dung thành phần số 06: Nâng cao chất lượng đời sống văn hóa nông thôn; bảo tồn và phát huy các giá trị văn hóa truyền thống gắn với phát triển du lịch nông thôn</t>
  </si>
  <si>
    <t>Nội dung thành phần số 07: Nâng cao chất lượng môi trường, xây dựng cảnh quan nông thôn sáng-xanh-sạch-đẹp, an toàn; giữ gìn và khôi phục cảnh quan truyền thống nông thôn</t>
  </si>
  <si>
    <t>Nội dung thành phần số 08: Đẩy mạnh và nâng cao chất lượng các dịch vụ hành chính công; nâng cao chất lượng hoạt động của chính quyền cơ sở; thúc đẩy quá trình chuyển đổi số trong NTM, tăng cường ứng dụng công nghệ thông tin, công nghệ số, xây dựng NTM thông minh; bảo đảm và tăng cường khả năng tiếp cận pháp luật cho người dân; tăng cường giải pháp nhằm đảm bảo bình đẳng giới và phòng chống bạo lực trên cơ sở giới</t>
  </si>
  <si>
    <t>Nội dung thành phần số 09: Nâng cao chất lượng, phát huy vai trò của mặt trận tổ quốc Việt Nam và các tổ chức chính trị xã hội trong xây dựng nông thôn mới</t>
  </si>
  <si>
    <t>Nội dung thành phần số 10: Giữ vững quốc phòng, an ninh và trật tự xã hội nông thôn.</t>
  </si>
  <si>
    <t>Nội dung thành phần số 11: Tăng cường công tác giám sát, đánh giá thực hiện Chương trình; nâng cao năng lực xây dựng NTM; truyền thông về xây dựng NTM; thực hiện Phong trào thi đua cả nước chung sức xây dựng NTM.</t>
  </si>
  <si>
    <t>Nội dung thành phần số 01: Nâng cao hiệu quả quản lý và thực hiện xây dựng nông thôn mới theo quy hoạch nhằm nâng cao đời sống kinh tế - xã hội nông thôn gắn với quá trình đô thị hoá</t>
  </si>
  <si>
    <t>4.4</t>
  </si>
  <si>
    <t>Ban QLDA ĐTXD huyện</t>
  </si>
  <si>
    <t>Na Rì (điều chỉnh lên dự án 1)</t>
  </si>
  <si>
    <r>
      <t xml:space="preserve">Nguồn vốn giao năm 2024 </t>
    </r>
    <r>
      <rPr>
        <i/>
        <sz val="12"/>
        <color rgb="FFFF0000"/>
        <rFont val="Times New Roman"/>
        <family val="1"/>
      </rPr>
      <t>(bao gồm  nguồn vốn năm 2022, 2023 phân bổ trong năm 2024)</t>
    </r>
  </si>
  <si>
    <r>
      <t xml:space="preserve">Nguồn vốn giao năm 2024 </t>
    </r>
    <r>
      <rPr>
        <i/>
        <sz val="10"/>
        <rFont val="Times New Roman"/>
        <family val="1"/>
      </rPr>
      <t>(bao gồm  nguồn vốn năm 2022, 2023 phân bổ trong năm 2024)</t>
    </r>
  </si>
  <si>
    <t xml:space="preserve">  THỰC HIỆN ĐẾN NGÀY 20/11/2024</t>
  </si>
  <si>
    <t xml:space="preserve">    THỰC HIỆN ĐẾN NGÀY 20/11/2024</t>
  </si>
  <si>
    <t>(Kèm theo Báo cáo số 722/BC-UBND ngày 22/11/2024 của UBND huyện Na Rì)</t>
  </si>
  <si>
    <r>
      <t xml:space="preserve">Nguồn vốn giao năm 2024 </t>
    </r>
    <r>
      <rPr>
        <i/>
        <sz val="12"/>
        <rFont val="Times New Roman"/>
        <family val="1"/>
      </rPr>
      <t>(bao gồm  nguồn vốn năm 2022, 2023 phân bổ trong năm 2024)</t>
    </r>
  </si>
</sst>
</file>

<file path=xl/styles.xml><?xml version="1.0" encoding="utf-8"?>
<styleSheet xmlns="http://schemas.openxmlformats.org/spreadsheetml/2006/main">
  <numFmts count="7">
    <numFmt numFmtId="41" formatCode="_(* #,##0_);_(* \(#,##0\);_(* &quot;-&quot;_);_(@_)"/>
    <numFmt numFmtId="43" formatCode="_(* #,##0.00_);_(* \(#,##0.00\);_(* &quot;-&quot;??_);_(@_)"/>
    <numFmt numFmtId="164" formatCode="_-* #,##0.00\ _₫_-;\-* #,##0.00\ _₫_-;_-* &quot;-&quot;??\ _₫_-;_-@_-"/>
    <numFmt numFmtId="165" formatCode="_-* #,##0.00_-;\-* #,##0.00_-;_-* &quot;-&quot;??_-;_-@_-"/>
    <numFmt numFmtId="166" formatCode="_(* #,##0_);_(* \(#,##0\);_(* &quot;-&quot;??_);_(@_)"/>
    <numFmt numFmtId="167" formatCode="_-* #,##0\ _₫_-;\-* #,##0\ _₫_-;_-* &quot;-&quot;??\ _₫_-;_-@_-"/>
    <numFmt numFmtId="168" formatCode="0.0"/>
  </numFmts>
  <fonts count="70">
    <font>
      <sz val="11"/>
      <color theme="1"/>
      <name val="Calibri"/>
      <family val="2"/>
      <scheme val="minor"/>
    </font>
    <font>
      <sz val="11"/>
      <color theme="1"/>
      <name val="Calibri"/>
      <family val="2"/>
      <scheme val="minor"/>
    </font>
    <font>
      <sz val="12"/>
      <color theme="1"/>
      <name val="Times New Roman"/>
      <family val="2"/>
      <charset val="163"/>
    </font>
    <font>
      <b/>
      <sz val="12"/>
      <color theme="1"/>
      <name val="Times New Roman"/>
      <family val="1"/>
    </font>
    <font>
      <sz val="12"/>
      <name val="Times New Roman"/>
      <family val="1"/>
    </font>
    <font>
      <i/>
      <sz val="12"/>
      <name val="Times New Roman"/>
      <family val="1"/>
    </font>
    <font>
      <sz val="11"/>
      <color indexed="8"/>
      <name val="Calibri"/>
      <family val="2"/>
    </font>
    <font>
      <b/>
      <sz val="12"/>
      <name val="Times New Roman"/>
      <family val="1"/>
    </font>
    <font>
      <b/>
      <i/>
      <sz val="12"/>
      <name val="Times New Roman"/>
      <family val="1"/>
    </font>
    <font>
      <b/>
      <i/>
      <sz val="12"/>
      <color rgb="FF000000"/>
      <name val="Times New Roman"/>
      <family val="1"/>
    </font>
    <font>
      <sz val="12"/>
      <color theme="1"/>
      <name val="Times New Roman"/>
      <family val="1"/>
    </font>
    <font>
      <sz val="12"/>
      <color rgb="FF000000"/>
      <name val="Times New Roman"/>
      <family val="1"/>
    </font>
    <font>
      <sz val="14"/>
      <name val=".VnTime"/>
      <family val="2"/>
    </font>
    <font>
      <i/>
      <sz val="12"/>
      <color rgb="FF000000"/>
      <name val="Times New Roman"/>
      <family val="1"/>
    </font>
    <font>
      <b/>
      <sz val="12"/>
      <color rgb="FF000000"/>
      <name val="Times New Roman"/>
      <family val="1"/>
    </font>
    <font>
      <b/>
      <u/>
      <sz val="12"/>
      <name val="Times New Roman"/>
      <family val="1"/>
    </font>
    <font>
      <sz val="10"/>
      <name val="Arial"/>
      <family val="2"/>
    </font>
    <font>
      <i/>
      <sz val="11"/>
      <color theme="1"/>
      <name val="Calibri"/>
      <family val="2"/>
      <scheme val="minor"/>
    </font>
    <font>
      <b/>
      <sz val="11"/>
      <color theme="1"/>
      <name val="Times New Roman"/>
      <family val="1"/>
    </font>
    <font>
      <b/>
      <i/>
      <sz val="11"/>
      <color theme="1"/>
      <name val="Times New Roman"/>
      <family val="1"/>
    </font>
    <font>
      <i/>
      <sz val="11"/>
      <color theme="1"/>
      <name val="Times New Roman"/>
      <family val="1"/>
    </font>
    <font>
      <b/>
      <i/>
      <u/>
      <sz val="12"/>
      <color rgb="FF000000"/>
      <name val="Times New Roman"/>
      <family val="1"/>
    </font>
    <font>
      <sz val="11"/>
      <color rgb="FFFF0000"/>
      <name val="Calibri"/>
      <family val="2"/>
      <scheme val="minor"/>
    </font>
    <font>
      <b/>
      <sz val="12"/>
      <color rgb="FFFF0000"/>
      <name val="Times New Roman"/>
      <family val="1"/>
    </font>
    <font>
      <b/>
      <sz val="11"/>
      <color rgb="FFFF0000"/>
      <name val="Times New Roman"/>
      <family val="1"/>
    </font>
    <font>
      <sz val="11"/>
      <color theme="1"/>
      <name val="Times New Roman"/>
      <family val="1"/>
    </font>
    <font>
      <b/>
      <sz val="11"/>
      <color rgb="FFFF0000"/>
      <name val="Times \"/>
    </font>
    <font>
      <b/>
      <sz val="11"/>
      <color rgb="FF000000"/>
      <name val="Times New Roman"/>
      <family val="1"/>
    </font>
    <font>
      <i/>
      <sz val="11"/>
      <color rgb="FF000000"/>
      <name val="Times New Roman"/>
      <family val="1"/>
    </font>
    <font>
      <b/>
      <u/>
      <sz val="11"/>
      <name val="Times New Roman"/>
      <family val="1"/>
    </font>
    <font>
      <b/>
      <sz val="11"/>
      <name val="Times New Roman"/>
      <family val="1"/>
    </font>
    <font>
      <b/>
      <i/>
      <sz val="11"/>
      <color rgb="FF000000"/>
      <name val="Times New Roman"/>
      <family val="1"/>
    </font>
    <font>
      <b/>
      <i/>
      <sz val="11"/>
      <name val="Times New Roman"/>
      <family val="1"/>
    </font>
    <font>
      <i/>
      <sz val="11"/>
      <name val="Times New Roman"/>
      <family val="1"/>
    </font>
    <font>
      <sz val="11"/>
      <name val="Calibri"/>
      <family val="2"/>
      <scheme val="minor"/>
    </font>
    <font>
      <sz val="12"/>
      <name val="Calibri"/>
      <family val="2"/>
      <scheme val="minor"/>
    </font>
    <font>
      <b/>
      <sz val="11"/>
      <color theme="1"/>
      <name val="Calibri"/>
      <family val="2"/>
      <scheme val="minor"/>
    </font>
    <font>
      <sz val="12"/>
      <color theme="1"/>
      <name val="Calibri"/>
      <family val="2"/>
      <scheme val="minor"/>
    </font>
    <font>
      <b/>
      <sz val="10"/>
      <color theme="1"/>
      <name val="Times New Roman"/>
      <family val="1"/>
    </font>
    <font>
      <sz val="14"/>
      <color theme="1"/>
      <name val="Times New Roman"/>
      <family val="1"/>
    </font>
    <font>
      <i/>
      <sz val="9"/>
      <color theme="1"/>
      <name val="Times New Roman"/>
      <family val="1"/>
    </font>
    <font>
      <i/>
      <sz val="12"/>
      <color theme="1"/>
      <name val="Times New Roman"/>
      <family val="1"/>
    </font>
    <font>
      <b/>
      <u/>
      <sz val="14"/>
      <color theme="1"/>
      <name val="Times New Roman"/>
      <family val="1"/>
    </font>
    <font>
      <b/>
      <i/>
      <sz val="12"/>
      <color theme="1"/>
      <name val="Times New Roman"/>
      <family val="1"/>
    </font>
    <font>
      <i/>
      <sz val="12"/>
      <color theme="1"/>
      <name val="Calibri"/>
      <family val="2"/>
      <scheme val="minor"/>
    </font>
    <font>
      <b/>
      <sz val="16"/>
      <color theme="1"/>
      <name val="Times New Roman"/>
      <family val="1"/>
    </font>
    <font>
      <b/>
      <u/>
      <sz val="12"/>
      <color theme="1"/>
      <name val="Times New Roman"/>
      <family val="1"/>
    </font>
    <font>
      <b/>
      <sz val="10"/>
      <color rgb="FFFF0000"/>
      <name val="Times New Roman"/>
      <family val="1"/>
    </font>
    <font>
      <i/>
      <sz val="9"/>
      <color rgb="FFFF0000"/>
      <name val="Times New Roman"/>
      <family val="1"/>
    </font>
    <font>
      <sz val="10"/>
      <name val="Times New Roman"/>
      <family val="1"/>
    </font>
    <font>
      <b/>
      <sz val="10"/>
      <name val="Times New Roman"/>
      <family val="1"/>
    </font>
    <font>
      <sz val="10"/>
      <name val="Calibri"/>
      <family val="2"/>
      <scheme val="minor"/>
    </font>
    <font>
      <sz val="11"/>
      <name val="Times New Roman"/>
      <family val="1"/>
    </font>
    <font>
      <sz val="11"/>
      <color rgb="FFFF0000"/>
      <name val="Times New Roman"/>
      <family val="1"/>
    </font>
    <font>
      <i/>
      <sz val="12"/>
      <color rgb="FFFF0000"/>
      <name val="Times New Roman"/>
      <family val="1"/>
    </font>
    <font>
      <b/>
      <i/>
      <sz val="10"/>
      <name val="Times New Roman"/>
      <family val="1"/>
    </font>
    <font>
      <i/>
      <sz val="10"/>
      <name val="Times New Roman"/>
      <family val="1"/>
    </font>
    <font>
      <i/>
      <sz val="9"/>
      <name val="Times New Roman"/>
      <family val="1"/>
    </font>
    <font>
      <i/>
      <sz val="9"/>
      <name val="Calibri"/>
      <family val="2"/>
      <scheme val="minor"/>
    </font>
    <font>
      <b/>
      <u/>
      <sz val="10"/>
      <name val="Times New Roman"/>
      <family val="1"/>
    </font>
    <font>
      <b/>
      <i/>
      <sz val="12"/>
      <color rgb="FFFF0000"/>
      <name val="Times New Roman"/>
      <family val="1"/>
    </font>
    <font>
      <sz val="12"/>
      <color rgb="FFFF0000"/>
      <name val="Times New Roman"/>
      <family val="1"/>
    </font>
    <font>
      <sz val="10"/>
      <color rgb="FFFF0000"/>
      <name val="Times New Roman"/>
      <family val="1"/>
    </font>
    <font>
      <sz val="10"/>
      <color rgb="FFFF0000"/>
      <name val="Calibri"/>
      <family val="2"/>
      <scheme val="minor"/>
    </font>
    <font>
      <i/>
      <sz val="10"/>
      <color rgb="FFFF0000"/>
      <name val="Times New Roman"/>
      <family val="1"/>
    </font>
    <font>
      <b/>
      <i/>
      <sz val="10"/>
      <color rgb="FFFF0000"/>
      <name val="Times New Roman"/>
      <family val="1"/>
    </font>
    <font>
      <i/>
      <sz val="11"/>
      <color rgb="FFFF0000"/>
      <name val="Times New Roman"/>
      <family val="1"/>
    </font>
    <font>
      <b/>
      <i/>
      <sz val="11"/>
      <color rgb="FFFF0000"/>
      <name val="Times New Roman"/>
      <family val="1"/>
    </font>
    <font>
      <i/>
      <sz val="13"/>
      <color theme="1"/>
      <name val="Times New Roman"/>
      <family val="1"/>
    </font>
    <font>
      <i/>
      <sz val="13"/>
      <name val="Times New Roman"/>
      <family val="1"/>
    </font>
  </fonts>
  <fills count="12">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FFFFFF"/>
        <bgColor rgb="FF000000"/>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5" tint="0.79998168889431442"/>
        <bgColor indexed="64"/>
      </patternFill>
    </fill>
    <fill>
      <patternFill patternType="solid">
        <fgColor rgb="FFFFFF00"/>
        <bgColor indexed="64"/>
      </patternFill>
    </fill>
    <fill>
      <patternFill patternType="solid">
        <fgColor theme="0"/>
        <bgColor rgb="FF000000"/>
      </patternFill>
    </fill>
    <fill>
      <patternFill patternType="solid">
        <fgColor theme="4" tint="0.79998168889431442"/>
        <bgColor indexed="64"/>
      </patternFill>
    </fill>
    <fill>
      <patternFill patternType="solid">
        <fgColor theme="4" tint="0.79998168889431442"/>
        <bgColor rgb="FF000000"/>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hair">
        <color indexed="64"/>
      </top>
      <bottom style="thin">
        <color indexed="64"/>
      </bottom>
      <diagonal/>
    </border>
    <border>
      <left/>
      <right style="thin">
        <color auto="1"/>
      </right>
      <top/>
      <bottom/>
      <diagonal/>
    </border>
    <border>
      <left style="thin">
        <color indexed="64"/>
      </left>
      <right/>
      <top/>
      <bottom/>
      <diagonal/>
    </border>
    <border>
      <left/>
      <right style="thin">
        <color indexed="64"/>
      </right>
      <top style="hair">
        <color indexed="64"/>
      </top>
      <bottom style="hair">
        <color indexed="64"/>
      </bottom>
      <diagonal/>
    </border>
  </borders>
  <cellStyleXfs count="22">
    <xf numFmtId="0" fontId="0" fillId="0" borderId="0"/>
    <xf numFmtId="0" fontId="2" fillId="0" borderId="0"/>
    <xf numFmtId="43" fontId="2" fillId="0" borderId="0" applyFont="0" applyFill="0" applyBorder="0" applyAlignment="0" applyProtection="0"/>
    <xf numFmtId="0" fontId="4" fillId="0" borderId="0"/>
    <xf numFmtId="0" fontId="6" fillId="0" borderId="0"/>
    <xf numFmtId="0" fontId="12" fillId="0" borderId="0"/>
    <xf numFmtId="41" fontId="2" fillId="0" borderId="0" applyFont="0" applyFill="0" applyBorder="0" applyAlignment="0" applyProtection="0"/>
    <xf numFmtId="43" fontId="16" fillId="0" borderId="0" applyFont="0" applyFill="0" applyBorder="0" applyAlignment="0" applyProtection="0"/>
    <xf numFmtId="0" fontId="16"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cellStyleXfs>
  <cellXfs count="536">
    <xf numFmtId="0" fontId="0" fillId="0" borderId="0" xfId="0"/>
    <xf numFmtId="0" fontId="14" fillId="0" borderId="1" xfId="1" applyFont="1" applyFill="1" applyBorder="1" applyAlignment="1">
      <alignment horizontal="center" vertical="center"/>
    </xf>
    <xf numFmtId="0" fontId="0" fillId="0" borderId="0" xfId="0" applyFill="1"/>
    <xf numFmtId="0" fontId="0" fillId="0" borderId="1" xfId="0" applyFill="1" applyBorder="1"/>
    <xf numFmtId="0" fontId="17" fillId="0" borderId="0" xfId="0" applyFont="1"/>
    <xf numFmtId="0" fontId="5" fillId="4" borderId="1" xfId="3" applyFont="1" applyFill="1" applyBorder="1" applyAlignment="1">
      <alignment vertical="center" wrapText="1"/>
    </xf>
    <xf numFmtId="0" fontId="13" fillId="0" borderId="1" xfId="1" applyFont="1" applyFill="1" applyBorder="1" applyAlignment="1">
      <alignment horizontal="center" vertical="center"/>
    </xf>
    <xf numFmtId="0" fontId="19" fillId="0" borderId="0" xfId="0" applyFont="1"/>
    <xf numFmtId="0" fontId="13" fillId="0" borderId="1" xfId="1" applyFont="1" applyFill="1" applyBorder="1" applyAlignment="1">
      <alignment horizontal="center" vertical="center" wrapText="1"/>
    </xf>
    <xf numFmtId="0" fontId="0" fillId="5" borderId="0" xfId="0" applyFill="1"/>
    <xf numFmtId="0" fontId="8" fillId="6" borderId="1" xfId="3" applyFont="1" applyFill="1" applyBorder="1" applyAlignment="1">
      <alignment vertical="center" wrapText="1"/>
    </xf>
    <xf numFmtId="166" fontId="3" fillId="0" borderId="1" xfId="1" applyNumberFormat="1" applyFont="1" applyFill="1" applyBorder="1" applyAlignment="1">
      <alignment horizontal="right" vertical="center"/>
    </xf>
    <xf numFmtId="0" fontId="15" fillId="0" borderId="1" xfId="0" applyFont="1" applyBorder="1" applyAlignment="1">
      <alignment horizontal="justify" vertical="center" wrapText="1"/>
    </xf>
    <xf numFmtId="0" fontId="9" fillId="5" borderId="1" xfId="1" applyFont="1" applyFill="1" applyBorder="1" applyAlignment="1">
      <alignment horizontal="center" vertical="center"/>
    </xf>
    <xf numFmtId="0" fontId="10" fillId="0" borderId="0" xfId="0" applyFont="1"/>
    <xf numFmtId="0" fontId="10" fillId="0" borderId="0" xfId="0" applyFont="1" applyFill="1"/>
    <xf numFmtId="0" fontId="21" fillId="0" borderId="0" xfId="1" applyFont="1" applyFill="1" applyBorder="1" applyAlignment="1">
      <alignment horizontal="center" vertical="center"/>
    </xf>
    <xf numFmtId="0" fontId="18" fillId="0" borderId="0" xfId="0" applyFont="1" applyAlignment="1">
      <alignment wrapText="1"/>
    </xf>
    <xf numFmtId="0" fontId="25" fillId="0" borderId="1" xfId="0" applyFont="1" applyBorder="1"/>
    <xf numFmtId="0" fontId="19" fillId="5" borderId="1" xfId="0" applyFont="1" applyFill="1" applyBorder="1" applyAlignment="1">
      <alignment vertical="center"/>
    </xf>
    <xf numFmtId="0" fontId="0" fillId="2" borderId="0" xfId="0" applyFill="1"/>
    <xf numFmtId="43" fontId="26" fillId="2" borderId="1" xfId="0" applyNumberFormat="1" applyFont="1" applyFill="1" applyBorder="1" applyAlignment="1">
      <alignment vertical="center"/>
    </xf>
    <xf numFmtId="0" fontId="22" fillId="2" borderId="1" xfId="0" applyFont="1" applyFill="1" applyBorder="1"/>
    <xf numFmtId="0" fontId="22" fillId="2" borderId="0" xfId="0" applyFont="1" applyFill="1"/>
    <xf numFmtId="0" fontId="0" fillId="0" borderId="0" xfId="0" applyFont="1"/>
    <xf numFmtId="0" fontId="28" fillId="0" borderId="1" xfId="1" applyFont="1" applyFill="1" applyBorder="1" applyAlignment="1">
      <alignment horizontal="center" vertical="center" wrapText="1"/>
    </xf>
    <xf numFmtId="0" fontId="24" fillId="9" borderId="1" xfId="1" applyFont="1" applyFill="1" applyBorder="1" applyAlignment="1">
      <alignment horizontal="center" vertical="center"/>
    </xf>
    <xf numFmtId="0" fontId="24" fillId="2" borderId="1" xfId="1" applyFont="1" applyFill="1" applyBorder="1" applyAlignment="1">
      <alignment horizontal="left" vertical="center" wrapText="1"/>
    </xf>
    <xf numFmtId="0" fontId="27" fillId="2" borderId="1" xfId="1" applyFont="1" applyFill="1" applyBorder="1" applyAlignment="1">
      <alignment horizontal="center" vertical="center"/>
    </xf>
    <xf numFmtId="0" fontId="29" fillId="2" borderId="1" xfId="0" applyFont="1" applyFill="1" applyBorder="1" applyAlignment="1">
      <alignment horizontal="justify" vertical="center" wrapText="1"/>
    </xf>
    <xf numFmtId="0" fontId="0" fillId="2" borderId="1" xfId="0" applyFont="1" applyFill="1" applyBorder="1"/>
    <xf numFmtId="0" fontId="30" fillId="9" borderId="1" xfId="3" applyFont="1" applyFill="1" applyBorder="1" applyAlignment="1">
      <alignment vertical="center" wrapText="1"/>
    </xf>
    <xf numFmtId="0" fontId="28" fillId="2" borderId="1" xfId="1" applyFont="1" applyFill="1" applyBorder="1" applyAlignment="1">
      <alignment horizontal="center" vertical="center"/>
    </xf>
    <xf numFmtId="0" fontId="28" fillId="2" borderId="1" xfId="1" applyFont="1" applyFill="1" applyBorder="1" applyAlignment="1">
      <alignment horizontal="left"/>
    </xf>
    <xf numFmtId="0" fontId="29" fillId="9" borderId="1" xfId="3" applyFont="1" applyFill="1" applyBorder="1" applyAlignment="1">
      <alignment vertical="center" wrapText="1"/>
    </xf>
    <xf numFmtId="0" fontId="31" fillId="2" borderId="1" xfId="1" applyFont="1" applyFill="1" applyBorder="1" applyAlignment="1">
      <alignment horizontal="center" vertical="center"/>
    </xf>
    <xf numFmtId="0" fontId="32" fillId="9" borderId="1" xfId="3" applyFont="1" applyFill="1" applyBorder="1" applyAlignment="1">
      <alignment vertical="center" wrapText="1"/>
    </xf>
    <xf numFmtId="0" fontId="33" fillId="9" borderId="1" xfId="3" applyFont="1" applyFill="1" applyBorder="1" applyAlignment="1">
      <alignment vertical="center" wrapText="1"/>
    </xf>
    <xf numFmtId="43" fontId="19" fillId="2" borderId="1" xfId="0" applyNumberFormat="1" applyFont="1" applyFill="1" applyBorder="1"/>
    <xf numFmtId="43" fontId="25" fillId="2" borderId="1" xfId="20" applyFont="1" applyFill="1" applyBorder="1" applyAlignment="1">
      <alignment horizontal="left" vertical="center"/>
    </xf>
    <xf numFmtId="43" fontId="25" fillId="2" borderId="1" xfId="20" applyFont="1" applyFill="1" applyBorder="1" applyAlignment="1">
      <alignment horizontal="right" vertical="center"/>
    </xf>
    <xf numFmtId="0" fontId="30" fillId="9" borderId="1" xfId="3" applyFont="1" applyFill="1" applyBorder="1" applyAlignment="1">
      <alignment horizontal="center" vertical="center" wrapText="1"/>
    </xf>
    <xf numFmtId="0" fontId="31" fillId="2" borderId="1" xfId="1" applyFont="1" applyFill="1" applyBorder="1" applyAlignment="1">
      <alignment horizontal="left"/>
    </xf>
    <xf numFmtId="43" fontId="19" fillId="2" borderId="1" xfId="20" applyFont="1" applyFill="1" applyBorder="1" applyAlignment="1">
      <alignment horizontal="right" vertical="center"/>
    </xf>
    <xf numFmtId="2" fontId="25" fillId="2" borderId="1" xfId="0" applyNumberFormat="1" applyFont="1" applyFill="1" applyBorder="1"/>
    <xf numFmtId="0" fontId="19" fillId="2" borderId="1" xfId="0" applyFont="1" applyFill="1" applyBorder="1" applyAlignment="1">
      <alignment vertical="center"/>
    </xf>
    <xf numFmtId="0" fontId="27" fillId="10" borderId="1" xfId="1" applyFont="1" applyFill="1" applyBorder="1" applyAlignment="1">
      <alignment horizontal="center" vertical="center"/>
    </xf>
    <xf numFmtId="0" fontId="30" fillId="11" borderId="1" xfId="3" applyFont="1" applyFill="1" applyBorder="1" applyAlignment="1">
      <alignment vertical="center" wrapText="1"/>
    </xf>
    <xf numFmtId="43" fontId="30" fillId="11" borderId="1" xfId="20" applyFont="1" applyFill="1" applyBorder="1" applyAlignment="1">
      <alignment horizontal="right" vertical="center" wrapText="1"/>
    </xf>
    <xf numFmtId="0" fontId="0" fillId="10" borderId="1" xfId="0" applyFont="1" applyFill="1" applyBorder="1"/>
    <xf numFmtId="43" fontId="18" fillId="10" borderId="1" xfId="0" applyNumberFormat="1" applyFont="1" applyFill="1" applyBorder="1" applyAlignment="1">
      <alignment vertical="center"/>
    </xf>
    <xf numFmtId="0" fontId="30" fillId="11" borderId="1" xfId="1" applyFont="1" applyFill="1" applyBorder="1" applyAlignment="1">
      <alignment horizontal="left" vertical="center" wrapText="1"/>
    </xf>
    <xf numFmtId="2" fontId="18" fillId="10" borderId="1" xfId="0" applyNumberFormat="1" applyFont="1" applyFill="1" applyBorder="1" applyAlignment="1">
      <alignment vertical="center"/>
    </xf>
    <xf numFmtId="0" fontId="18" fillId="10" borderId="1" xfId="0" applyFont="1" applyFill="1" applyBorder="1" applyAlignment="1">
      <alignment vertical="center"/>
    </xf>
    <xf numFmtId="0" fontId="31" fillId="2" borderId="1" xfId="1" applyFont="1" applyFill="1" applyBorder="1" applyAlignment="1">
      <alignment horizontal="left" vertical="center"/>
    </xf>
    <xf numFmtId="0" fontId="0" fillId="2" borderId="0" xfId="0" applyFill="1" applyAlignment="1">
      <alignment vertical="center"/>
    </xf>
    <xf numFmtId="0" fontId="28" fillId="2" borderId="1" xfId="1" applyFont="1" applyFill="1" applyBorder="1" applyAlignment="1">
      <alignment horizontal="left" vertical="center"/>
    </xf>
    <xf numFmtId="0" fontId="28" fillId="2" borderId="1" xfId="1" applyFont="1" applyFill="1" applyBorder="1" applyAlignment="1">
      <alignment horizontal="left" vertical="center" wrapText="1"/>
    </xf>
    <xf numFmtId="0" fontId="25" fillId="2" borderId="1" xfId="0" applyFont="1" applyFill="1" applyBorder="1" applyAlignment="1">
      <alignment vertical="center"/>
    </xf>
    <xf numFmtId="0" fontId="34" fillId="0" borderId="0" xfId="0" applyFont="1"/>
    <xf numFmtId="0" fontId="35" fillId="0" borderId="0" xfId="0" applyFont="1"/>
    <xf numFmtId="0" fontId="23" fillId="3" borderId="1" xfId="1" applyFont="1" applyFill="1" applyBorder="1" applyAlignment="1">
      <alignment horizontal="center" vertical="center"/>
    </xf>
    <xf numFmtId="0" fontId="23" fillId="3" borderId="1" xfId="1" applyFont="1" applyFill="1" applyBorder="1" applyAlignment="1">
      <alignment horizontal="justify" vertical="center" wrapText="1"/>
    </xf>
    <xf numFmtId="0" fontId="24" fillId="3" borderId="1" xfId="0" applyFont="1" applyFill="1" applyBorder="1" applyAlignment="1">
      <alignment vertical="center"/>
    </xf>
    <xf numFmtId="0" fontId="22" fillId="3" borderId="1" xfId="0" applyFont="1" applyFill="1" applyBorder="1"/>
    <xf numFmtId="0" fontId="22" fillId="3" borderId="0" xfId="0" applyFont="1" applyFill="1"/>
    <xf numFmtId="168" fontId="25" fillId="0" borderId="1" xfId="0" applyNumberFormat="1" applyFont="1" applyBorder="1"/>
    <xf numFmtId="168" fontId="19" fillId="5" borderId="1" xfId="0" applyNumberFormat="1" applyFont="1" applyFill="1" applyBorder="1" applyAlignment="1">
      <alignment vertical="center"/>
    </xf>
    <xf numFmtId="2" fontId="24" fillId="3" borderId="1" xfId="0" applyNumberFormat="1" applyFont="1" applyFill="1" applyBorder="1" applyAlignment="1">
      <alignment vertical="center"/>
    </xf>
    <xf numFmtId="0" fontId="36" fillId="2" borderId="1" xfId="0" applyFont="1" applyFill="1" applyBorder="1"/>
    <xf numFmtId="165" fontId="36" fillId="2" borderId="1" xfId="0" applyNumberFormat="1" applyFont="1" applyFill="1" applyBorder="1"/>
    <xf numFmtId="0" fontId="0" fillId="8" borderId="0" xfId="0" applyFill="1"/>
    <xf numFmtId="165" fontId="0" fillId="2" borderId="0" xfId="0" applyNumberFormat="1" applyFill="1"/>
    <xf numFmtId="164" fontId="0" fillId="0" borderId="0" xfId="0" applyNumberFormat="1" applyFont="1"/>
    <xf numFmtId="43" fontId="25" fillId="2" borderId="1" xfId="0" applyNumberFormat="1" applyFont="1" applyFill="1" applyBorder="1"/>
    <xf numFmtId="167" fontId="10" fillId="0" borderId="12" xfId="20" applyNumberFormat="1" applyFont="1" applyFill="1" applyBorder="1" applyAlignment="1">
      <alignment horizontal="center" vertical="center"/>
    </xf>
    <xf numFmtId="167" fontId="10" fillId="0" borderId="12" xfId="20" applyNumberFormat="1" applyFont="1" applyFill="1" applyBorder="1" applyAlignment="1">
      <alignment vertical="center" wrapText="1"/>
    </xf>
    <xf numFmtId="166" fontId="10" fillId="2" borderId="1" xfId="20" applyNumberFormat="1" applyFont="1" applyFill="1" applyBorder="1"/>
    <xf numFmtId="0" fontId="10" fillId="0" borderId="1" xfId="0" applyFont="1" applyBorder="1"/>
    <xf numFmtId="166" fontId="37" fillId="0" borderId="0" xfId="20" applyNumberFormat="1" applyFont="1"/>
    <xf numFmtId="0" fontId="37" fillId="0" borderId="0" xfId="0" applyFont="1"/>
    <xf numFmtId="167" fontId="38" fillId="2" borderId="1" xfId="20" applyNumberFormat="1" applyFont="1" applyFill="1" applyBorder="1" applyAlignment="1">
      <alignment horizontal="center" vertical="center" wrapText="1"/>
    </xf>
    <xf numFmtId="166" fontId="38" fillId="0" borderId="1" xfId="20" applyNumberFormat="1" applyFont="1" applyBorder="1" applyAlignment="1">
      <alignment vertical="center"/>
    </xf>
    <xf numFmtId="166" fontId="39" fillId="0" borderId="1" xfId="20" applyNumberFormat="1" applyFont="1" applyBorder="1" applyAlignment="1">
      <alignment horizontal="center" vertical="center"/>
    </xf>
    <xf numFmtId="167" fontId="40" fillId="2" borderId="1" xfId="20" applyNumberFormat="1" applyFont="1" applyFill="1" applyBorder="1" applyAlignment="1">
      <alignment horizontal="center" vertical="center"/>
    </xf>
    <xf numFmtId="0" fontId="25" fillId="0" borderId="0" xfId="0" applyFont="1"/>
    <xf numFmtId="166" fontId="25" fillId="0" borderId="0" xfId="20" applyNumberFormat="1" applyFont="1"/>
    <xf numFmtId="166" fontId="0" fillId="0" borderId="0" xfId="20" applyNumberFormat="1" applyFont="1"/>
    <xf numFmtId="166" fontId="25" fillId="0" borderId="0" xfId="0" applyNumberFormat="1" applyFont="1"/>
    <xf numFmtId="0" fontId="40" fillId="0" borderId="4" xfId="0" applyFont="1" applyBorder="1" applyAlignment="1">
      <alignment horizontal="center" vertical="center" wrapText="1"/>
    </xf>
    <xf numFmtId="0" fontId="18" fillId="0" borderId="0" xfId="0" applyFont="1" applyAlignment="1">
      <alignment horizontal="center"/>
    </xf>
    <xf numFmtId="3" fontId="25" fillId="0" borderId="0" xfId="0" applyNumberFormat="1" applyFont="1"/>
    <xf numFmtId="0" fontId="41" fillId="0" borderId="0" xfId="0" applyFont="1" applyAlignment="1">
      <alignment horizontal="left"/>
    </xf>
    <xf numFmtId="167" fontId="3" fillId="2" borderId="13" xfId="20" applyNumberFormat="1" applyFont="1" applyFill="1" applyBorder="1" applyAlignment="1">
      <alignment horizontal="center" vertical="center" wrapText="1"/>
    </xf>
    <xf numFmtId="0" fontId="3" fillId="2" borderId="17" xfId="0" applyFont="1" applyFill="1" applyBorder="1" applyAlignment="1">
      <alignment horizontal="center" vertical="center" wrapText="1"/>
    </xf>
    <xf numFmtId="166" fontId="0" fillId="0" borderId="0" xfId="0" applyNumberFormat="1" applyFont="1"/>
    <xf numFmtId="0" fontId="17" fillId="0" borderId="0" xfId="0" applyFont="1" applyAlignment="1">
      <alignment horizontal="center"/>
    </xf>
    <xf numFmtId="166" fontId="17" fillId="0" borderId="0" xfId="20" applyNumberFormat="1" applyFont="1" applyAlignment="1">
      <alignment horizontal="center"/>
    </xf>
    <xf numFmtId="166" fontId="18" fillId="0" borderId="1" xfId="20" applyNumberFormat="1" applyFont="1" applyBorder="1"/>
    <xf numFmtId="0" fontId="36" fillId="0" borderId="0" xfId="0" applyFont="1"/>
    <xf numFmtId="166" fontId="36" fillId="0" borderId="0" xfId="20" applyNumberFormat="1" applyFont="1"/>
    <xf numFmtId="0" fontId="10" fillId="0" borderId="12" xfId="0" applyFont="1" applyBorder="1" applyAlignment="1">
      <alignment horizontal="center" vertical="center"/>
    </xf>
    <xf numFmtId="0" fontId="3" fillId="3" borderId="12" xfId="0" applyFont="1" applyFill="1" applyBorder="1" applyAlignment="1">
      <alignment horizontal="center" vertical="center"/>
    </xf>
    <xf numFmtId="0" fontId="3" fillId="3" borderId="12" xfId="0" applyFont="1" applyFill="1" applyBorder="1" applyAlignment="1">
      <alignment vertical="center" wrapText="1"/>
    </xf>
    <xf numFmtId="0" fontId="25" fillId="3" borderId="1" xfId="0" applyFont="1" applyFill="1" applyBorder="1"/>
    <xf numFmtId="0" fontId="43" fillId="0" borderId="12" xfId="0" applyFont="1" applyBorder="1" applyAlignment="1">
      <alignment horizontal="center" vertical="center"/>
    </xf>
    <xf numFmtId="0" fontId="43" fillId="0" borderId="12" xfId="0" applyFont="1" applyBorder="1" applyAlignment="1">
      <alignment vertical="center" wrapText="1"/>
    </xf>
    <xf numFmtId="0" fontId="10" fillId="2" borderId="12" xfId="0" applyFont="1" applyFill="1" applyBorder="1" applyAlignment="1">
      <alignment horizontal="center" vertical="center"/>
    </xf>
    <xf numFmtId="0" fontId="10" fillId="2" borderId="12" xfId="0" applyFont="1" applyFill="1" applyBorder="1" applyAlignment="1">
      <alignment horizontal="justify" vertical="center" wrapText="1"/>
    </xf>
    <xf numFmtId="0" fontId="10" fillId="2" borderId="1" xfId="0" applyFont="1" applyFill="1" applyBorder="1"/>
    <xf numFmtId="0" fontId="10" fillId="2" borderId="0" xfId="0" applyFont="1" applyFill="1"/>
    <xf numFmtId="166" fontId="10" fillId="2" borderId="0" xfId="20" applyNumberFormat="1" applyFont="1" applyFill="1"/>
    <xf numFmtId="166" fontId="18" fillId="3" borderId="1" xfId="20" applyNumberFormat="1" applyFont="1" applyFill="1" applyBorder="1"/>
    <xf numFmtId="0" fontId="41" fillId="0" borderId="12" xfId="0" applyFont="1" applyBorder="1" applyAlignment="1">
      <alignment horizontal="center" vertical="center"/>
    </xf>
    <xf numFmtId="0" fontId="41" fillId="0" borderId="12" xfId="0" applyFont="1" applyBorder="1" applyAlignment="1">
      <alignment vertical="center" wrapText="1"/>
    </xf>
    <xf numFmtId="166" fontId="41" fillId="0" borderId="1" xfId="20" applyNumberFormat="1" applyFont="1" applyBorder="1"/>
    <xf numFmtId="0" fontId="10" fillId="2" borderId="12" xfId="0" applyFont="1" applyFill="1" applyBorder="1" applyAlignment="1">
      <alignment vertical="center" wrapText="1"/>
    </xf>
    <xf numFmtId="0" fontId="37" fillId="2" borderId="0" xfId="0" applyFont="1" applyFill="1"/>
    <xf numFmtId="166" fontId="37" fillId="2" borderId="0" xfId="20" applyNumberFormat="1" applyFont="1" applyFill="1"/>
    <xf numFmtId="166" fontId="10" fillId="2" borderId="1" xfId="0" applyNumberFormat="1" applyFont="1" applyFill="1" applyBorder="1"/>
    <xf numFmtId="166" fontId="25" fillId="0" borderId="1" xfId="0" applyNumberFormat="1" applyFont="1" applyBorder="1"/>
    <xf numFmtId="0" fontId="41" fillId="0" borderId="1" xfId="0" applyFont="1" applyBorder="1"/>
    <xf numFmtId="0" fontId="44" fillId="0" borderId="0" xfId="0" applyFont="1"/>
    <xf numFmtId="166" fontId="44" fillId="0" borderId="0" xfId="20" applyNumberFormat="1" applyFont="1"/>
    <xf numFmtId="0" fontId="10" fillId="0" borderId="12" xfId="0" applyFont="1" applyBorder="1" applyAlignment="1">
      <alignment vertical="center" wrapText="1"/>
    </xf>
    <xf numFmtId="166" fontId="10" fillId="0" borderId="0" xfId="20" applyNumberFormat="1" applyFont="1"/>
    <xf numFmtId="0" fontId="3" fillId="0" borderId="3" xfId="0" applyFont="1" applyBorder="1" applyAlignment="1">
      <alignment horizontal="center" vertical="center"/>
    </xf>
    <xf numFmtId="0" fontId="42" fillId="0" borderId="3" xfId="0" applyFont="1" applyBorder="1" applyAlignment="1">
      <alignment horizontal="justify" vertical="center" wrapText="1"/>
    </xf>
    <xf numFmtId="166" fontId="18" fillId="0" borderId="3" xfId="20" applyNumberFormat="1" applyFont="1" applyBorder="1"/>
    <xf numFmtId="43" fontId="18" fillId="0" borderId="3" xfId="20" applyFont="1" applyBorder="1"/>
    <xf numFmtId="166" fontId="25" fillId="3" borderId="12" xfId="20" applyNumberFormat="1" applyFont="1" applyFill="1" applyBorder="1"/>
    <xf numFmtId="43" fontId="18" fillId="0" borderId="12" xfId="20" applyFont="1" applyBorder="1"/>
    <xf numFmtId="166" fontId="25" fillId="0" borderId="12" xfId="20" applyNumberFormat="1" applyFont="1" applyBorder="1"/>
    <xf numFmtId="43" fontId="25" fillId="0" borderId="12" xfId="20" applyFont="1" applyBorder="1"/>
    <xf numFmtId="166" fontId="18" fillId="3" borderId="12" xfId="20" applyNumberFormat="1" applyFont="1" applyFill="1" applyBorder="1"/>
    <xf numFmtId="166" fontId="25" fillId="2" borderId="12" xfId="20" applyNumberFormat="1" applyFont="1" applyFill="1" applyBorder="1"/>
    <xf numFmtId="43" fontId="25" fillId="2" borderId="12" xfId="20" applyFont="1" applyFill="1" applyBorder="1"/>
    <xf numFmtId="0" fontId="10" fillId="2" borderId="12" xfId="0" quotePrefix="1" applyFont="1" applyFill="1" applyBorder="1" applyAlignment="1">
      <alignment horizontal="center" vertical="center"/>
    </xf>
    <xf numFmtId="0" fontId="10" fillId="2" borderId="12" xfId="0" applyFont="1" applyFill="1" applyBorder="1" applyAlignment="1">
      <alignment vertical="center"/>
    </xf>
    <xf numFmtId="0" fontId="10" fillId="2" borderId="16" xfId="0" quotePrefix="1" applyFont="1" applyFill="1" applyBorder="1" applyAlignment="1">
      <alignment horizontal="center" vertical="center"/>
    </xf>
    <xf numFmtId="0" fontId="10" fillId="2" borderId="16" xfId="0" applyFont="1" applyFill="1" applyBorder="1" applyAlignment="1">
      <alignment vertical="center" wrapText="1"/>
    </xf>
    <xf numFmtId="166" fontId="25" fillId="0" borderId="16" xfId="20" applyNumberFormat="1" applyFont="1" applyBorder="1"/>
    <xf numFmtId="43" fontId="18" fillId="0" borderId="16" xfId="20" applyFont="1" applyBorder="1"/>
    <xf numFmtId="0" fontId="18" fillId="3" borderId="12" xfId="0" applyFont="1" applyFill="1" applyBorder="1" applyAlignment="1">
      <alignment horizontal="center" vertical="center"/>
    </xf>
    <xf numFmtId="0" fontId="18" fillId="3" borderId="12" xfId="0" applyFont="1" applyFill="1" applyBorder="1" applyAlignment="1">
      <alignment vertical="center" wrapText="1"/>
    </xf>
    <xf numFmtId="166" fontId="25" fillId="2" borderId="12" xfId="20" applyNumberFormat="1" applyFont="1" applyFill="1" applyBorder="1" applyAlignment="1">
      <alignment horizontal="right" vertical="center"/>
    </xf>
    <xf numFmtId="166" fontId="20" fillId="0" borderId="12" xfId="20" applyNumberFormat="1" applyFont="1" applyBorder="1"/>
    <xf numFmtId="166" fontId="20" fillId="2" borderId="12" xfId="20" applyNumberFormat="1" applyFont="1" applyFill="1" applyBorder="1"/>
    <xf numFmtId="166" fontId="20" fillId="2" borderId="12" xfId="20" applyNumberFormat="1" applyFont="1" applyFill="1" applyBorder="1" applyAlignment="1">
      <alignment horizontal="right" vertical="center"/>
    </xf>
    <xf numFmtId="166" fontId="19" fillId="0" borderId="12" xfId="20" applyNumberFormat="1" applyFont="1" applyBorder="1"/>
    <xf numFmtId="166" fontId="18" fillId="0" borderId="12" xfId="20" applyNumberFormat="1" applyFont="1" applyBorder="1"/>
    <xf numFmtId="166" fontId="25" fillId="2" borderId="12" xfId="20" applyNumberFormat="1" applyFont="1" applyFill="1" applyBorder="1" applyAlignment="1">
      <alignment horizontal="center" vertical="center"/>
    </xf>
    <xf numFmtId="0" fontId="25" fillId="0" borderId="12" xfId="0" applyFont="1" applyBorder="1"/>
    <xf numFmtId="166" fontId="25" fillId="2" borderId="16" xfId="20" applyNumberFormat="1" applyFont="1" applyFill="1" applyBorder="1"/>
    <xf numFmtId="0" fontId="25" fillId="0" borderId="16" xfId="0" applyFont="1" applyBorder="1"/>
    <xf numFmtId="3" fontId="0" fillId="0" borderId="0" xfId="0" applyNumberFormat="1" applyFont="1"/>
    <xf numFmtId="0" fontId="40" fillId="2" borderId="1" xfId="0" applyFont="1" applyFill="1" applyBorder="1" applyAlignment="1">
      <alignment horizontal="center" vertical="center" wrapText="1"/>
    </xf>
    <xf numFmtId="0" fontId="17" fillId="0" borderId="0" xfId="0" applyFont="1" applyAlignment="1">
      <alignment horizontal="center" vertical="center"/>
    </xf>
    <xf numFmtId="166" fontId="17" fillId="0" borderId="0" xfId="20" applyNumberFormat="1" applyFont="1" applyAlignment="1">
      <alignment horizontal="center" vertical="center"/>
    </xf>
    <xf numFmtId="3" fontId="3" fillId="2" borderId="3" xfId="20" applyNumberFormat="1" applyFont="1" applyFill="1" applyBorder="1" applyAlignment="1">
      <alignment horizontal="right" vertical="center"/>
    </xf>
    <xf numFmtId="43" fontId="3" fillId="2" borderId="3" xfId="20" applyFont="1" applyFill="1" applyBorder="1" applyAlignment="1">
      <alignment horizontal="right" vertical="center"/>
    </xf>
    <xf numFmtId="3" fontId="3" fillId="2" borderId="8" xfId="20" applyNumberFormat="1" applyFont="1" applyFill="1" applyBorder="1" applyAlignment="1">
      <alignment horizontal="right" vertical="center"/>
    </xf>
    <xf numFmtId="3" fontId="3" fillId="2" borderId="1" xfId="20" applyNumberFormat="1" applyFont="1" applyFill="1" applyBorder="1" applyAlignment="1">
      <alignment horizontal="right" vertical="center"/>
    </xf>
    <xf numFmtId="0" fontId="3" fillId="2" borderId="12" xfId="0" applyFont="1" applyFill="1" applyBorder="1" applyAlignment="1">
      <alignment horizontal="center" vertical="center"/>
    </xf>
    <xf numFmtId="0" fontId="3" fillId="0" borderId="12" xfId="0" applyFont="1" applyBorder="1" applyAlignment="1">
      <alignment horizontal="left" vertical="center" wrapText="1"/>
    </xf>
    <xf numFmtId="3" fontId="3" fillId="2" borderId="12" xfId="20" applyNumberFormat="1" applyFont="1" applyFill="1" applyBorder="1" applyAlignment="1">
      <alignment horizontal="right" vertical="center"/>
    </xf>
    <xf numFmtId="43" fontId="3" fillId="2" borderId="12" xfId="20" applyFont="1" applyFill="1" applyBorder="1" applyAlignment="1">
      <alignment horizontal="right" vertical="center"/>
    </xf>
    <xf numFmtId="3" fontId="3" fillId="2" borderId="11" xfId="20" applyNumberFormat="1" applyFont="1" applyFill="1" applyBorder="1" applyAlignment="1">
      <alignment horizontal="right" vertical="center"/>
    </xf>
    <xf numFmtId="3" fontId="3" fillId="2" borderId="4" xfId="20" applyNumberFormat="1" applyFont="1" applyFill="1" applyBorder="1" applyAlignment="1">
      <alignment horizontal="right" vertical="center"/>
    </xf>
    <xf numFmtId="0" fontId="46" fillId="0" borderId="12" xfId="0" applyFont="1" applyBorder="1" applyAlignment="1">
      <alignment horizontal="justify" vertical="center" wrapText="1"/>
    </xf>
    <xf numFmtId="3" fontId="3" fillId="2" borderId="19" xfId="20" applyNumberFormat="1" applyFont="1" applyFill="1" applyBorder="1" applyAlignment="1">
      <alignment horizontal="right" vertical="center"/>
    </xf>
    <xf numFmtId="0" fontId="3" fillId="7" borderId="12" xfId="0" applyFont="1" applyFill="1" applyBorder="1" applyAlignment="1">
      <alignment horizontal="center" vertical="center"/>
    </xf>
    <xf numFmtId="0" fontId="3" fillId="7" borderId="12" xfId="0" applyFont="1" applyFill="1" applyBorder="1" applyAlignment="1">
      <alignment horizontal="justify" vertical="center" wrapText="1"/>
    </xf>
    <xf numFmtId="3" fontId="43" fillId="7" borderId="12" xfId="20" applyNumberFormat="1" applyFont="1" applyFill="1" applyBorder="1" applyAlignment="1">
      <alignment horizontal="right" vertical="center"/>
    </xf>
    <xf numFmtId="3" fontId="10" fillId="7" borderId="12" xfId="20" applyNumberFormat="1" applyFont="1" applyFill="1" applyBorder="1" applyAlignment="1">
      <alignment horizontal="right" vertical="center"/>
    </xf>
    <xf numFmtId="3" fontId="43" fillId="7" borderId="19" xfId="20" applyNumberFormat="1" applyFont="1" applyFill="1" applyBorder="1" applyAlignment="1">
      <alignment horizontal="right" vertical="center"/>
    </xf>
    <xf numFmtId="3" fontId="3" fillId="7" borderId="12" xfId="20" applyNumberFormat="1" applyFont="1" applyFill="1" applyBorder="1" applyAlignment="1">
      <alignment horizontal="right" vertical="center"/>
    </xf>
    <xf numFmtId="3" fontId="3" fillId="7" borderId="19" xfId="20" applyNumberFormat="1" applyFont="1" applyFill="1" applyBorder="1" applyAlignment="1">
      <alignment horizontal="right" vertical="center"/>
    </xf>
    <xf numFmtId="166" fontId="3" fillId="7" borderId="12" xfId="20" applyNumberFormat="1" applyFont="1" applyFill="1" applyBorder="1" applyAlignment="1">
      <alignment horizontal="right" vertical="center"/>
    </xf>
    <xf numFmtId="0" fontId="3" fillId="2" borderId="12" xfId="0" applyFont="1" applyFill="1" applyBorder="1" applyAlignment="1">
      <alignment horizontal="justify" vertical="center" wrapText="1"/>
    </xf>
    <xf numFmtId="3" fontId="10" fillId="2" borderId="12" xfId="20" applyNumberFormat="1" applyFont="1" applyFill="1" applyBorder="1" applyAlignment="1">
      <alignment horizontal="right" vertical="center"/>
    </xf>
    <xf numFmtId="3" fontId="10" fillId="2" borderId="19" xfId="20" applyNumberFormat="1" applyFont="1" applyFill="1" applyBorder="1" applyAlignment="1">
      <alignment horizontal="right" vertical="center"/>
    </xf>
    <xf numFmtId="0" fontId="0" fillId="0" borderId="12" xfId="0" applyFont="1" applyBorder="1"/>
    <xf numFmtId="43" fontId="3" fillId="7" borderId="12" xfId="20" applyFont="1" applyFill="1" applyBorder="1" applyAlignment="1">
      <alignment horizontal="right" vertical="center"/>
    </xf>
    <xf numFmtId="43" fontId="10" fillId="2" borderId="12" xfId="20" applyFont="1" applyFill="1" applyBorder="1" applyAlignment="1">
      <alignment horizontal="right" vertical="center"/>
    </xf>
    <xf numFmtId="0" fontId="3" fillId="3" borderId="12" xfId="0" applyFont="1" applyFill="1" applyBorder="1" applyAlignment="1">
      <alignment horizontal="justify" vertical="center" wrapText="1"/>
    </xf>
    <xf numFmtId="3" fontId="3" fillId="3" borderId="12" xfId="20" applyNumberFormat="1" applyFont="1" applyFill="1" applyBorder="1" applyAlignment="1">
      <alignment horizontal="right" vertical="center"/>
    </xf>
    <xf numFmtId="43" fontId="3" fillId="3" borderId="12" xfId="20" applyFont="1" applyFill="1" applyBorder="1" applyAlignment="1">
      <alignment horizontal="right" vertical="center"/>
    </xf>
    <xf numFmtId="0" fontId="0" fillId="0" borderId="16" xfId="0" applyFont="1" applyBorder="1"/>
    <xf numFmtId="43" fontId="18" fillId="3" borderId="12" xfId="20" applyNumberFormat="1" applyFont="1" applyFill="1" applyBorder="1"/>
    <xf numFmtId="0" fontId="10" fillId="0" borderId="0" xfId="0" applyFont="1" applyAlignment="1">
      <alignment horizontal="left"/>
    </xf>
    <xf numFmtId="0" fontId="10" fillId="0" borderId="0" xfId="0" applyFont="1" applyAlignment="1">
      <alignment horizontal="justify" vertical="center" wrapText="1"/>
    </xf>
    <xf numFmtId="0" fontId="7" fillId="0" borderId="1" xfId="1" applyFont="1" applyFill="1" applyBorder="1" applyAlignment="1">
      <alignment horizontal="center" vertical="center" wrapText="1"/>
    </xf>
    <xf numFmtId="0" fontId="30" fillId="0"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30" fillId="0" borderId="1" xfId="0" applyFont="1" applyBorder="1" applyAlignment="1">
      <alignment horizontal="center" vertical="center" wrapText="1"/>
    </xf>
    <xf numFmtId="43" fontId="25" fillId="0" borderId="1" xfId="20" applyNumberFormat="1" applyFont="1" applyBorder="1"/>
    <xf numFmtId="167" fontId="48" fillId="2" borderId="1" xfId="20" applyNumberFormat="1" applyFont="1" applyFill="1" applyBorder="1" applyAlignment="1">
      <alignment horizontal="center" vertical="center"/>
    </xf>
    <xf numFmtId="0" fontId="49" fillId="0" borderId="12" xfId="0" applyFont="1" applyBorder="1" applyAlignment="1">
      <alignment horizontal="center" vertical="center"/>
    </xf>
    <xf numFmtId="0" fontId="49" fillId="0" borderId="12" xfId="0" applyFont="1" applyBorder="1" applyAlignment="1">
      <alignment vertical="center" wrapText="1"/>
    </xf>
    <xf numFmtId="166" fontId="49" fillId="0" borderId="12" xfId="0" applyNumberFormat="1" applyFont="1" applyBorder="1" applyAlignment="1">
      <alignment vertical="center"/>
    </xf>
    <xf numFmtId="166" fontId="50" fillId="0" borderId="12" xfId="0" applyNumberFormat="1" applyFont="1" applyBorder="1" applyAlignment="1">
      <alignment vertical="center"/>
    </xf>
    <xf numFmtId="166" fontId="49" fillId="0" borderId="12" xfId="20" applyNumberFormat="1" applyFont="1" applyBorder="1" applyAlignment="1">
      <alignment vertical="center"/>
    </xf>
    <xf numFmtId="0" fontId="49" fillId="0" borderId="12" xfId="0" applyFont="1" applyBorder="1" applyAlignment="1">
      <alignment vertical="center"/>
    </xf>
    <xf numFmtId="166" fontId="49" fillId="2" borderId="12" xfId="0" applyNumberFormat="1" applyFont="1" applyFill="1" applyBorder="1" applyAlignment="1">
      <alignment vertical="center"/>
    </xf>
    <xf numFmtId="166" fontId="49" fillId="2" borderId="12" xfId="20" applyNumberFormat="1" applyFont="1" applyFill="1" applyBorder="1" applyAlignment="1">
      <alignment vertical="center"/>
    </xf>
    <xf numFmtId="43" fontId="49" fillId="0" borderId="12" xfId="0" applyNumberFormat="1" applyFont="1" applyBorder="1" applyAlignment="1">
      <alignment vertical="center"/>
    </xf>
    <xf numFmtId="0" fontId="49" fillId="0" borderId="1" xfId="0" applyFont="1" applyBorder="1"/>
    <xf numFmtId="0" fontId="51" fillId="0" borderId="0" xfId="0" applyFont="1"/>
    <xf numFmtId="0" fontId="52" fillId="0" borderId="0" xfId="0" applyFont="1"/>
    <xf numFmtId="166" fontId="52" fillId="0" borderId="0" xfId="20" applyNumberFormat="1" applyFont="1"/>
    <xf numFmtId="166" fontId="51" fillId="0" borderId="0" xfId="20" applyNumberFormat="1" applyFont="1"/>
    <xf numFmtId="0" fontId="53" fillId="0" borderId="0" xfId="0" applyFont="1"/>
    <xf numFmtId="166" fontId="24" fillId="0" borderId="3" xfId="20" applyNumberFormat="1" applyFont="1" applyBorder="1"/>
    <xf numFmtId="166" fontId="53" fillId="3" borderId="12" xfId="20" applyNumberFormat="1" applyFont="1" applyFill="1" applyBorder="1"/>
    <xf numFmtId="166" fontId="53" fillId="0" borderId="12" xfId="20" applyNumberFormat="1" applyFont="1" applyBorder="1"/>
    <xf numFmtId="166" fontId="24" fillId="3" borderId="12" xfId="20" applyNumberFormat="1" applyFont="1" applyFill="1" applyBorder="1"/>
    <xf numFmtId="166" fontId="53" fillId="2" borderId="12" xfId="20" applyNumberFormat="1" applyFont="1" applyFill="1" applyBorder="1"/>
    <xf numFmtId="166" fontId="24" fillId="0" borderId="12" xfId="20" applyNumberFormat="1" applyFont="1" applyBorder="1"/>
    <xf numFmtId="0" fontId="53" fillId="0" borderId="12" xfId="0" applyFont="1" applyBorder="1"/>
    <xf numFmtId="166" fontId="53" fillId="0" borderId="16" xfId="20" applyNumberFormat="1" applyFont="1" applyBorder="1"/>
    <xf numFmtId="0" fontId="53" fillId="0" borderId="16" xfId="0" applyFont="1" applyBorder="1"/>
    <xf numFmtId="166" fontId="50" fillId="2" borderId="12" xfId="0" applyNumberFormat="1" applyFont="1" applyFill="1" applyBorder="1" applyAlignment="1">
      <alignment vertical="center"/>
    </xf>
    <xf numFmtId="0" fontId="49" fillId="2" borderId="12" xfId="0" applyFont="1" applyFill="1" applyBorder="1" applyAlignment="1">
      <alignment vertical="center"/>
    </xf>
    <xf numFmtId="166" fontId="55" fillId="3" borderId="12" xfId="0" applyNumberFormat="1" applyFont="1" applyFill="1" applyBorder="1" applyAlignment="1">
      <alignment vertical="center"/>
    </xf>
    <xf numFmtId="0" fontId="50" fillId="3" borderId="12" xfId="0" applyFont="1" applyFill="1" applyBorder="1" applyAlignment="1">
      <alignment horizontal="center" vertical="center"/>
    </xf>
    <xf numFmtId="0" fontId="50" fillId="3" borderId="12" xfId="0" applyFont="1" applyFill="1" applyBorder="1" applyAlignment="1">
      <alignment horizontal="justify" vertical="center" wrapText="1"/>
    </xf>
    <xf numFmtId="166" fontId="55" fillId="3" borderId="1" xfId="0" applyNumberFormat="1" applyFont="1" applyFill="1" applyBorder="1"/>
    <xf numFmtId="0" fontId="49" fillId="2" borderId="12" xfId="0" applyFont="1" applyFill="1" applyBorder="1" applyAlignment="1">
      <alignment horizontal="center" vertical="center"/>
    </xf>
    <xf numFmtId="0" fontId="49" fillId="2" borderId="12" xfId="0" applyFont="1" applyFill="1" applyBorder="1" applyAlignment="1">
      <alignment vertical="center" wrapText="1"/>
    </xf>
    <xf numFmtId="0" fontId="49" fillId="2" borderId="1" xfId="0" applyFont="1" applyFill="1" applyBorder="1"/>
    <xf numFmtId="166" fontId="49" fillId="8" borderId="1" xfId="0" applyNumberFormat="1" applyFont="1" applyFill="1" applyBorder="1"/>
    <xf numFmtId="0" fontId="51" fillId="2" borderId="0" xfId="0" applyFont="1" applyFill="1"/>
    <xf numFmtId="0" fontId="52" fillId="2" borderId="0" xfId="0" applyFont="1" applyFill="1"/>
    <xf numFmtId="166" fontId="52" fillId="2" borderId="0" xfId="20" applyNumberFormat="1" applyFont="1" applyFill="1"/>
    <xf numFmtId="166" fontId="51" fillId="2" borderId="0" xfId="20" applyNumberFormat="1" applyFont="1" applyFill="1"/>
    <xf numFmtId="0" fontId="49" fillId="2" borderId="12" xfId="0" applyFont="1" applyFill="1" applyBorder="1" applyAlignment="1">
      <alignment horizontal="left" vertical="center" wrapText="1"/>
    </xf>
    <xf numFmtId="0" fontId="56" fillId="0" borderId="12" xfId="0" applyFont="1" applyBorder="1" applyAlignment="1">
      <alignment horizontal="center" vertical="center"/>
    </xf>
    <xf numFmtId="0" fontId="56" fillId="2" borderId="12" xfId="0" applyFont="1" applyFill="1" applyBorder="1" applyAlignment="1">
      <alignment horizontal="justify" vertical="center" wrapText="1"/>
    </xf>
    <xf numFmtId="166" fontId="56" fillId="0" borderId="12" xfId="20" applyNumberFormat="1" applyFont="1" applyBorder="1" applyAlignment="1">
      <alignment vertical="center"/>
    </xf>
    <xf numFmtId="166" fontId="34" fillId="0" borderId="0" xfId="20" applyNumberFormat="1" applyFont="1"/>
    <xf numFmtId="166" fontId="52" fillId="0" borderId="0" xfId="0" applyNumberFormat="1" applyFont="1"/>
    <xf numFmtId="0" fontId="56" fillId="0" borderId="0" xfId="0" applyFont="1" applyAlignment="1"/>
    <xf numFmtId="166" fontId="56" fillId="0" borderId="0" xfId="0" applyNumberFormat="1" applyFont="1" applyAlignment="1"/>
    <xf numFmtId="166" fontId="4" fillId="2" borderId="12" xfId="20" applyNumberFormat="1" applyFont="1" applyFill="1" applyBorder="1" applyAlignment="1">
      <alignment vertical="center"/>
    </xf>
    <xf numFmtId="0" fontId="49" fillId="0" borderId="0" xfId="0" applyFont="1"/>
    <xf numFmtId="166" fontId="35" fillId="0" borderId="0" xfId="20" applyNumberFormat="1" applyFont="1"/>
    <xf numFmtId="0" fontId="57" fillId="0" borderId="4" xfId="0" applyFont="1" applyBorder="1" applyAlignment="1">
      <alignment horizontal="center" vertical="center" wrapText="1"/>
    </xf>
    <xf numFmtId="167" fontId="57" fillId="2" borderId="1" xfId="20" applyNumberFormat="1" applyFont="1" applyFill="1" applyBorder="1" applyAlignment="1">
      <alignment horizontal="center" vertical="center"/>
    </xf>
    <xf numFmtId="0" fontId="58" fillId="0" borderId="0" xfId="0" applyFont="1" applyAlignment="1">
      <alignment horizontal="center"/>
    </xf>
    <xf numFmtId="0" fontId="57" fillId="0" borderId="0" xfId="0" applyFont="1" applyAlignment="1">
      <alignment horizontal="center"/>
    </xf>
    <xf numFmtId="166" fontId="57" fillId="0" borderId="0" xfId="20" applyNumberFormat="1" applyFont="1" applyAlignment="1">
      <alignment horizontal="center"/>
    </xf>
    <xf numFmtId="166" fontId="58" fillId="0" borderId="0" xfId="20" applyNumberFormat="1" applyFont="1" applyAlignment="1">
      <alignment horizontal="center"/>
    </xf>
    <xf numFmtId="166" fontId="50" fillId="0" borderId="1" xfId="0" applyNumberFormat="1" applyFont="1" applyBorder="1" applyAlignment="1">
      <alignment vertical="center"/>
    </xf>
    <xf numFmtId="43" fontId="50" fillId="0" borderId="1" xfId="0" applyNumberFormat="1" applyFont="1" applyBorder="1" applyAlignment="1">
      <alignment vertical="center"/>
    </xf>
    <xf numFmtId="0" fontId="50" fillId="0" borderId="1" xfId="0" applyFont="1" applyBorder="1" applyAlignment="1">
      <alignment horizontal="left" vertical="center"/>
    </xf>
    <xf numFmtId="0" fontId="49" fillId="0" borderId="1" xfId="0" applyFont="1" applyBorder="1" applyAlignment="1">
      <alignment vertical="center"/>
    </xf>
    <xf numFmtId="0" fontId="50" fillId="0" borderId="3" xfId="0" applyFont="1" applyBorder="1" applyAlignment="1">
      <alignment horizontal="center" vertical="center"/>
    </xf>
    <xf numFmtId="0" fontId="50" fillId="0" borderId="3" xfId="0" applyFont="1" applyBorder="1" applyAlignment="1">
      <alignment horizontal="left" vertical="center"/>
    </xf>
    <xf numFmtId="0" fontId="50" fillId="0" borderId="12" xfId="0" applyFont="1" applyBorder="1" applyAlignment="1">
      <alignment horizontal="center" vertical="center"/>
    </xf>
    <xf numFmtId="0" fontId="59" fillId="0" borderId="12" xfId="0" applyFont="1" applyBorder="1" applyAlignment="1">
      <alignment horizontal="justify" vertical="center" wrapText="1"/>
    </xf>
    <xf numFmtId="166" fontId="50" fillId="0" borderId="3" xfId="0" applyNumberFormat="1" applyFont="1" applyBorder="1" applyAlignment="1">
      <alignment vertical="center"/>
    </xf>
    <xf numFmtId="43" fontId="50" fillId="0" borderId="3" xfId="0" applyNumberFormat="1" applyFont="1" applyBorder="1" applyAlignment="1">
      <alignment vertical="center"/>
    </xf>
    <xf numFmtId="0" fontId="50" fillId="7" borderId="12" xfId="0" applyFont="1" applyFill="1" applyBorder="1" applyAlignment="1">
      <alignment horizontal="center" vertical="center"/>
    </xf>
    <xf numFmtId="166" fontId="50" fillId="3" borderId="12" xfId="0" applyNumberFormat="1" applyFont="1" applyFill="1" applyBorder="1" applyAlignment="1">
      <alignment vertical="center"/>
    </xf>
    <xf numFmtId="43" fontId="50" fillId="0" borderId="12" xfId="0" applyNumberFormat="1" applyFont="1" applyBorder="1" applyAlignment="1">
      <alignment vertical="center"/>
    </xf>
    <xf numFmtId="166" fontId="50" fillId="3" borderId="1" xfId="0" applyNumberFormat="1" applyFont="1" applyFill="1" applyBorder="1" applyAlignment="1">
      <alignment vertical="center"/>
    </xf>
    <xf numFmtId="0" fontId="55" fillId="0" borderId="12" xfId="0" applyFont="1" applyBorder="1" applyAlignment="1">
      <alignment horizontal="center" vertical="center"/>
    </xf>
    <xf numFmtId="0" fontId="55" fillId="0" borderId="12" xfId="0" applyFont="1" applyBorder="1" applyAlignment="1">
      <alignment horizontal="justify" vertical="center" wrapText="1"/>
    </xf>
    <xf numFmtId="166" fontId="50" fillId="2" borderId="1" xfId="0" applyNumberFormat="1" applyFont="1" applyFill="1" applyBorder="1" applyAlignment="1">
      <alignment vertical="center"/>
    </xf>
    <xf numFmtId="0" fontId="55" fillId="2" borderId="12" xfId="0" applyFont="1" applyFill="1" applyBorder="1" applyAlignment="1">
      <alignment horizontal="center" vertical="center"/>
    </xf>
    <xf numFmtId="0" fontId="55" fillId="2" borderId="12" xfId="0" applyFont="1" applyFill="1" applyBorder="1" applyAlignment="1">
      <alignment horizontal="justify" vertical="center" wrapText="1"/>
    </xf>
    <xf numFmtId="166" fontId="50" fillId="2" borderId="12" xfId="20" applyNumberFormat="1" applyFont="1" applyFill="1" applyBorder="1" applyAlignment="1">
      <alignment vertical="center"/>
    </xf>
    <xf numFmtId="166" fontId="50" fillId="2" borderId="1" xfId="20" applyNumberFormat="1" applyFont="1" applyFill="1" applyBorder="1"/>
    <xf numFmtId="0" fontId="49" fillId="2" borderId="12" xfId="21" applyFont="1" applyFill="1" applyBorder="1" applyAlignment="1">
      <alignment vertical="center" wrapText="1"/>
    </xf>
    <xf numFmtId="166" fontId="50" fillId="3" borderId="1" xfId="0" applyNumberFormat="1" applyFont="1" applyFill="1" applyBorder="1"/>
    <xf numFmtId="0" fontId="56" fillId="0" borderId="12" xfId="0" applyFont="1" applyBorder="1" applyAlignment="1">
      <alignment horizontal="justify" vertical="center" wrapText="1"/>
    </xf>
    <xf numFmtId="0" fontId="56" fillId="2" borderId="12" xfId="0" applyFont="1" applyFill="1" applyBorder="1" applyAlignment="1">
      <alignment horizontal="center" vertical="center"/>
    </xf>
    <xf numFmtId="166" fontId="49" fillId="2" borderId="1" xfId="20" applyNumberFormat="1" applyFont="1" applyFill="1" applyBorder="1"/>
    <xf numFmtId="166" fontId="49" fillId="2" borderId="1" xfId="0" applyNumberFormat="1" applyFont="1" applyFill="1" applyBorder="1"/>
    <xf numFmtId="166" fontId="51" fillId="2" borderId="0" xfId="0" applyNumberFormat="1" applyFont="1" applyFill="1"/>
    <xf numFmtId="166" fontId="49" fillId="2" borderId="12" xfId="20" applyNumberFormat="1" applyFont="1" applyFill="1" applyBorder="1"/>
    <xf numFmtId="166" fontId="49" fillId="8" borderId="12" xfId="20" applyNumberFormat="1" applyFont="1" applyFill="1" applyBorder="1" applyAlignment="1">
      <alignment vertical="center"/>
    </xf>
    <xf numFmtId="166" fontId="50" fillId="2" borderId="1" xfId="0" applyNumberFormat="1" applyFont="1" applyFill="1" applyBorder="1"/>
    <xf numFmtId="0" fontId="49" fillId="3" borderId="1" xfId="0" applyFont="1" applyFill="1" applyBorder="1"/>
    <xf numFmtId="166" fontId="55" fillId="0" borderId="12" xfId="0" applyNumberFormat="1" applyFont="1" applyBorder="1" applyAlignment="1">
      <alignment vertical="center"/>
    </xf>
    <xf numFmtId="166" fontId="50" fillId="0" borderId="12" xfId="20" applyNumberFormat="1" applyFont="1" applyBorder="1" applyAlignment="1">
      <alignment vertical="center"/>
    </xf>
    <xf numFmtId="0" fontId="55" fillId="0" borderId="12" xfId="0" applyFont="1" applyBorder="1" applyAlignment="1">
      <alignment vertical="center" wrapText="1"/>
    </xf>
    <xf numFmtId="166" fontId="50" fillId="3" borderId="12" xfId="20" applyNumberFormat="1" applyFont="1" applyFill="1" applyBorder="1" applyAlignment="1">
      <alignment vertical="center"/>
    </xf>
    <xf numFmtId="166" fontId="50" fillId="3" borderId="1" xfId="20" applyNumberFormat="1" applyFont="1" applyFill="1" applyBorder="1"/>
    <xf numFmtId="166" fontId="55" fillId="0" borderId="12" xfId="20" applyNumberFormat="1" applyFont="1" applyBorder="1" applyAlignment="1">
      <alignment vertical="center"/>
    </xf>
    <xf numFmtId="166" fontId="50" fillId="0" borderId="1" xfId="20" applyNumberFormat="1" applyFont="1" applyBorder="1"/>
    <xf numFmtId="0" fontId="49" fillId="2" borderId="12" xfId="0" applyFont="1" applyFill="1" applyBorder="1" applyAlignment="1">
      <alignment horizontal="justify" vertical="center" wrapText="1"/>
    </xf>
    <xf numFmtId="3" fontId="49" fillId="2" borderId="12" xfId="0" applyNumberFormat="1" applyFont="1" applyFill="1" applyBorder="1" applyAlignment="1">
      <alignment horizontal="justify" vertical="center" wrapText="1"/>
    </xf>
    <xf numFmtId="0" fontId="49" fillId="2" borderId="12" xfId="0" applyFont="1" applyFill="1" applyBorder="1" applyAlignment="1">
      <alignment horizontal="justify" vertical="center"/>
    </xf>
    <xf numFmtId="3" fontId="49" fillId="2" borderId="12" xfId="0" applyNumberFormat="1" applyFont="1" applyFill="1" applyBorder="1" applyAlignment="1">
      <alignment horizontal="left" vertical="center" wrapText="1"/>
    </xf>
    <xf numFmtId="0" fontId="49" fillId="0" borderId="4" xfId="0" applyFont="1" applyBorder="1"/>
    <xf numFmtId="0" fontId="49" fillId="2" borderId="16" xfId="0" applyFont="1" applyFill="1" applyBorder="1" applyAlignment="1">
      <alignment horizontal="center" vertical="center"/>
    </xf>
    <xf numFmtId="0" fontId="49" fillId="2" borderId="16" xfId="0" applyFont="1" applyFill="1" applyBorder="1" applyAlignment="1">
      <alignment horizontal="left" vertical="center" wrapText="1"/>
    </xf>
    <xf numFmtId="166" fontId="49" fillId="0" borderId="16" xfId="0" applyNumberFormat="1" applyFont="1" applyBorder="1" applyAlignment="1">
      <alignment vertical="center"/>
    </xf>
    <xf numFmtId="166" fontId="50" fillId="0" borderId="16" xfId="0" applyNumberFormat="1" applyFont="1" applyBorder="1" applyAlignment="1">
      <alignment vertical="center"/>
    </xf>
    <xf numFmtId="166" fontId="49" fillId="0" borderId="16" xfId="20" applyNumberFormat="1" applyFont="1" applyBorder="1" applyAlignment="1">
      <alignment vertical="center"/>
    </xf>
    <xf numFmtId="0" fontId="49" fillId="0" borderId="16" xfId="0" applyFont="1" applyBorder="1" applyAlignment="1">
      <alignment vertical="center"/>
    </xf>
    <xf numFmtId="166" fontId="49" fillId="2" borderId="16" xfId="0" applyNumberFormat="1" applyFont="1" applyFill="1" applyBorder="1" applyAlignment="1">
      <alignment vertical="center"/>
    </xf>
    <xf numFmtId="166" fontId="49" fillId="2" borderId="16" xfId="20" applyNumberFormat="1" applyFont="1" applyFill="1" applyBorder="1" applyAlignment="1">
      <alignment vertical="center"/>
    </xf>
    <xf numFmtId="43" fontId="49" fillId="0" borderId="16" xfId="0" applyNumberFormat="1" applyFont="1" applyBorder="1" applyAlignment="1">
      <alignment vertical="center"/>
    </xf>
    <xf numFmtId="166" fontId="49" fillId="0" borderId="1" xfId="0" applyNumberFormat="1" applyFont="1" applyBorder="1" applyAlignment="1">
      <alignment vertical="center"/>
    </xf>
    <xf numFmtId="166" fontId="49" fillId="0" borderId="1" xfId="20" applyNumberFormat="1" applyFont="1" applyBorder="1" applyAlignment="1">
      <alignment vertical="center"/>
    </xf>
    <xf numFmtId="166" fontId="49" fillId="0" borderId="0" xfId="20" applyNumberFormat="1" applyFont="1"/>
    <xf numFmtId="3" fontId="7" fillId="2" borderId="12" xfId="20" applyNumberFormat="1" applyFont="1" applyFill="1" applyBorder="1" applyAlignment="1">
      <alignment horizontal="right" vertical="center"/>
    </xf>
    <xf numFmtId="3" fontId="4" fillId="2" borderId="12" xfId="20" applyNumberFormat="1" applyFont="1" applyFill="1" applyBorder="1" applyAlignment="1">
      <alignment horizontal="right" vertical="center"/>
    </xf>
    <xf numFmtId="0" fontId="22" fillId="0" borderId="0" xfId="0" applyFont="1"/>
    <xf numFmtId="3" fontId="23" fillId="2" borderId="3" xfId="20" applyNumberFormat="1" applyFont="1" applyFill="1" applyBorder="1" applyAlignment="1">
      <alignment horizontal="right" vertical="center"/>
    </xf>
    <xf numFmtId="3" fontId="23" fillId="2" borderId="12" xfId="20" applyNumberFormat="1" applyFont="1" applyFill="1" applyBorder="1" applyAlignment="1">
      <alignment horizontal="right" vertical="center"/>
    </xf>
    <xf numFmtId="3" fontId="60" fillId="7" borderId="12" xfId="20" applyNumberFormat="1" applyFont="1" applyFill="1" applyBorder="1" applyAlignment="1">
      <alignment horizontal="right" vertical="center"/>
    </xf>
    <xf numFmtId="3" fontId="23" fillId="7" borderId="12" xfId="20" applyNumberFormat="1" applyFont="1" applyFill="1" applyBorder="1" applyAlignment="1">
      <alignment horizontal="right" vertical="center"/>
    </xf>
    <xf numFmtId="3" fontId="61" fillId="2" borderId="12" xfId="20" applyNumberFormat="1" applyFont="1" applyFill="1" applyBorder="1" applyAlignment="1">
      <alignment horizontal="right" vertical="center"/>
    </xf>
    <xf numFmtId="3" fontId="23" fillId="3" borderId="12" xfId="20" applyNumberFormat="1" applyFont="1" applyFill="1" applyBorder="1" applyAlignment="1">
      <alignment horizontal="right" vertical="center"/>
    </xf>
    <xf numFmtId="0" fontId="22" fillId="0" borderId="16" xfId="0" applyFont="1" applyBorder="1"/>
    <xf numFmtId="0" fontId="61" fillId="0" borderId="0" xfId="0" applyFont="1" applyAlignment="1">
      <alignment horizontal="justify" vertical="justify" wrapText="1"/>
    </xf>
    <xf numFmtId="0" fontId="4" fillId="2" borderId="12" xfId="0" applyFont="1" applyFill="1" applyBorder="1" applyAlignment="1">
      <alignment horizontal="center" vertical="center"/>
    </xf>
    <xf numFmtId="0" fontId="4" fillId="2" borderId="12" xfId="0" applyFont="1" applyFill="1" applyBorder="1" applyAlignment="1">
      <alignment horizontal="justify" vertical="center" wrapText="1"/>
    </xf>
    <xf numFmtId="43" fontId="4" fillId="2" borderId="12" xfId="20" applyFont="1" applyFill="1" applyBorder="1" applyAlignment="1">
      <alignment horizontal="right" vertical="center"/>
    </xf>
    <xf numFmtId="3" fontId="4" fillId="2" borderId="19" xfId="20" applyNumberFormat="1" applyFont="1" applyFill="1" applyBorder="1" applyAlignment="1">
      <alignment horizontal="right" vertical="center"/>
    </xf>
    <xf numFmtId="0" fontId="10" fillId="0" borderId="0" xfId="0" applyFont="1" applyAlignment="1">
      <alignment horizontal="justify" vertical="justify" wrapText="1"/>
    </xf>
    <xf numFmtId="0" fontId="3" fillId="2" borderId="8" xfId="0" applyFont="1" applyFill="1" applyBorder="1" applyAlignment="1">
      <alignment horizontal="center" vertical="center" wrapText="1"/>
    </xf>
    <xf numFmtId="0" fontId="45" fillId="0" borderId="0" xfId="0" applyFont="1" applyAlignment="1">
      <alignment horizontal="center" vertical="center" wrapText="1"/>
    </xf>
    <xf numFmtId="0" fontId="3" fillId="2" borderId="7" xfId="0" applyFont="1" applyFill="1" applyBorder="1" applyAlignment="1">
      <alignment horizontal="center" vertical="center" wrapText="1"/>
    </xf>
    <xf numFmtId="167" fontId="3" fillId="2" borderId="1" xfId="20" applyNumberFormat="1" applyFont="1" applyFill="1" applyBorder="1" applyAlignment="1">
      <alignment horizontal="center" vertical="center" wrapText="1"/>
    </xf>
    <xf numFmtId="0" fontId="3" fillId="2" borderId="11" xfId="0" applyFont="1" applyFill="1" applyBorder="1" applyAlignment="1">
      <alignment horizontal="center" vertical="center" wrapText="1"/>
    </xf>
    <xf numFmtId="167" fontId="3" fillId="2" borderId="9" xfId="20" applyNumberFormat="1" applyFont="1" applyFill="1" applyBorder="1" applyAlignment="1">
      <alignment horizontal="center" vertical="center" wrapText="1"/>
    </xf>
    <xf numFmtId="0" fontId="50" fillId="2" borderId="7" xfId="0" applyFont="1" applyFill="1" applyBorder="1" applyAlignment="1">
      <alignment horizontal="center" vertical="center" wrapText="1"/>
    </xf>
    <xf numFmtId="167" fontId="50" fillId="2" borderId="1" xfId="20" applyNumberFormat="1" applyFont="1" applyFill="1" applyBorder="1" applyAlignment="1">
      <alignment horizontal="center" vertical="center" wrapText="1"/>
    </xf>
    <xf numFmtId="0" fontId="50" fillId="0" borderId="1" xfId="0" applyFont="1" applyBorder="1" applyAlignment="1">
      <alignment horizontal="center" vertical="center"/>
    </xf>
    <xf numFmtId="0" fontId="50" fillId="2" borderId="1" xfId="0" applyFont="1" applyFill="1" applyBorder="1" applyAlignment="1">
      <alignment horizontal="center" vertical="center" wrapText="1"/>
    </xf>
    <xf numFmtId="0" fontId="50" fillId="0" borderId="0" xfId="0" applyFont="1" applyAlignment="1">
      <alignment horizontal="center"/>
    </xf>
    <xf numFmtId="166" fontId="30" fillId="3" borderId="12" xfId="20" applyNumberFormat="1" applyFont="1" applyFill="1" applyBorder="1"/>
    <xf numFmtId="166" fontId="33" fillId="0" borderId="12" xfId="20" applyNumberFormat="1" applyFont="1" applyBorder="1"/>
    <xf numFmtId="166" fontId="52" fillId="2" borderId="12" xfId="20" applyNumberFormat="1" applyFont="1" applyFill="1" applyBorder="1"/>
    <xf numFmtId="166" fontId="52" fillId="0" borderId="12" xfId="20" applyNumberFormat="1" applyFont="1" applyBorder="1"/>
    <xf numFmtId="166" fontId="62" fillId="0" borderId="12" xfId="20" applyNumberFormat="1" applyFont="1" applyBorder="1" applyAlignment="1">
      <alignment vertical="center"/>
    </xf>
    <xf numFmtId="0" fontId="62" fillId="0" borderId="12" xfId="0" applyFont="1" applyBorder="1" applyAlignment="1">
      <alignment vertical="center"/>
    </xf>
    <xf numFmtId="166" fontId="62" fillId="2" borderId="12" xfId="0" applyNumberFormat="1" applyFont="1" applyFill="1" applyBorder="1" applyAlignment="1">
      <alignment vertical="center"/>
    </xf>
    <xf numFmtId="166" fontId="62" fillId="2" borderId="12" xfId="20" applyNumberFormat="1" applyFont="1" applyFill="1" applyBorder="1" applyAlignment="1">
      <alignment vertical="center"/>
    </xf>
    <xf numFmtId="0" fontId="62" fillId="2" borderId="12" xfId="0" applyFont="1" applyFill="1" applyBorder="1" applyAlignment="1">
      <alignment horizontal="center" vertical="center"/>
    </xf>
    <xf numFmtId="0" fontId="62" fillId="2" borderId="12" xfId="0" applyFont="1" applyFill="1" applyBorder="1" applyAlignment="1">
      <alignment horizontal="left" vertical="center" wrapText="1"/>
    </xf>
    <xf numFmtId="166" fontId="62" fillId="0" borderId="12" xfId="0" applyNumberFormat="1" applyFont="1" applyBorder="1" applyAlignment="1">
      <alignment vertical="center"/>
    </xf>
    <xf numFmtId="166" fontId="47" fillId="0" borderId="12" xfId="0" applyNumberFormat="1" applyFont="1" applyBorder="1" applyAlignment="1">
      <alignment vertical="center"/>
    </xf>
    <xf numFmtId="43" fontId="62" fillId="0" borderId="12" xfId="0" applyNumberFormat="1" applyFont="1" applyBorder="1" applyAlignment="1">
      <alignment vertical="center"/>
    </xf>
    <xf numFmtId="0" fontId="62" fillId="2" borderId="1" xfId="0" applyFont="1" applyFill="1" applyBorder="1"/>
    <xf numFmtId="0" fontId="63" fillId="2" borderId="0" xfId="0" applyFont="1" applyFill="1"/>
    <xf numFmtId="0" fontId="53" fillId="2" borderId="0" xfId="0" applyFont="1" applyFill="1"/>
    <xf numFmtId="166" fontId="53" fillId="2" borderId="0" xfId="20" applyNumberFormat="1" applyFont="1" applyFill="1"/>
    <xf numFmtId="166" fontId="63" fillId="2" borderId="0" xfId="20" applyNumberFormat="1" applyFont="1" applyFill="1"/>
    <xf numFmtId="0" fontId="62" fillId="0" borderId="12" xfId="0" applyFont="1" applyBorder="1" applyAlignment="1">
      <alignment horizontal="center" vertical="center"/>
    </xf>
    <xf numFmtId="0" fontId="62" fillId="0" borderId="1" xfId="0" applyFont="1" applyBorder="1"/>
    <xf numFmtId="0" fontId="63" fillId="0" borderId="0" xfId="0" applyFont="1"/>
    <xf numFmtId="166" fontId="53" fillId="0" borderId="0" xfId="20" applyNumberFormat="1" applyFont="1"/>
    <xf numFmtId="166" fontId="63" fillId="0" borderId="0" xfId="20" applyNumberFormat="1" applyFont="1"/>
    <xf numFmtId="166" fontId="62" fillId="2" borderId="12" xfId="20" applyNumberFormat="1" applyFont="1" applyFill="1" applyBorder="1" applyAlignment="1">
      <alignment horizontal="center" vertical="center"/>
    </xf>
    <xf numFmtId="166" fontId="62" fillId="2" borderId="12" xfId="20" applyNumberFormat="1" applyFont="1" applyFill="1" applyBorder="1" applyAlignment="1">
      <alignment horizontal="left" vertical="center" wrapText="1"/>
    </xf>
    <xf numFmtId="166" fontId="47" fillId="0" borderId="12" xfId="20" applyNumberFormat="1" applyFont="1" applyBorder="1" applyAlignment="1">
      <alignment vertical="center"/>
    </xf>
    <xf numFmtId="166" fontId="62" fillId="0" borderId="1" xfId="20" applyNumberFormat="1" applyFont="1" applyBorder="1"/>
    <xf numFmtId="166" fontId="47" fillId="0" borderId="1" xfId="0" applyNumberFormat="1" applyFont="1" applyBorder="1" applyAlignment="1">
      <alignment vertical="center"/>
    </xf>
    <xf numFmtId="43" fontId="47" fillId="0" borderId="1" xfId="0" applyNumberFormat="1" applyFont="1" applyBorder="1" applyAlignment="1">
      <alignment vertical="center"/>
    </xf>
    <xf numFmtId="0" fontId="22" fillId="0" borderId="0" xfId="0" applyFont="1" applyAlignment="1">
      <alignment vertical="center"/>
    </xf>
    <xf numFmtId="0" fontId="53" fillId="0" borderId="0" xfId="0" applyFont="1" applyAlignment="1">
      <alignment vertical="center"/>
    </xf>
    <xf numFmtId="166" fontId="53" fillId="0" borderId="0" xfId="20" applyNumberFormat="1" applyFont="1" applyAlignment="1">
      <alignment vertical="center"/>
    </xf>
    <xf numFmtId="166" fontId="22" fillId="0" borderId="0" xfId="20" applyNumberFormat="1" applyFont="1" applyAlignment="1">
      <alignment vertical="center"/>
    </xf>
    <xf numFmtId="0" fontId="64" fillId="0" borderId="0" xfId="0" applyFont="1" applyAlignment="1"/>
    <xf numFmtId="0" fontId="62" fillId="0" borderId="1" xfId="0" applyFont="1" applyBorder="1" applyAlignment="1">
      <alignment vertical="center"/>
    </xf>
    <xf numFmtId="166" fontId="47" fillId="0" borderId="3" xfId="0" applyNumberFormat="1" applyFont="1" applyBorder="1" applyAlignment="1">
      <alignment vertical="center"/>
    </xf>
    <xf numFmtId="166" fontId="47" fillId="3" borderId="12" xfId="0" applyNumberFormat="1" applyFont="1" applyFill="1" applyBorder="1" applyAlignment="1">
      <alignment vertical="center"/>
    </xf>
    <xf numFmtId="166" fontId="47" fillId="2" borderId="12" xfId="0" applyNumberFormat="1" applyFont="1" applyFill="1" applyBorder="1" applyAlignment="1">
      <alignment vertical="center"/>
    </xf>
    <xf numFmtId="166" fontId="47" fillId="2" borderId="12" xfId="20" applyNumberFormat="1" applyFont="1" applyFill="1" applyBorder="1" applyAlignment="1">
      <alignment vertical="center"/>
    </xf>
    <xf numFmtId="166" fontId="65" fillId="0" borderId="12" xfId="0" applyNumberFormat="1" applyFont="1" applyBorder="1" applyAlignment="1">
      <alignment vertical="center"/>
    </xf>
    <xf numFmtId="166" fontId="65" fillId="3" borderId="12" xfId="0" applyNumberFormat="1" applyFont="1" applyFill="1" applyBorder="1" applyAlignment="1">
      <alignment vertical="center"/>
    </xf>
    <xf numFmtId="166" fontId="47" fillId="3" borderId="12" xfId="20" applyNumberFormat="1" applyFont="1" applyFill="1" applyBorder="1" applyAlignment="1">
      <alignment vertical="center"/>
    </xf>
    <xf numFmtId="166" fontId="64" fillId="0" borderId="12" xfId="20" applyNumberFormat="1" applyFont="1" applyBorder="1" applyAlignment="1">
      <alignment vertical="center"/>
    </xf>
    <xf numFmtId="166" fontId="65" fillId="0" borderId="12" xfId="20" applyNumberFormat="1" applyFont="1" applyBorder="1" applyAlignment="1">
      <alignment vertical="center"/>
    </xf>
    <xf numFmtId="166" fontId="62" fillId="2" borderId="16" xfId="20" applyNumberFormat="1" applyFont="1" applyFill="1" applyBorder="1" applyAlignment="1">
      <alignment vertical="center"/>
    </xf>
    <xf numFmtId="0" fontId="62" fillId="0" borderId="0" xfId="0" applyFont="1"/>
    <xf numFmtId="166" fontId="66" fillId="0" borderId="12" xfId="20" applyNumberFormat="1" applyFont="1" applyBorder="1"/>
    <xf numFmtId="166" fontId="67" fillId="0" borderId="12" xfId="20" applyNumberFormat="1" applyFont="1" applyBorder="1"/>
    <xf numFmtId="166" fontId="53" fillId="2" borderId="16" xfId="20" applyNumberFormat="1" applyFont="1" applyFill="1" applyBorder="1"/>
    <xf numFmtId="166" fontId="18" fillId="0" borderId="1" xfId="20" applyNumberFormat="1" applyFont="1" applyBorder="1" applyAlignment="1">
      <alignment vertical="center"/>
    </xf>
    <xf numFmtId="166" fontId="18" fillId="2" borderId="1" xfId="20" applyNumberFormat="1" applyFont="1" applyFill="1" applyBorder="1" applyAlignment="1">
      <alignment vertical="center"/>
    </xf>
    <xf numFmtId="166" fontId="24" fillId="2" borderId="1" xfId="20" applyNumberFormat="1" applyFont="1" applyFill="1" applyBorder="1" applyAlignment="1">
      <alignment vertical="center"/>
    </xf>
    <xf numFmtId="43" fontId="18" fillId="0" borderId="1" xfId="20" applyFont="1" applyBorder="1" applyAlignment="1">
      <alignment vertical="center"/>
    </xf>
    <xf numFmtId="166" fontId="0" fillId="0" borderId="0" xfId="0" applyNumberFormat="1" applyFont="1" applyAlignment="1">
      <alignment vertical="center"/>
    </xf>
    <xf numFmtId="0" fontId="36" fillId="0" borderId="0" xfId="0" applyFont="1" applyAlignment="1">
      <alignment vertical="center"/>
    </xf>
    <xf numFmtId="166" fontId="25" fillId="0" borderId="0" xfId="0" applyNumberFormat="1" applyFont="1" applyAlignment="1">
      <alignment vertical="center"/>
    </xf>
    <xf numFmtId="166" fontId="36" fillId="0" borderId="0" xfId="20" applyNumberFormat="1" applyFont="1" applyAlignment="1">
      <alignment vertical="center"/>
    </xf>
    <xf numFmtId="0" fontId="68" fillId="0" borderId="14" xfId="0" applyFont="1" applyBorder="1" applyAlignment="1">
      <alignment horizontal="center"/>
    </xf>
    <xf numFmtId="0" fontId="68" fillId="0" borderId="0" xfId="0" applyFont="1" applyBorder="1" applyAlignment="1">
      <alignment horizontal="center"/>
    </xf>
    <xf numFmtId="3" fontId="34" fillId="0" borderId="0" xfId="0" applyNumberFormat="1" applyFont="1"/>
    <xf numFmtId="3" fontId="7" fillId="2" borderId="3" xfId="20" applyNumberFormat="1" applyFont="1" applyFill="1" applyBorder="1" applyAlignment="1">
      <alignment horizontal="right" vertical="center"/>
    </xf>
    <xf numFmtId="3" fontId="8" fillId="7" borderId="12" xfId="20" applyNumberFormat="1" applyFont="1" applyFill="1" applyBorder="1" applyAlignment="1">
      <alignment horizontal="right" vertical="center"/>
    </xf>
    <xf numFmtId="3" fontId="7" fillId="7" borderId="12" xfId="20" applyNumberFormat="1" applyFont="1" applyFill="1" applyBorder="1" applyAlignment="1">
      <alignment horizontal="right" vertical="center"/>
    </xf>
    <xf numFmtId="3" fontId="7" fillId="3" borderId="12" xfId="20" applyNumberFormat="1" applyFont="1" applyFill="1" applyBorder="1" applyAlignment="1">
      <alignment horizontal="right" vertical="center"/>
    </xf>
    <xf numFmtId="0" fontId="34" fillId="0" borderId="16" xfId="0" applyFont="1" applyBorder="1"/>
    <xf numFmtId="0" fontId="4" fillId="0" borderId="0" xfId="0" applyFont="1" applyAlignment="1">
      <alignment horizontal="justify" vertical="justify" wrapText="1"/>
    </xf>
    <xf numFmtId="0" fontId="69" fillId="0" borderId="0" xfId="0" applyFont="1" applyAlignment="1">
      <alignment vertical="center"/>
    </xf>
    <xf numFmtId="0" fontId="20" fillId="0" borderId="0" xfId="0" applyFont="1" applyAlignment="1">
      <alignment horizontal="center" vertical="center"/>
    </xf>
    <xf numFmtId="0" fontId="18" fillId="0" borderId="0" xfId="0" applyFont="1" applyAlignment="1">
      <alignment horizontal="center"/>
    </xf>
    <xf numFmtId="0" fontId="68" fillId="0" borderId="14" xfId="0" applyFont="1" applyBorder="1" applyAlignment="1">
      <alignment horizontal="center" vertical="center"/>
    </xf>
    <xf numFmtId="0" fontId="10" fillId="0" borderId="0" xfId="0" applyFont="1" applyAlignment="1">
      <alignment horizontal="left"/>
    </xf>
    <xf numFmtId="0" fontId="11" fillId="0" borderId="0" xfId="1" applyFont="1" applyFill="1" applyBorder="1" applyAlignment="1">
      <alignment horizontal="justify" vertical="center" wrapText="1"/>
    </xf>
    <xf numFmtId="0" fontId="10" fillId="0" borderId="0" xfId="0" applyFont="1" applyAlignment="1">
      <alignment horizontal="justify" vertical="center" wrapText="1"/>
    </xf>
    <xf numFmtId="0" fontId="7" fillId="0" borderId="1" xfId="1" applyFont="1" applyFill="1" applyBorder="1" applyAlignment="1">
      <alignment horizontal="center" vertical="center" wrapText="1"/>
    </xf>
    <xf numFmtId="0" fontId="34" fillId="0" borderId="1" xfId="0" applyFont="1" applyBorder="1" applyAlignment="1">
      <alignment horizontal="center" vertical="center" wrapText="1"/>
    </xf>
    <xf numFmtId="0" fontId="7" fillId="0" borderId="9"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13" xfId="1" applyFont="1" applyFill="1" applyBorder="1" applyAlignment="1">
      <alignment horizontal="center" vertical="center" wrapText="1"/>
    </xf>
    <xf numFmtId="0" fontId="7" fillId="0" borderId="14" xfId="1" applyFont="1" applyFill="1" applyBorder="1" applyAlignment="1">
      <alignment horizontal="center" vertical="center" wrapText="1"/>
    </xf>
    <xf numFmtId="0" fontId="7" fillId="0" borderId="15" xfId="1" applyFont="1" applyFill="1" applyBorder="1" applyAlignment="1">
      <alignment horizontal="center" vertical="center" wrapText="1"/>
    </xf>
    <xf numFmtId="0" fontId="30" fillId="8" borderId="7" xfId="0" applyFont="1" applyFill="1" applyBorder="1" applyAlignment="1">
      <alignment horizontal="center" vertical="center" wrapText="1"/>
    </xf>
    <xf numFmtId="0" fontId="30" fillId="8" borderId="8"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30" fillId="0" borderId="1" xfId="1" applyFont="1" applyFill="1" applyBorder="1" applyAlignment="1">
      <alignment horizontal="center" vertical="center" wrapText="1"/>
    </xf>
    <xf numFmtId="0" fontId="25" fillId="0" borderId="0" xfId="0" applyFont="1" applyAlignment="1">
      <alignment horizontal="justify" vertical="justify" wrapText="1"/>
    </xf>
    <xf numFmtId="0" fontId="18" fillId="0" borderId="0" xfId="0" applyFont="1" applyAlignment="1">
      <alignment horizontal="center" vertical="center" wrapText="1"/>
    </xf>
    <xf numFmtId="0" fontId="68" fillId="0" borderId="0" xfId="0" applyFont="1" applyAlignment="1">
      <alignment horizontal="right"/>
    </xf>
    <xf numFmtId="0" fontId="30" fillId="0" borderId="9" xfId="1" applyFont="1" applyFill="1" applyBorder="1" applyAlignment="1">
      <alignment horizontal="center" vertical="center" wrapText="1"/>
    </xf>
    <xf numFmtId="0" fontId="30" fillId="0" borderId="10" xfId="1" applyFont="1" applyFill="1" applyBorder="1" applyAlignment="1">
      <alignment horizontal="center" vertical="center" wrapText="1"/>
    </xf>
    <xf numFmtId="0" fontId="30" fillId="0" borderId="11" xfId="1" applyFont="1" applyFill="1" applyBorder="1" applyAlignment="1">
      <alignment horizontal="center" vertical="center" wrapText="1"/>
    </xf>
    <xf numFmtId="0" fontId="30" fillId="0" borderId="13" xfId="1" applyFont="1" applyFill="1" applyBorder="1" applyAlignment="1">
      <alignment horizontal="center" vertical="center" wrapText="1"/>
    </xf>
    <xf numFmtId="0" fontId="30" fillId="0" borderId="14" xfId="1" applyFont="1" applyFill="1" applyBorder="1" applyAlignment="1">
      <alignment horizontal="center" vertical="center" wrapText="1"/>
    </xf>
    <xf numFmtId="0" fontId="30" fillId="0" borderId="15" xfId="1" applyFont="1" applyFill="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68" fillId="0" borderId="0" xfId="0" applyFont="1" applyAlignment="1">
      <alignment horizontal="center" vertical="center" wrapText="1"/>
    </xf>
    <xf numFmtId="0" fontId="3" fillId="2" borderId="3" xfId="0" applyFont="1" applyFill="1" applyBorder="1" applyAlignment="1">
      <alignment horizontal="center" vertical="center"/>
    </xf>
    <xf numFmtId="0" fontId="10" fillId="0" borderId="0" xfId="0" applyFont="1" applyAlignment="1">
      <alignment horizontal="justify" vertical="justify" wrapText="1"/>
    </xf>
    <xf numFmtId="0" fontId="7" fillId="0" borderId="1"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8"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4" fillId="0" borderId="4" xfId="0" applyFont="1" applyBorder="1" applyAlignment="1">
      <alignment horizontal="center" vertical="center" wrapText="1"/>
    </xf>
    <xf numFmtId="0" fontId="34"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3" fillId="0" borderId="1"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5" xfId="1" applyFont="1" applyFill="1" applyBorder="1" applyAlignment="1">
      <alignment horizontal="center" vertical="center" wrapText="1"/>
    </xf>
    <xf numFmtId="167" fontId="3" fillId="2" borderId="1" xfId="20" applyNumberFormat="1"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2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xf>
    <xf numFmtId="0" fontId="45" fillId="0" borderId="0" xfId="0" applyFont="1" applyAlignment="1">
      <alignment horizontal="center" vertical="center" wrapText="1"/>
    </xf>
    <xf numFmtId="0" fontId="68" fillId="0" borderId="0" xfId="0" applyFont="1" applyAlignment="1">
      <alignment horizontal="right" indent="2"/>
    </xf>
    <xf numFmtId="0" fontId="3" fillId="2" borderId="7" xfId="0" applyFont="1" applyFill="1" applyBorder="1" applyAlignment="1">
      <alignment horizontal="center" vertical="center" wrapText="1"/>
    </xf>
    <xf numFmtId="0" fontId="18" fillId="0" borderId="1" xfId="0" applyFont="1" applyBorder="1" applyAlignment="1">
      <alignment horizontal="center" vertical="center" wrapText="1"/>
    </xf>
    <xf numFmtId="167" fontId="47" fillId="2" borderId="18" xfId="20" applyNumberFormat="1" applyFont="1" applyFill="1" applyBorder="1" applyAlignment="1">
      <alignment horizontal="center" vertical="center" wrapText="1"/>
    </xf>
    <xf numFmtId="167" fontId="47" fillId="2" borderId="13" xfId="2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2" borderId="1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41" fillId="0" borderId="14" xfId="0" applyFont="1" applyBorder="1" applyAlignment="1">
      <alignment horizontal="center" vertical="center"/>
    </xf>
    <xf numFmtId="166" fontId="68" fillId="0" borderId="0" xfId="0" applyNumberFormat="1" applyFont="1" applyAlignment="1">
      <alignment horizontal="center"/>
    </xf>
    <xf numFmtId="167" fontId="38" fillId="2" borderId="18" xfId="20" applyNumberFormat="1" applyFont="1" applyFill="1" applyBorder="1" applyAlignment="1">
      <alignment horizontal="center" vertical="center" wrapText="1"/>
    </xf>
    <xf numFmtId="167" fontId="38" fillId="2" borderId="13" xfId="20" applyNumberFormat="1" applyFont="1" applyFill="1" applyBorder="1" applyAlignment="1">
      <alignment horizontal="center" vertical="center" wrapText="1"/>
    </xf>
    <xf numFmtId="167" fontId="3" fillId="2" borderId="9" xfId="20" applyNumberFormat="1" applyFont="1" applyFill="1" applyBorder="1" applyAlignment="1">
      <alignment horizontal="center" vertical="center" wrapText="1"/>
    </xf>
    <xf numFmtId="167" fontId="3" fillId="2" borderId="11" xfId="20" applyNumberFormat="1" applyFont="1" applyFill="1" applyBorder="1" applyAlignment="1">
      <alignment horizontal="center" vertical="center" wrapText="1"/>
    </xf>
    <xf numFmtId="0" fontId="23" fillId="0" borderId="4"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5"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23" fillId="0" borderId="1" xfId="0" applyFont="1" applyBorder="1" applyAlignment="1">
      <alignment horizontal="center" vertical="center" wrapText="1"/>
    </xf>
    <xf numFmtId="0" fontId="53" fillId="0" borderId="1"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5" xfId="0" applyFont="1" applyBorder="1" applyAlignment="1">
      <alignment horizontal="center" vertical="center" wrapText="1"/>
    </xf>
    <xf numFmtId="0" fontId="47" fillId="0" borderId="1" xfId="0" applyFont="1" applyBorder="1" applyAlignment="1">
      <alignment horizontal="center" vertical="center"/>
    </xf>
    <xf numFmtId="0" fontId="50" fillId="2" borderId="9" xfId="0" applyFont="1" applyFill="1" applyBorder="1" applyAlignment="1">
      <alignment horizontal="center" vertical="center" wrapText="1"/>
    </xf>
    <xf numFmtId="0" fontId="50" fillId="2" borderId="10" xfId="0" applyFont="1" applyFill="1" applyBorder="1" applyAlignment="1">
      <alignment horizontal="center" vertical="center" wrapText="1"/>
    </xf>
    <xf numFmtId="0" fontId="50" fillId="2" borderId="11" xfId="0" applyFont="1" applyFill="1" applyBorder="1" applyAlignment="1">
      <alignment horizontal="center" vertical="center" wrapText="1"/>
    </xf>
    <xf numFmtId="0" fontId="50" fillId="2" borderId="18" xfId="0" applyFont="1" applyFill="1" applyBorder="1" applyAlignment="1">
      <alignment horizontal="center" vertical="center" wrapText="1"/>
    </xf>
    <xf numFmtId="0" fontId="50" fillId="2" borderId="0" xfId="0" applyFont="1" applyFill="1" applyBorder="1" applyAlignment="1">
      <alignment horizontal="center" vertical="center" wrapText="1"/>
    </xf>
    <xf numFmtId="0" fontId="50" fillId="2" borderId="17" xfId="0" applyFont="1" applyFill="1" applyBorder="1" applyAlignment="1">
      <alignment horizontal="center" vertical="center" wrapText="1"/>
    </xf>
    <xf numFmtId="0" fontId="50" fillId="2" borderId="13" xfId="0" applyFont="1" applyFill="1" applyBorder="1" applyAlignment="1">
      <alignment horizontal="center" vertical="center" wrapText="1"/>
    </xf>
    <xf numFmtId="0" fontId="50" fillId="2" borderId="14" xfId="0" applyFont="1" applyFill="1" applyBorder="1" applyAlignment="1">
      <alignment horizontal="center" vertical="center" wrapText="1"/>
    </xf>
    <xf numFmtId="0" fontId="50" fillId="2" borderId="15" xfId="0" applyFont="1" applyFill="1" applyBorder="1" applyAlignment="1">
      <alignment horizontal="center" vertical="center" wrapText="1"/>
    </xf>
    <xf numFmtId="0" fontId="69" fillId="0" borderId="0" xfId="0" applyFont="1" applyAlignment="1">
      <alignment horizontal="center"/>
    </xf>
    <xf numFmtId="0" fontId="50" fillId="0" borderId="1" xfId="0" applyFont="1" applyBorder="1" applyAlignment="1">
      <alignment horizontal="center" vertical="center" wrapText="1"/>
    </xf>
    <xf numFmtId="0" fontId="49" fillId="0" borderId="1"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11" xfId="0" applyFont="1" applyBorder="1" applyAlignment="1">
      <alignment horizontal="center" vertical="center" wrapText="1"/>
    </xf>
    <xf numFmtId="0" fontId="50" fillId="0" borderId="13" xfId="0" applyFont="1" applyBorder="1" applyAlignment="1">
      <alignment horizontal="center" vertical="center" wrapText="1"/>
    </xf>
    <xf numFmtId="0" fontId="50" fillId="0" borderId="15" xfId="0" applyFont="1" applyBorder="1" applyAlignment="1">
      <alignment horizontal="center" vertical="center" wrapText="1"/>
    </xf>
    <xf numFmtId="167" fontId="50" fillId="2" borderId="1" xfId="20" applyNumberFormat="1" applyFont="1" applyFill="1" applyBorder="1" applyAlignment="1">
      <alignment horizontal="center" vertical="center" wrapText="1"/>
    </xf>
    <xf numFmtId="167" fontId="50" fillId="2" borderId="6" xfId="20" applyNumberFormat="1" applyFont="1" applyFill="1" applyBorder="1" applyAlignment="1">
      <alignment horizontal="center" vertical="center" wrapText="1"/>
    </xf>
    <xf numFmtId="167" fontId="50" fillId="2" borderId="8" xfId="20" applyNumberFormat="1" applyFont="1" applyFill="1" applyBorder="1" applyAlignment="1">
      <alignment horizontal="center" vertical="center" wrapText="1"/>
    </xf>
    <xf numFmtId="0" fontId="50" fillId="0" borderId="1" xfId="1" applyFont="1" applyFill="1" applyBorder="1" applyAlignment="1">
      <alignment horizontal="center" vertical="center" wrapText="1"/>
    </xf>
    <xf numFmtId="0" fontId="35" fillId="0" borderId="9" xfId="0" applyFont="1" applyBorder="1" applyAlignment="1">
      <alignment horizontal="center"/>
    </xf>
    <xf numFmtId="0" fontId="35" fillId="0" borderId="10" xfId="0" applyFont="1" applyBorder="1" applyAlignment="1">
      <alignment horizontal="center"/>
    </xf>
    <xf numFmtId="0" fontId="35" fillId="0" borderId="11" xfId="0" applyFont="1" applyBorder="1" applyAlignment="1">
      <alignment horizontal="center"/>
    </xf>
    <xf numFmtId="0" fontId="35" fillId="0" borderId="13" xfId="0" applyFont="1" applyBorder="1" applyAlignment="1">
      <alignment horizontal="center"/>
    </xf>
    <xf numFmtId="0" fontId="35" fillId="0" borderId="14" xfId="0" applyFont="1" applyBorder="1" applyAlignment="1">
      <alignment horizontal="center"/>
    </xf>
    <xf numFmtId="0" fontId="35" fillId="0" borderId="15" xfId="0" applyFont="1" applyBorder="1" applyAlignment="1">
      <alignment horizontal="center"/>
    </xf>
    <xf numFmtId="0" fontId="47" fillId="0" borderId="1" xfId="0" applyFont="1" applyBorder="1" applyAlignment="1">
      <alignment horizontal="center" vertical="center" wrapText="1"/>
    </xf>
    <xf numFmtId="0" fontId="50" fillId="0" borderId="6" xfId="0" applyFont="1" applyBorder="1" applyAlignment="1">
      <alignment horizontal="center" vertical="center" wrapText="1"/>
    </xf>
    <xf numFmtId="0" fontId="50" fillId="0" borderId="7" xfId="0" applyFont="1" applyBorder="1" applyAlignment="1">
      <alignment horizontal="center" vertical="center" wrapText="1"/>
    </xf>
    <xf numFmtId="0" fontId="50" fillId="0" borderId="8" xfId="0" applyFont="1" applyBorder="1" applyAlignment="1">
      <alignment horizontal="center" vertical="center" wrapText="1"/>
    </xf>
    <xf numFmtId="0" fontId="50" fillId="0" borderId="0" xfId="0" applyFont="1" applyAlignment="1">
      <alignment horizontal="center"/>
    </xf>
    <xf numFmtId="0" fontId="50" fillId="0" borderId="0" xfId="0" applyFont="1" applyAlignment="1">
      <alignment horizontal="center" vertical="center" wrapText="1"/>
    </xf>
    <xf numFmtId="0" fontId="50" fillId="2" borderId="1" xfId="0" applyFont="1" applyFill="1" applyBorder="1" applyAlignment="1">
      <alignment horizontal="center" vertical="center" wrapText="1"/>
    </xf>
    <xf numFmtId="0" fontId="50" fillId="2" borderId="6" xfId="0" applyFont="1" applyFill="1" applyBorder="1" applyAlignment="1">
      <alignment horizontal="center" vertical="center" wrapText="1"/>
    </xf>
    <xf numFmtId="0" fontId="50" fillId="2" borderId="7" xfId="0" applyFont="1" applyFill="1" applyBorder="1" applyAlignment="1">
      <alignment horizontal="center" vertical="center" wrapText="1"/>
    </xf>
    <xf numFmtId="0" fontId="50" fillId="2" borderId="8" xfId="0" applyFont="1" applyFill="1" applyBorder="1" applyAlignment="1">
      <alignment horizontal="center" vertical="center" wrapText="1"/>
    </xf>
    <xf numFmtId="43" fontId="24" fillId="3" borderId="1" xfId="20" applyNumberFormat="1" applyFont="1" applyFill="1" applyBorder="1" applyAlignment="1">
      <alignment vertical="center"/>
    </xf>
  </cellXfs>
  <cellStyles count="22">
    <cellStyle name="Bình thường 2" xfId="3"/>
    <cellStyle name="Bình thường 3" xfId="4"/>
    <cellStyle name="Comma" xfId="20" builtinId="3"/>
    <cellStyle name="Comma [0] 2" xfId="6"/>
    <cellStyle name="Comma 10" xfId="16"/>
    <cellStyle name="Comma 11" xfId="17"/>
    <cellStyle name="Comma 12" xfId="18"/>
    <cellStyle name="Comma 13" xfId="19"/>
    <cellStyle name="Comma 14" xfId="10"/>
    <cellStyle name="Comma 2" xfId="2"/>
    <cellStyle name="Comma 3" xfId="7"/>
    <cellStyle name="Comma 4" xfId="9"/>
    <cellStyle name="Comma 5" xfId="11"/>
    <cellStyle name="Comma 6" xfId="13"/>
    <cellStyle name="Comma 7" xfId="14"/>
    <cellStyle name="Comma 8" xfId="12"/>
    <cellStyle name="Comma 9" xfId="15"/>
    <cellStyle name="Normal" xfId="0" builtinId="0"/>
    <cellStyle name="Normal 10" xfId="5"/>
    <cellStyle name="Normal 2" xfId="1"/>
    <cellStyle name="Normal 2 2 2" xfId="8"/>
    <cellStyle name="Normal 3 2 2"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P/Documents/Zalo%20Received%20Files/Bi&#7875;u%20theo%20d&#245;i%20bc%20c&#225;c%20CTMTQG%20&#273;&#7883;nh%20k&#7923;%202%20l&#7847;n%201%20th&#225;ng%20(29.2.2024)%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QL%20NS%20HUONG/V&#258;N%20B&#7842;N%20CHUY&#7874;N%20X&#7916;%20L&#221;/Q&#272;%20CHUY&#7874;N%20X&#7916;%20L&#221;/V&#258;N%20B&#7842;N%20N&#258;M%202024/QUY&#7870;T%20&#272;&#7882;NH%20%20CH&#431;&#416;NG%20TR&#204;NH%20M&#7908;C%20TI&#202;U%20QG/C&#7844;P%20B&#7892;%20SUNG%20L&#7846;N%201/BI&#7874;U%20CHI%20TI&#7870;T%20%20159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01.NTM_ĐT"/>
      <sheetName val="B03.DTTS_ĐT"/>
      <sheetName val="B04.NTM_SN"/>
      <sheetName val="B05.GN_SN"/>
      <sheetName val="B06.DTTS_SN"/>
    </sheetNames>
    <sheetDataSet>
      <sheetData sheetId="0" refreshError="1"/>
      <sheetData sheetId="1" refreshError="1"/>
      <sheetData sheetId="2" refreshError="1">
        <row r="3">
          <cell r="A3" t="str">
            <v>Đơn vị tính: Đồng.</v>
          </cell>
        </row>
      </sheetData>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GV"/>
      <sheetName val="Biểu Tổng hợp"/>
      <sheetName val="Biểu 01 CTMT DTTS"/>
      <sheetName val="Biểu 02 CTMTQGGN"/>
      <sheetName val="Biểu 03 CTMTQG NTM"/>
      <sheetName val="Sheet3"/>
      <sheetName val="B04 điều chỉnh DM"/>
      <sheetName val="Sheet1"/>
    </sheetNames>
    <sheetDataSet>
      <sheetData sheetId="0" refreshError="1"/>
      <sheetData sheetId="1" refreshError="1"/>
      <sheetData sheetId="2" refreshError="1"/>
      <sheetData sheetId="3" refreshError="1">
        <row r="13">
          <cell r="D13">
            <v>204840178.99999988</v>
          </cell>
        </row>
        <row r="14">
          <cell r="D14">
            <v>10650990</v>
          </cell>
        </row>
      </sheetData>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P18"/>
  <sheetViews>
    <sheetView topLeftCell="A10" zoomScalePageLayoutView="85" workbookViewId="0">
      <selection activeCell="G9" sqref="G9"/>
    </sheetView>
  </sheetViews>
  <sheetFormatPr defaultRowHeight="15"/>
  <cols>
    <col min="1" max="1" width="6.5703125" customWidth="1"/>
    <col min="2" max="2" width="22.5703125" customWidth="1"/>
    <col min="3" max="3" width="11" customWidth="1"/>
    <col min="4" max="4" width="10" customWidth="1"/>
    <col min="5" max="6" width="10" style="2" customWidth="1"/>
    <col min="7" max="10" width="9.140625" customWidth="1"/>
    <col min="11" max="11" width="10.28515625" bestFit="1" customWidth="1"/>
    <col min="12" max="12" width="9.42578125" bestFit="1" customWidth="1"/>
    <col min="13" max="13" width="9.28515625" bestFit="1" customWidth="1"/>
    <col min="14" max="14" width="12" bestFit="1" customWidth="1"/>
    <col min="15" max="16" width="18.5703125" customWidth="1"/>
    <col min="257" max="257" width="6.5703125" customWidth="1"/>
    <col min="258" max="258" width="22.5703125" customWidth="1"/>
    <col min="259" max="262" width="10" customWidth="1"/>
    <col min="263" max="266" width="9.140625" customWidth="1"/>
    <col min="267" max="267" width="10.140625" bestFit="1" customWidth="1"/>
    <col min="270" max="270" width="11.85546875" bestFit="1" customWidth="1"/>
    <col min="271" max="272" width="18.5703125" customWidth="1"/>
    <col min="513" max="513" width="6.5703125" customWidth="1"/>
    <col min="514" max="514" width="22.5703125" customWidth="1"/>
    <col min="515" max="518" width="10" customWidth="1"/>
    <col min="519" max="522" width="9.140625" customWidth="1"/>
    <col min="523" max="523" width="10.140625" bestFit="1" customWidth="1"/>
    <col min="526" max="526" width="11.85546875" bestFit="1" customWidth="1"/>
    <col min="527" max="528" width="18.5703125" customWidth="1"/>
    <col min="769" max="769" width="6.5703125" customWidth="1"/>
    <col min="770" max="770" width="22.5703125" customWidth="1"/>
    <col min="771" max="774" width="10" customWidth="1"/>
    <col min="775" max="778" width="9.140625" customWidth="1"/>
    <col min="779" max="779" width="10.140625" bestFit="1" customWidth="1"/>
    <col min="782" max="782" width="11.85546875" bestFit="1" customWidth="1"/>
    <col min="783" max="784" width="18.5703125" customWidth="1"/>
    <col min="1025" max="1025" width="6.5703125" customWidth="1"/>
    <col min="1026" max="1026" width="22.5703125" customWidth="1"/>
    <col min="1027" max="1030" width="10" customWidth="1"/>
    <col min="1031" max="1034" width="9.140625" customWidth="1"/>
    <col min="1035" max="1035" width="10.140625" bestFit="1" customWidth="1"/>
    <col min="1038" max="1038" width="11.85546875" bestFit="1" customWidth="1"/>
    <col min="1039" max="1040" width="18.5703125" customWidth="1"/>
    <col min="1281" max="1281" width="6.5703125" customWidth="1"/>
    <col min="1282" max="1282" width="22.5703125" customWidth="1"/>
    <col min="1283" max="1286" width="10" customWidth="1"/>
    <col min="1287" max="1290" width="9.140625" customWidth="1"/>
    <col min="1291" max="1291" width="10.140625" bestFit="1" customWidth="1"/>
    <col min="1294" max="1294" width="11.85546875" bestFit="1" customWidth="1"/>
    <col min="1295" max="1296" width="18.5703125" customWidth="1"/>
    <col min="1537" max="1537" width="6.5703125" customWidth="1"/>
    <col min="1538" max="1538" width="22.5703125" customWidth="1"/>
    <col min="1539" max="1542" width="10" customWidth="1"/>
    <col min="1543" max="1546" width="9.140625" customWidth="1"/>
    <col min="1547" max="1547" width="10.140625" bestFit="1" customWidth="1"/>
    <col min="1550" max="1550" width="11.85546875" bestFit="1" customWidth="1"/>
    <col min="1551" max="1552" width="18.5703125" customWidth="1"/>
    <col min="1793" max="1793" width="6.5703125" customWidth="1"/>
    <col min="1794" max="1794" width="22.5703125" customWidth="1"/>
    <col min="1795" max="1798" width="10" customWidth="1"/>
    <col min="1799" max="1802" width="9.140625" customWidth="1"/>
    <col min="1803" max="1803" width="10.140625" bestFit="1" customWidth="1"/>
    <col min="1806" max="1806" width="11.85546875" bestFit="1" customWidth="1"/>
    <col min="1807" max="1808" width="18.5703125" customWidth="1"/>
    <col min="2049" max="2049" width="6.5703125" customWidth="1"/>
    <col min="2050" max="2050" width="22.5703125" customWidth="1"/>
    <col min="2051" max="2054" width="10" customWidth="1"/>
    <col min="2055" max="2058" width="9.140625" customWidth="1"/>
    <col min="2059" max="2059" width="10.140625" bestFit="1" customWidth="1"/>
    <col min="2062" max="2062" width="11.85546875" bestFit="1" customWidth="1"/>
    <col min="2063" max="2064" width="18.5703125" customWidth="1"/>
    <col min="2305" max="2305" width="6.5703125" customWidth="1"/>
    <col min="2306" max="2306" width="22.5703125" customWidth="1"/>
    <col min="2307" max="2310" width="10" customWidth="1"/>
    <col min="2311" max="2314" width="9.140625" customWidth="1"/>
    <col min="2315" max="2315" width="10.140625" bestFit="1" customWidth="1"/>
    <col min="2318" max="2318" width="11.85546875" bestFit="1" customWidth="1"/>
    <col min="2319" max="2320" width="18.5703125" customWidth="1"/>
    <col min="2561" max="2561" width="6.5703125" customWidth="1"/>
    <col min="2562" max="2562" width="22.5703125" customWidth="1"/>
    <col min="2563" max="2566" width="10" customWidth="1"/>
    <col min="2567" max="2570" width="9.140625" customWidth="1"/>
    <col min="2571" max="2571" width="10.140625" bestFit="1" customWidth="1"/>
    <col min="2574" max="2574" width="11.85546875" bestFit="1" customWidth="1"/>
    <col min="2575" max="2576" width="18.5703125" customWidth="1"/>
    <col min="2817" max="2817" width="6.5703125" customWidth="1"/>
    <col min="2818" max="2818" width="22.5703125" customWidth="1"/>
    <col min="2819" max="2822" width="10" customWidth="1"/>
    <col min="2823" max="2826" width="9.140625" customWidth="1"/>
    <col min="2827" max="2827" width="10.140625" bestFit="1" customWidth="1"/>
    <col min="2830" max="2830" width="11.85546875" bestFit="1" customWidth="1"/>
    <col min="2831" max="2832" width="18.5703125" customWidth="1"/>
    <col min="3073" max="3073" width="6.5703125" customWidth="1"/>
    <col min="3074" max="3074" width="22.5703125" customWidth="1"/>
    <col min="3075" max="3078" width="10" customWidth="1"/>
    <col min="3079" max="3082" width="9.140625" customWidth="1"/>
    <col min="3083" max="3083" width="10.140625" bestFit="1" customWidth="1"/>
    <col min="3086" max="3086" width="11.85546875" bestFit="1" customWidth="1"/>
    <col min="3087" max="3088" width="18.5703125" customWidth="1"/>
    <col min="3329" max="3329" width="6.5703125" customWidth="1"/>
    <col min="3330" max="3330" width="22.5703125" customWidth="1"/>
    <col min="3331" max="3334" width="10" customWidth="1"/>
    <col min="3335" max="3338" width="9.140625" customWidth="1"/>
    <col min="3339" max="3339" width="10.140625" bestFit="1" customWidth="1"/>
    <col min="3342" max="3342" width="11.85546875" bestFit="1" customWidth="1"/>
    <col min="3343" max="3344" width="18.5703125" customWidth="1"/>
    <col min="3585" max="3585" width="6.5703125" customWidth="1"/>
    <col min="3586" max="3586" width="22.5703125" customWidth="1"/>
    <col min="3587" max="3590" width="10" customWidth="1"/>
    <col min="3591" max="3594" width="9.140625" customWidth="1"/>
    <col min="3595" max="3595" width="10.140625" bestFit="1" customWidth="1"/>
    <col min="3598" max="3598" width="11.85546875" bestFit="1" customWidth="1"/>
    <col min="3599" max="3600" width="18.5703125" customWidth="1"/>
    <col min="3841" max="3841" width="6.5703125" customWidth="1"/>
    <col min="3842" max="3842" width="22.5703125" customWidth="1"/>
    <col min="3843" max="3846" width="10" customWidth="1"/>
    <col min="3847" max="3850" width="9.140625" customWidth="1"/>
    <col min="3851" max="3851" width="10.140625" bestFit="1" customWidth="1"/>
    <col min="3854" max="3854" width="11.85546875" bestFit="1" customWidth="1"/>
    <col min="3855" max="3856" width="18.5703125" customWidth="1"/>
    <col min="4097" max="4097" width="6.5703125" customWidth="1"/>
    <col min="4098" max="4098" width="22.5703125" customWidth="1"/>
    <col min="4099" max="4102" width="10" customWidth="1"/>
    <col min="4103" max="4106" width="9.140625" customWidth="1"/>
    <col min="4107" max="4107" width="10.140625" bestFit="1" customWidth="1"/>
    <col min="4110" max="4110" width="11.85546875" bestFit="1" customWidth="1"/>
    <col min="4111" max="4112" width="18.5703125" customWidth="1"/>
    <col min="4353" max="4353" width="6.5703125" customWidth="1"/>
    <col min="4354" max="4354" width="22.5703125" customWidth="1"/>
    <col min="4355" max="4358" width="10" customWidth="1"/>
    <col min="4359" max="4362" width="9.140625" customWidth="1"/>
    <col min="4363" max="4363" width="10.140625" bestFit="1" customWidth="1"/>
    <col min="4366" max="4366" width="11.85546875" bestFit="1" customWidth="1"/>
    <col min="4367" max="4368" width="18.5703125" customWidth="1"/>
    <col min="4609" max="4609" width="6.5703125" customWidth="1"/>
    <col min="4610" max="4610" width="22.5703125" customWidth="1"/>
    <col min="4611" max="4614" width="10" customWidth="1"/>
    <col min="4615" max="4618" width="9.140625" customWidth="1"/>
    <col min="4619" max="4619" width="10.140625" bestFit="1" customWidth="1"/>
    <col min="4622" max="4622" width="11.85546875" bestFit="1" customWidth="1"/>
    <col min="4623" max="4624" width="18.5703125" customWidth="1"/>
    <col min="4865" max="4865" width="6.5703125" customWidth="1"/>
    <col min="4866" max="4866" width="22.5703125" customWidth="1"/>
    <col min="4867" max="4870" width="10" customWidth="1"/>
    <col min="4871" max="4874" width="9.140625" customWidth="1"/>
    <col min="4875" max="4875" width="10.140625" bestFit="1" customWidth="1"/>
    <col min="4878" max="4878" width="11.85546875" bestFit="1" customWidth="1"/>
    <col min="4879" max="4880" width="18.5703125" customWidth="1"/>
    <col min="5121" max="5121" width="6.5703125" customWidth="1"/>
    <col min="5122" max="5122" width="22.5703125" customWidth="1"/>
    <col min="5123" max="5126" width="10" customWidth="1"/>
    <col min="5127" max="5130" width="9.140625" customWidth="1"/>
    <col min="5131" max="5131" width="10.140625" bestFit="1" customWidth="1"/>
    <col min="5134" max="5134" width="11.85546875" bestFit="1" customWidth="1"/>
    <col min="5135" max="5136" width="18.5703125" customWidth="1"/>
    <col min="5377" max="5377" width="6.5703125" customWidth="1"/>
    <col min="5378" max="5378" width="22.5703125" customWidth="1"/>
    <col min="5379" max="5382" width="10" customWidth="1"/>
    <col min="5383" max="5386" width="9.140625" customWidth="1"/>
    <col min="5387" max="5387" width="10.140625" bestFit="1" customWidth="1"/>
    <col min="5390" max="5390" width="11.85546875" bestFit="1" customWidth="1"/>
    <col min="5391" max="5392" width="18.5703125" customWidth="1"/>
    <col min="5633" max="5633" width="6.5703125" customWidth="1"/>
    <col min="5634" max="5634" width="22.5703125" customWidth="1"/>
    <col min="5635" max="5638" width="10" customWidth="1"/>
    <col min="5639" max="5642" width="9.140625" customWidth="1"/>
    <col min="5643" max="5643" width="10.140625" bestFit="1" customWidth="1"/>
    <col min="5646" max="5646" width="11.85546875" bestFit="1" customWidth="1"/>
    <col min="5647" max="5648" width="18.5703125" customWidth="1"/>
    <col min="5889" max="5889" width="6.5703125" customWidth="1"/>
    <col min="5890" max="5890" width="22.5703125" customWidth="1"/>
    <col min="5891" max="5894" width="10" customWidth="1"/>
    <col min="5895" max="5898" width="9.140625" customWidth="1"/>
    <col min="5899" max="5899" width="10.140625" bestFit="1" customWidth="1"/>
    <col min="5902" max="5902" width="11.85546875" bestFit="1" customWidth="1"/>
    <col min="5903" max="5904" width="18.5703125" customWidth="1"/>
    <col min="6145" max="6145" width="6.5703125" customWidth="1"/>
    <col min="6146" max="6146" width="22.5703125" customWidth="1"/>
    <col min="6147" max="6150" width="10" customWidth="1"/>
    <col min="6151" max="6154" width="9.140625" customWidth="1"/>
    <col min="6155" max="6155" width="10.140625" bestFit="1" customWidth="1"/>
    <col min="6158" max="6158" width="11.85546875" bestFit="1" customWidth="1"/>
    <col min="6159" max="6160" width="18.5703125" customWidth="1"/>
    <col min="6401" max="6401" width="6.5703125" customWidth="1"/>
    <col min="6402" max="6402" width="22.5703125" customWidth="1"/>
    <col min="6403" max="6406" width="10" customWidth="1"/>
    <col min="6407" max="6410" width="9.140625" customWidth="1"/>
    <col min="6411" max="6411" width="10.140625" bestFit="1" customWidth="1"/>
    <col min="6414" max="6414" width="11.85546875" bestFit="1" customWidth="1"/>
    <col min="6415" max="6416" width="18.5703125" customWidth="1"/>
    <col min="6657" max="6657" width="6.5703125" customWidth="1"/>
    <col min="6658" max="6658" width="22.5703125" customWidth="1"/>
    <col min="6659" max="6662" width="10" customWidth="1"/>
    <col min="6663" max="6666" width="9.140625" customWidth="1"/>
    <col min="6667" max="6667" width="10.140625" bestFit="1" customWidth="1"/>
    <col min="6670" max="6670" width="11.85546875" bestFit="1" customWidth="1"/>
    <col min="6671" max="6672" width="18.5703125" customWidth="1"/>
    <col min="6913" max="6913" width="6.5703125" customWidth="1"/>
    <col min="6914" max="6914" width="22.5703125" customWidth="1"/>
    <col min="6915" max="6918" width="10" customWidth="1"/>
    <col min="6919" max="6922" width="9.140625" customWidth="1"/>
    <col min="6923" max="6923" width="10.140625" bestFit="1" customWidth="1"/>
    <col min="6926" max="6926" width="11.85546875" bestFit="1" customWidth="1"/>
    <col min="6927" max="6928" width="18.5703125" customWidth="1"/>
    <col min="7169" max="7169" width="6.5703125" customWidth="1"/>
    <col min="7170" max="7170" width="22.5703125" customWidth="1"/>
    <col min="7171" max="7174" width="10" customWidth="1"/>
    <col min="7175" max="7178" width="9.140625" customWidth="1"/>
    <col min="7179" max="7179" width="10.140625" bestFit="1" customWidth="1"/>
    <col min="7182" max="7182" width="11.85546875" bestFit="1" customWidth="1"/>
    <col min="7183" max="7184" width="18.5703125" customWidth="1"/>
    <col min="7425" max="7425" width="6.5703125" customWidth="1"/>
    <col min="7426" max="7426" width="22.5703125" customWidth="1"/>
    <col min="7427" max="7430" width="10" customWidth="1"/>
    <col min="7431" max="7434" width="9.140625" customWidth="1"/>
    <col min="7435" max="7435" width="10.140625" bestFit="1" customWidth="1"/>
    <col min="7438" max="7438" width="11.85546875" bestFit="1" customWidth="1"/>
    <col min="7439" max="7440" width="18.5703125" customWidth="1"/>
    <col min="7681" max="7681" width="6.5703125" customWidth="1"/>
    <col min="7682" max="7682" width="22.5703125" customWidth="1"/>
    <col min="7683" max="7686" width="10" customWidth="1"/>
    <col min="7687" max="7690" width="9.140625" customWidth="1"/>
    <col min="7691" max="7691" width="10.140625" bestFit="1" customWidth="1"/>
    <col min="7694" max="7694" width="11.85546875" bestFit="1" customWidth="1"/>
    <col min="7695" max="7696" width="18.5703125" customWidth="1"/>
    <col min="7937" max="7937" width="6.5703125" customWidth="1"/>
    <col min="7938" max="7938" width="22.5703125" customWidth="1"/>
    <col min="7939" max="7942" width="10" customWidth="1"/>
    <col min="7943" max="7946" width="9.140625" customWidth="1"/>
    <col min="7947" max="7947" width="10.140625" bestFit="1" customWidth="1"/>
    <col min="7950" max="7950" width="11.85546875" bestFit="1" customWidth="1"/>
    <col min="7951" max="7952" width="18.5703125" customWidth="1"/>
    <col min="8193" max="8193" width="6.5703125" customWidth="1"/>
    <col min="8194" max="8194" width="22.5703125" customWidth="1"/>
    <col min="8195" max="8198" width="10" customWidth="1"/>
    <col min="8199" max="8202" width="9.140625" customWidth="1"/>
    <col min="8203" max="8203" width="10.140625" bestFit="1" customWidth="1"/>
    <col min="8206" max="8206" width="11.85546875" bestFit="1" customWidth="1"/>
    <col min="8207" max="8208" width="18.5703125" customWidth="1"/>
    <col min="8449" max="8449" width="6.5703125" customWidth="1"/>
    <col min="8450" max="8450" width="22.5703125" customWidth="1"/>
    <col min="8451" max="8454" width="10" customWidth="1"/>
    <col min="8455" max="8458" width="9.140625" customWidth="1"/>
    <col min="8459" max="8459" width="10.140625" bestFit="1" customWidth="1"/>
    <col min="8462" max="8462" width="11.85546875" bestFit="1" customWidth="1"/>
    <col min="8463" max="8464" width="18.5703125" customWidth="1"/>
    <col min="8705" max="8705" width="6.5703125" customWidth="1"/>
    <col min="8706" max="8706" width="22.5703125" customWidth="1"/>
    <col min="8707" max="8710" width="10" customWidth="1"/>
    <col min="8711" max="8714" width="9.140625" customWidth="1"/>
    <col min="8715" max="8715" width="10.140625" bestFit="1" customWidth="1"/>
    <col min="8718" max="8718" width="11.85546875" bestFit="1" customWidth="1"/>
    <col min="8719" max="8720" width="18.5703125" customWidth="1"/>
    <col min="8961" max="8961" width="6.5703125" customWidth="1"/>
    <col min="8962" max="8962" width="22.5703125" customWidth="1"/>
    <col min="8963" max="8966" width="10" customWidth="1"/>
    <col min="8967" max="8970" width="9.140625" customWidth="1"/>
    <col min="8971" max="8971" width="10.140625" bestFit="1" customWidth="1"/>
    <col min="8974" max="8974" width="11.85546875" bestFit="1" customWidth="1"/>
    <col min="8975" max="8976" width="18.5703125" customWidth="1"/>
    <col min="9217" max="9217" width="6.5703125" customWidth="1"/>
    <col min="9218" max="9218" width="22.5703125" customWidth="1"/>
    <col min="9219" max="9222" width="10" customWidth="1"/>
    <col min="9223" max="9226" width="9.140625" customWidth="1"/>
    <col min="9227" max="9227" width="10.140625" bestFit="1" customWidth="1"/>
    <col min="9230" max="9230" width="11.85546875" bestFit="1" customWidth="1"/>
    <col min="9231" max="9232" width="18.5703125" customWidth="1"/>
    <col min="9473" max="9473" width="6.5703125" customWidth="1"/>
    <col min="9474" max="9474" width="22.5703125" customWidth="1"/>
    <col min="9475" max="9478" width="10" customWidth="1"/>
    <col min="9479" max="9482" width="9.140625" customWidth="1"/>
    <col min="9483" max="9483" width="10.140625" bestFit="1" customWidth="1"/>
    <col min="9486" max="9486" width="11.85546875" bestFit="1" customWidth="1"/>
    <col min="9487" max="9488" width="18.5703125" customWidth="1"/>
    <col min="9729" max="9729" width="6.5703125" customWidth="1"/>
    <col min="9730" max="9730" width="22.5703125" customWidth="1"/>
    <col min="9731" max="9734" width="10" customWidth="1"/>
    <col min="9735" max="9738" width="9.140625" customWidth="1"/>
    <col min="9739" max="9739" width="10.140625" bestFit="1" customWidth="1"/>
    <col min="9742" max="9742" width="11.85546875" bestFit="1" customWidth="1"/>
    <col min="9743" max="9744" width="18.5703125" customWidth="1"/>
    <col min="9985" max="9985" width="6.5703125" customWidth="1"/>
    <col min="9986" max="9986" width="22.5703125" customWidth="1"/>
    <col min="9987" max="9990" width="10" customWidth="1"/>
    <col min="9991" max="9994" width="9.140625" customWidth="1"/>
    <col min="9995" max="9995" width="10.140625" bestFit="1" customWidth="1"/>
    <col min="9998" max="9998" width="11.85546875" bestFit="1" customWidth="1"/>
    <col min="9999" max="10000" width="18.5703125" customWidth="1"/>
    <col min="10241" max="10241" width="6.5703125" customWidth="1"/>
    <col min="10242" max="10242" width="22.5703125" customWidth="1"/>
    <col min="10243" max="10246" width="10" customWidth="1"/>
    <col min="10247" max="10250" width="9.140625" customWidth="1"/>
    <col min="10251" max="10251" width="10.140625" bestFit="1" customWidth="1"/>
    <col min="10254" max="10254" width="11.85546875" bestFit="1" customWidth="1"/>
    <col min="10255" max="10256" width="18.5703125" customWidth="1"/>
    <col min="10497" max="10497" width="6.5703125" customWidth="1"/>
    <col min="10498" max="10498" width="22.5703125" customWidth="1"/>
    <col min="10499" max="10502" width="10" customWidth="1"/>
    <col min="10503" max="10506" width="9.140625" customWidth="1"/>
    <col min="10507" max="10507" width="10.140625" bestFit="1" customWidth="1"/>
    <col min="10510" max="10510" width="11.85546875" bestFit="1" customWidth="1"/>
    <col min="10511" max="10512" width="18.5703125" customWidth="1"/>
    <col min="10753" max="10753" width="6.5703125" customWidth="1"/>
    <col min="10754" max="10754" width="22.5703125" customWidth="1"/>
    <col min="10755" max="10758" width="10" customWidth="1"/>
    <col min="10759" max="10762" width="9.140625" customWidth="1"/>
    <col min="10763" max="10763" width="10.140625" bestFit="1" customWidth="1"/>
    <col min="10766" max="10766" width="11.85546875" bestFit="1" customWidth="1"/>
    <col min="10767" max="10768" width="18.5703125" customWidth="1"/>
    <col min="11009" max="11009" width="6.5703125" customWidth="1"/>
    <col min="11010" max="11010" width="22.5703125" customWidth="1"/>
    <col min="11011" max="11014" width="10" customWidth="1"/>
    <col min="11015" max="11018" width="9.140625" customWidth="1"/>
    <col min="11019" max="11019" width="10.140625" bestFit="1" customWidth="1"/>
    <col min="11022" max="11022" width="11.85546875" bestFit="1" customWidth="1"/>
    <col min="11023" max="11024" width="18.5703125" customWidth="1"/>
    <col min="11265" max="11265" width="6.5703125" customWidth="1"/>
    <col min="11266" max="11266" width="22.5703125" customWidth="1"/>
    <col min="11267" max="11270" width="10" customWidth="1"/>
    <col min="11271" max="11274" width="9.140625" customWidth="1"/>
    <col min="11275" max="11275" width="10.140625" bestFit="1" customWidth="1"/>
    <col min="11278" max="11278" width="11.85546875" bestFit="1" customWidth="1"/>
    <col min="11279" max="11280" width="18.5703125" customWidth="1"/>
    <col min="11521" max="11521" width="6.5703125" customWidth="1"/>
    <col min="11522" max="11522" width="22.5703125" customWidth="1"/>
    <col min="11523" max="11526" width="10" customWidth="1"/>
    <col min="11527" max="11530" width="9.140625" customWidth="1"/>
    <col min="11531" max="11531" width="10.140625" bestFit="1" customWidth="1"/>
    <col min="11534" max="11534" width="11.85546875" bestFit="1" customWidth="1"/>
    <col min="11535" max="11536" width="18.5703125" customWidth="1"/>
    <col min="11777" max="11777" width="6.5703125" customWidth="1"/>
    <col min="11778" max="11778" width="22.5703125" customWidth="1"/>
    <col min="11779" max="11782" width="10" customWidth="1"/>
    <col min="11783" max="11786" width="9.140625" customWidth="1"/>
    <col min="11787" max="11787" width="10.140625" bestFit="1" customWidth="1"/>
    <col min="11790" max="11790" width="11.85546875" bestFit="1" customWidth="1"/>
    <col min="11791" max="11792" width="18.5703125" customWidth="1"/>
    <col min="12033" max="12033" width="6.5703125" customWidth="1"/>
    <col min="12034" max="12034" width="22.5703125" customWidth="1"/>
    <col min="12035" max="12038" width="10" customWidth="1"/>
    <col min="12039" max="12042" width="9.140625" customWidth="1"/>
    <col min="12043" max="12043" width="10.140625" bestFit="1" customWidth="1"/>
    <col min="12046" max="12046" width="11.85546875" bestFit="1" customWidth="1"/>
    <col min="12047" max="12048" width="18.5703125" customWidth="1"/>
    <col min="12289" max="12289" width="6.5703125" customWidth="1"/>
    <col min="12290" max="12290" width="22.5703125" customWidth="1"/>
    <col min="12291" max="12294" width="10" customWidth="1"/>
    <col min="12295" max="12298" width="9.140625" customWidth="1"/>
    <col min="12299" max="12299" width="10.140625" bestFit="1" customWidth="1"/>
    <col min="12302" max="12302" width="11.85546875" bestFit="1" customWidth="1"/>
    <col min="12303" max="12304" width="18.5703125" customWidth="1"/>
    <col min="12545" max="12545" width="6.5703125" customWidth="1"/>
    <col min="12546" max="12546" width="22.5703125" customWidth="1"/>
    <col min="12547" max="12550" width="10" customWidth="1"/>
    <col min="12551" max="12554" width="9.140625" customWidth="1"/>
    <col min="12555" max="12555" width="10.140625" bestFit="1" customWidth="1"/>
    <col min="12558" max="12558" width="11.85546875" bestFit="1" customWidth="1"/>
    <col min="12559" max="12560" width="18.5703125" customWidth="1"/>
    <col min="12801" max="12801" width="6.5703125" customWidth="1"/>
    <col min="12802" max="12802" width="22.5703125" customWidth="1"/>
    <col min="12803" max="12806" width="10" customWidth="1"/>
    <col min="12807" max="12810" width="9.140625" customWidth="1"/>
    <col min="12811" max="12811" width="10.140625" bestFit="1" customWidth="1"/>
    <col min="12814" max="12814" width="11.85546875" bestFit="1" customWidth="1"/>
    <col min="12815" max="12816" width="18.5703125" customWidth="1"/>
    <col min="13057" max="13057" width="6.5703125" customWidth="1"/>
    <col min="13058" max="13058" width="22.5703125" customWidth="1"/>
    <col min="13059" max="13062" width="10" customWidth="1"/>
    <col min="13063" max="13066" width="9.140625" customWidth="1"/>
    <col min="13067" max="13067" width="10.140625" bestFit="1" customWidth="1"/>
    <col min="13070" max="13070" width="11.85546875" bestFit="1" customWidth="1"/>
    <col min="13071" max="13072" width="18.5703125" customWidth="1"/>
    <col min="13313" max="13313" width="6.5703125" customWidth="1"/>
    <col min="13314" max="13314" width="22.5703125" customWidth="1"/>
    <col min="13315" max="13318" width="10" customWidth="1"/>
    <col min="13319" max="13322" width="9.140625" customWidth="1"/>
    <col min="13323" max="13323" width="10.140625" bestFit="1" customWidth="1"/>
    <col min="13326" max="13326" width="11.85546875" bestFit="1" customWidth="1"/>
    <col min="13327" max="13328" width="18.5703125" customWidth="1"/>
    <col min="13569" max="13569" width="6.5703125" customWidth="1"/>
    <col min="13570" max="13570" width="22.5703125" customWidth="1"/>
    <col min="13571" max="13574" width="10" customWidth="1"/>
    <col min="13575" max="13578" width="9.140625" customWidth="1"/>
    <col min="13579" max="13579" width="10.140625" bestFit="1" customWidth="1"/>
    <col min="13582" max="13582" width="11.85546875" bestFit="1" customWidth="1"/>
    <col min="13583" max="13584" width="18.5703125" customWidth="1"/>
    <col min="13825" max="13825" width="6.5703125" customWidth="1"/>
    <col min="13826" max="13826" width="22.5703125" customWidth="1"/>
    <col min="13827" max="13830" width="10" customWidth="1"/>
    <col min="13831" max="13834" width="9.140625" customWidth="1"/>
    <col min="13835" max="13835" width="10.140625" bestFit="1" customWidth="1"/>
    <col min="13838" max="13838" width="11.85546875" bestFit="1" customWidth="1"/>
    <col min="13839" max="13840" width="18.5703125" customWidth="1"/>
    <col min="14081" max="14081" width="6.5703125" customWidth="1"/>
    <col min="14082" max="14082" width="22.5703125" customWidth="1"/>
    <col min="14083" max="14086" width="10" customWidth="1"/>
    <col min="14087" max="14090" width="9.140625" customWidth="1"/>
    <col min="14091" max="14091" width="10.140625" bestFit="1" customWidth="1"/>
    <col min="14094" max="14094" width="11.85546875" bestFit="1" customWidth="1"/>
    <col min="14095" max="14096" width="18.5703125" customWidth="1"/>
    <col min="14337" max="14337" width="6.5703125" customWidth="1"/>
    <col min="14338" max="14338" width="22.5703125" customWidth="1"/>
    <col min="14339" max="14342" width="10" customWidth="1"/>
    <col min="14343" max="14346" width="9.140625" customWidth="1"/>
    <col min="14347" max="14347" width="10.140625" bestFit="1" customWidth="1"/>
    <col min="14350" max="14350" width="11.85546875" bestFit="1" customWidth="1"/>
    <col min="14351" max="14352" width="18.5703125" customWidth="1"/>
    <col min="14593" max="14593" width="6.5703125" customWidth="1"/>
    <col min="14594" max="14594" width="22.5703125" customWidth="1"/>
    <col min="14595" max="14598" width="10" customWidth="1"/>
    <col min="14599" max="14602" width="9.140625" customWidth="1"/>
    <col min="14603" max="14603" width="10.140625" bestFit="1" customWidth="1"/>
    <col min="14606" max="14606" width="11.85546875" bestFit="1" customWidth="1"/>
    <col min="14607" max="14608" width="18.5703125" customWidth="1"/>
    <col min="14849" max="14849" width="6.5703125" customWidth="1"/>
    <col min="14850" max="14850" width="22.5703125" customWidth="1"/>
    <col min="14851" max="14854" width="10" customWidth="1"/>
    <col min="14855" max="14858" width="9.140625" customWidth="1"/>
    <col min="14859" max="14859" width="10.140625" bestFit="1" customWidth="1"/>
    <col min="14862" max="14862" width="11.85546875" bestFit="1" customWidth="1"/>
    <col min="14863" max="14864" width="18.5703125" customWidth="1"/>
    <col min="15105" max="15105" width="6.5703125" customWidth="1"/>
    <col min="15106" max="15106" width="22.5703125" customWidth="1"/>
    <col min="15107" max="15110" width="10" customWidth="1"/>
    <col min="15111" max="15114" width="9.140625" customWidth="1"/>
    <col min="15115" max="15115" width="10.140625" bestFit="1" customWidth="1"/>
    <col min="15118" max="15118" width="11.85546875" bestFit="1" customWidth="1"/>
    <col min="15119" max="15120" width="18.5703125" customWidth="1"/>
    <col min="15361" max="15361" width="6.5703125" customWidth="1"/>
    <col min="15362" max="15362" width="22.5703125" customWidth="1"/>
    <col min="15363" max="15366" width="10" customWidth="1"/>
    <col min="15367" max="15370" width="9.140625" customWidth="1"/>
    <col min="15371" max="15371" width="10.140625" bestFit="1" customWidth="1"/>
    <col min="15374" max="15374" width="11.85546875" bestFit="1" customWidth="1"/>
    <col min="15375" max="15376" width="18.5703125" customWidth="1"/>
    <col min="15617" max="15617" width="6.5703125" customWidth="1"/>
    <col min="15618" max="15618" width="22.5703125" customWidth="1"/>
    <col min="15619" max="15622" width="10" customWidth="1"/>
    <col min="15623" max="15626" width="9.140625" customWidth="1"/>
    <col min="15627" max="15627" width="10.140625" bestFit="1" customWidth="1"/>
    <col min="15630" max="15630" width="11.85546875" bestFit="1" customWidth="1"/>
    <col min="15631" max="15632" width="18.5703125" customWidth="1"/>
    <col min="15873" max="15873" width="6.5703125" customWidth="1"/>
    <col min="15874" max="15874" width="22.5703125" customWidth="1"/>
    <col min="15875" max="15878" width="10" customWidth="1"/>
    <col min="15879" max="15882" width="9.140625" customWidth="1"/>
    <col min="15883" max="15883" width="10.140625" bestFit="1" customWidth="1"/>
    <col min="15886" max="15886" width="11.85546875" bestFit="1" customWidth="1"/>
    <col min="15887" max="15888" width="18.5703125" customWidth="1"/>
    <col min="16129" max="16129" width="6.5703125" customWidth="1"/>
    <col min="16130" max="16130" width="22.5703125" customWidth="1"/>
    <col min="16131" max="16134" width="10" customWidth="1"/>
    <col min="16135" max="16138" width="9.140625" customWidth="1"/>
    <col min="16139" max="16139" width="10.140625" bestFit="1" customWidth="1"/>
    <col min="16142" max="16142" width="11.85546875" bestFit="1" customWidth="1"/>
    <col min="16143" max="16144" width="18.5703125" customWidth="1"/>
  </cols>
  <sheetData>
    <row r="1" spans="1:16" ht="27" customHeight="1">
      <c r="A1" s="404" t="s">
        <v>135</v>
      </c>
      <c r="B1" s="404"/>
      <c r="C1" s="404"/>
      <c r="D1" s="404"/>
      <c r="E1" s="404"/>
      <c r="F1" s="404"/>
      <c r="G1" s="404"/>
      <c r="H1" s="404"/>
      <c r="I1" s="404"/>
      <c r="J1" s="404"/>
      <c r="K1" s="404"/>
      <c r="L1" s="404"/>
      <c r="M1" s="404"/>
      <c r="N1" s="404"/>
      <c r="O1" s="404"/>
      <c r="P1" s="404"/>
    </row>
    <row r="2" spans="1:16" ht="24.75" customHeight="1">
      <c r="A2" s="405" t="s">
        <v>271</v>
      </c>
      <c r="B2" s="405"/>
      <c r="C2" s="405"/>
      <c r="D2" s="405"/>
      <c r="E2" s="405"/>
      <c r="F2" s="405"/>
      <c r="G2" s="405"/>
      <c r="H2" s="405"/>
      <c r="I2" s="405"/>
      <c r="J2" s="405"/>
      <c r="K2" s="405"/>
      <c r="L2" s="405"/>
      <c r="M2" s="405"/>
      <c r="N2" s="405"/>
      <c r="O2" s="405"/>
      <c r="P2" s="405"/>
    </row>
    <row r="3" spans="1:16" ht="24.75" customHeight="1">
      <c r="A3" s="393"/>
      <c r="B3" s="393"/>
      <c r="C3" s="393"/>
      <c r="D3" s="394"/>
      <c r="E3" s="394"/>
      <c r="F3" s="394"/>
      <c r="G3" s="393"/>
      <c r="H3" s="393"/>
      <c r="I3" s="393"/>
      <c r="J3" s="393"/>
      <c r="K3" s="393"/>
      <c r="L3" s="393"/>
      <c r="M3" s="393"/>
      <c r="N3" s="393"/>
      <c r="O3" s="403" t="s">
        <v>45</v>
      </c>
      <c r="P3" s="393"/>
    </row>
    <row r="4" spans="1:16" s="59" customFormat="1" ht="37.5" customHeight="1">
      <c r="A4" s="409" t="s">
        <v>29</v>
      </c>
      <c r="B4" s="409" t="s">
        <v>123</v>
      </c>
      <c r="C4" s="409" t="s">
        <v>136</v>
      </c>
      <c r="D4" s="411" t="s">
        <v>124</v>
      </c>
      <c r="E4" s="412"/>
      <c r="F4" s="413"/>
      <c r="G4" s="417" t="s">
        <v>269</v>
      </c>
      <c r="H4" s="417"/>
      <c r="I4" s="417"/>
      <c r="J4" s="417"/>
      <c r="K4" s="417"/>
      <c r="L4" s="417"/>
      <c r="M4" s="417"/>
      <c r="N4" s="417"/>
      <c r="O4" s="417"/>
      <c r="P4" s="418"/>
    </row>
    <row r="5" spans="1:16" s="60" customFormat="1" ht="21" customHeight="1">
      <c r="A5" s="410"/>
      <c r="B5" s="410"/>
      <c r="C5" s="410"/>
      <c r="D5" s="414"/>
      <c r="E5" s="415"/>
      <c r="F5" s="416"/>
      <c r="G5" s="419" t="s">
        <v>43</v>
      </c>
      <c r="H5" s="420"/>
      <c r="I5" s="420"/>
      <c r="J5" s="421"/>
      <c r="K5" s="419" t="s">
        <v>44</v>
      </c>
      <c r="L5" s="420"/>
      <c r="M5" s="420"/>
      <c r="N5" s="421"/>
      <c r="O5" s="409" t="s">
        <v>132</v>
      </c>
      <c r="P5" s="409" t="s">
        <v>133</v>
      </c>
    </row>
    <row r="6" spans="1:16" s="59" customFormat="1" ht="86.25" customHeight="1">
      <c r="A6" s="410"/>
      <c r="B6" s="410"/>
      <c r="C6" s="410"/>
      <c r="D6" s="192" t="s">
        <v>32</v>
      </c>
      <c r="E6" s="192" t="s">
        <v>137</v>
      </c>
      <c r="F6" s="192" t="s">
        <v>138</v>
      </c>
      <c r="G6" s="194" t="s">
        <v>42</v>
      </c>
      <c r="H6" s="192" t="s">
        <v>32</v>
      </c>
      <c r="I6" s="192" t="s">
        <v>137</v>
      </c>
      <c r="J6" s="192" t="s">
        <v>138</v>
      </c>
      <c r="K6" s="194" t="s">
        <v>42</v>
      </c>
      <c r="L6" s="192" t="s">
        <v>32</v>
      </c>
      <c r="M6" s="192" t="s">
        <v>137</v>
      </c>
      <c r="N6" s="192" t="s">
        <v>138</v>
      </c>
      <c r="O6" s="409"/>
      <c r="P6" s="409"/>
    </row>
    <row r="7" spans="1:16" s="4" customFormat="1" ht="19.5" customHeight="1">
      <c r="A7" s="8">
        <v>1</v>
      </c>
      <c r="B7" s="8">
        <v>2</v>
      </c>
      <c r="C7" s="8" t="s">
        <v>31</v>
      </c>
      <c r="D7" s="8">
        <v>4</v>
      </c>
      <c r="E7" s="8">
        <v>5</v>
      </c>
      <c r="F7" s="8">
        <v>6</v>
      </c>
      <c r="G7" s="8" t="s">
        <v>139</v>
      </c>
      <c r="H7" s="8">
        <v>8</v>
      </c>
      <c r="I7" s="8">
        <v>9</v>
      </c>
      <c r="J7" s="8">
        <v>10</v>
      </c>
      <c r="K7" s="8" t="s">
        <v>129</v>
      </c>
      <c r="L7" s="8" t="s">
        <v>130</v>
      </c>
      <c r="M7" s="8" t="s">
        <v>131</v>
      </c>
      <c r="N7" s="8" t="s">
        <v>140</v>
      </c>
      <c r="O7" s="8">
        <v>14</v>
      </c>
      <c r="P7" s="8">
        <v>15</v>
      </c>
    </row>
    <row r="8" spans="1:16" s="65" customFormat="1" ht="34.5" customHeight="1">
      <c r="A8" s="61"/>
      <c r="B8" s="62" t="s">
        <v>0</v>
      </c>
      <c r="C8" s="535">
        <f>+D8+E8+F8</f>
        <v>1497.8</v>
      </c>
      <c r="D8" s="63">
        <f>+D10</f>
        <v>648.79999999999995</v>
      </c>
      <c r="E8" s="63">
        <f t="shared" ref="E8:N8" si="0">+E10</f>
        <v>0</v>
      </c>
      <c r="F8" s="63">
        <f t="shared" si="0"/>
        <v>849</v>
      </c>
      <c r="G8" s="63">
        <f t="shared" si="0"/>
        <v>1394.9861000000001</v>
      </c>
      <c r="H8" s="63">
        <f t="shared" si="0"/>
        <v>566.52459999999996</v>
      </c>
      <c r="I8" s="63">
        <f t="shared" si="0"/>
        <v>0</v>
      </c>
      <c r="J8" s="63">
        <f t="shared" si="0"/>
        <v>828.4615</v>
      </c>
      <c r="K8" s="68">
        <f>+K10</f>
        <v>93.135672319401792</v>
      </c>
      <c r="L8" s="63">
        <f t="shared" si="0"/>
        <v>87.318834771886557</v>
      </c>
      <c r="M8" s="63">
        <f t="shared" si="0"/>
        <v>0</v>
      </c>
      <c r="N8" s="68">
        <f t="shared" si="0"/>
        <v>97.580859835100114</v>
      </c>
      <c r="O8" s="64"/>
      <c r="P8" s="64"/>
    </row>
    <row r="9" spans="1:16" s="2" customFormat="1" ht="57" customHeight="1">
      <c r="A9" s="1"/>
      <c r="B9" s="12" t="s">
        <v>121</v>
      </c>
      <c r="C9" s="3"/>
      <c r="D9" s="3"/>
      <c r="E9" s="11"/>
      <c r="F9" s="11"/>
      <c r="G9" s="3"/>
      <c r="H9" s="3"/>
      <c r="I9" s="3"/>
      <c r="J9" s="3"/>
      <c r="K9" s="3"/>
      <c r="L9" s="3"/>
      <c r="M9" s="3"/>
      <c r="N9" s="3"/>
      <c r="O9" s="3"/>
      <c r="P9" s="3"/>
    </row>
    <row r="10" spans="1:16" s="9" customFormat="1" ht="27" customHeight="1">
      <c r="A10" s="13">
        <v>4</v>
      </c>
      <c r="B10" s="10" t="s">
        <v>3</v>
      </c>
      <c r="C10" s="19">
        <f>+C11+C12+C13</f>
        <v>1497.8000000000002</v>
      </c>
      <c r="D10" s="19">
        <f t="shared" ref="D10:J10" si="1">+D11+D12+D13</f>
        <v>648.79999999999995</v>
      </c>
      <c r="E10" s="19">
        <f t="shared" si="1"/>
        <v>0</v>
      </c>
      <c r="F10" s="19">
        <f t="shared" si="1"/>
        <v>849</v>
      </c>
      <c r="G10" s="19">
        <f t="shared" si="1"/>
        <v>1394.9861000000001</v>
      </c>
      <c r="H10" s="19">
        <f t="shared" si="1"/>
        <v>566.52459999999996</v>
      </c>
      <c r="I10" s="19">
        <f t="shared" si="1"/>
        <v>0</v>
      </c>
      <c r="J10" s="19">
        <f t="shared" si="1"/>
        <v>828.4615</v>
      </c>
      <c r="K10" s="67">
        <f>+G10/C10*100</f>
        <v>93.135672319401792</v>
      </c>
      <c r="L10" s="67">
        <f t="shared" ref="L10:P13" si="2">+H10/D10*100</f>
        <v>87.318834771886557</v>
      </c>
      <c r="M10" s="67"/>
      <c r="N10" s="67">
        <f t="shared" si="2"/>
        <v>97.580859835100114</v>
      </c>
      <c r="O10" s="67">
        <f t="shared" si="2"/>
        <v>6.6764588062491654</v>
      </c>
      <c r="P10" s="67">
        <f t="shared" si="2"/>
        <v>15.413070283600494</v>
      </c>
    </row>
    <row r="11" spans="1:16" ht="27" customHeight="1">
      <c r="A11" s="6" t="s">
        <v>12</v>
      </c>
      <c r="B11" s="5" t="s">
        <v>151</v>
      </c>
      <c r="C11" s="18">
        <f>+D11+E11+F11</f>
        <v>849</v>
      </c>
      <c r="D11" s="18"/>
      <c r="E11" s="18"/>
      <c r="F11" s="18">
        <v>849</v>
      </c>
      <c r="G11" s="18">
        <f>+H11+I11+J11</f>
        <v>828.4615</v>
      </c>
      <c r="H11" s="18"/>
      <c r="I11" s="18"/>
      <c r="J11" s="18">
        <v>828.4615</v>
      </c>
      <c r="K11" s="66">
        <f>+G11/C11*100</f>
        <v>97.580859835100114</v>
      </c>
      <c r="L11" s="66"/>
      <c r="M11" s="66"/>
      <c r="N11" s="66">
        <f t="shared" si="2"/>
        <v>97.580859835100114</v>
      </c>
      <c r="O11" s="66"/>
      <c r="P11" s="66"/>
    </row>
    <row r="12" spans="1:16" ht="27" customHeight="1">
      <c r="A12" s="6" t="s">
        <v>152</v>
      </c>
      <c r="B12" s="5" t="s">
        <v>153</v>
      </c>
      <c r="C12" s="18">
        <f t="shared" ref="C12:C14" si="3">+D12+E12+F12</f>
        <v>316.39999999999998</v>
      </c>
      <c r="D12" s="18">
        <v>316.39999999999998</v>
      </c>
      <c r="E12" s="18"/>
      <c r="F12" s="18"/>
      <c r="G12" s="18">
        <f t="shared" ref="G12:G13" si="4">+H12+I12+J12</f>
        <v>236.96899999999999</v>
      </c>
      <c r="H12" s="18">
        <v>236.96899999999999</v>
      </c>
      <c r="I12" s="18"/>
      <c r="J12" s="18">
        <v>0</v>
      </c>
      <c r="K12" s="66">
        <f t="shared" ref="K12:K13" si="5">+G12/C12*100</f>
        <v>74.895385587863473</v>
      </c>
      <c r="L12" s="66">
        <f t="shared" si="2"/>
        <v>74.895385587863473</v>
      </c>
      <c r="M12" s="66"/>
      <c r="N12" s="66"/>
      <c r="O12" s="66"/>
      <c r="P12" s="66"/>
    </row>
    <row r="13" spans="1:16" ht="15.75">
      <c r="A13" s="6" t="s">
        <v>235</v>
      </c>
      <c r="B13" s="5" t="s">
        <v>161</v>
      </c>
      <c r="C13" s="18">
        <f t="shared" si="3"/>
        <v>332.4</v>
      </c>
      <c r="D13" s="18">
        <v>332.4</v>
      </c>
      <c r="E13" s="18"/>
      <c r="F13" s="18"/>
      <c r="G13" s="18">
        <f t="shared" si="4"/>
        <v>329.55560000000003</v>
      </c>
      <c r="H13" s="18">
        <v>329.55560000000003</v>
      </c>
      <c r="I13" s="18"/>
      <c r="J13" s="18">
        <v>0</v>
      </c>
      <c r="K13" s="66">
        <f t="shared" si="5"/>
        <v>99.144283995186527</v>
      </c>
      <c r="L13" s="66">
        <f t="shared" si="2"/>
        <v>99.144283995186527</v>
      </c>
      <c r="M13" s="66"/>
      <c r="N13" s="66"/>
      <c r="O13" s="66"/>
      <c r="P13" s="66"/>
    </row>
    <row r="14" spans="1:16" ht="31.5">
      <c r="A14" s="6" t="s">
        <v>264</v>
      </c>
      <c r="B14" s="5" t="s">
        <v>265</v>
      </c>
      <c r="C14" s="196">
        <f t="shared" si="3"/>
        <v>3640</v>
      </c>
      <c r="D14" s="196"/>
      <c r="E14" s="196"/>
      <c r="F14" s="196">
        <v>3640</v>
      </c>
      <c r="G14" s="196"/>
      <c r="H14" s="196"/>
      <c r="I14" s="196"/>
      <c r="J14" s="196"/>
      <c r="K14" s="196"/>
      <c r="L14" s="196"/>
      <c r="M14" s="196"/>
      <c r="N14" s="196"/>
      <c r="O14" s="196"/>
      <c r="P14" s="66"/>
    </row>
    <row r="15" spans="1:16" s="14" customFormat="1" ht="15.75">
      <c r="A15" s="16"/>
      <c r="E15" s="15"/>
      <c r="F15" s="15"/>
    </row>
    <row r="16" spans="1:16" s="14" customFormat="1" ht="15.75">
      <c r="A16" s="406"/>
      <c r="B16" s="406"/>
      <c r="C16" s="406"/>
      <c r="D16" s="406"/>
      <c r="E16" s="406"/>
      <c r="F16" s="190"/>
    </row>
    <row r="17" spans="1:10" s="14" customFormat="1" ht="81.75" customHeight="1">
      <c r="A17" s="407"/>
      <c r="B17" s="408"/>
      <c r="C17" s="408"/>
      <c r="D17" s="408"/>
      <c r="E17" s="408"/>
      <c r="F17" s="408"/>
      <c r="G17" s="408"/>
      <c r="H17" s="408"/>
      <c r="I17" s="408"/>
      <c r="J17" s="191"/>
    </row>
    <row r="18" spans="1:10" ht="15.75">
      <c r="A18" s="406"/>
      <c r="B18" s="406"/>
      <c r="C18" s="406"/>
      <c r="D18" s="406"/>
      <c r="E18" s="406"/>
      <c r="F18" s="406"/>
      <c r="G18" s="406"/>
      <c r="H18" s="406"/>
      <c r="I18" s="406"/>
      <c r="J18" s="190"/>
    </row>
  </sheetData>
  <mergeCells count="14">
    <mergeCell ref="A1:P1"/>
    <mergeCell ref="A2:P2"/>
    <mergeCell ref="A16:E16"/>
    <mergeCell ref="A17:I17"/>
    <mergeCell ref="A18:I18"/>
    <mergeCell ref="A4:A6"/>
    <mergeCell ref="B4:B6"/>
    <mergeCell ref="C4:C6"/>
    <mergeCell ref="D4:F5"/>
    <mergeCell ref="G4:P4"/>
    <mergeCell ref="G5:J5"/>
    <mergeCell ref="K5:N5"/>
    <mergeCell ref="O5:O6"/>
    <mergeCell ref="P5:P6"/>
  </mergeCells>
  <pageMargins left="0.7" right="0.30637254901960786" top="0.75" bottom="0.75" header="0.3" footer="0.3"/>
  <pageSetup paperSize="9" scale="74" orientation="landscape" verticalDpi="0" r:id="rId1"/>
</worksheet>
</file>

<file path=xl/worksheets/sheet4.xml><?xml version="1.0" encoding="utf-8"?>
<worksheet xmlns="http://schemas.openxmlformats.org/spreadsheetml/2006/main" xmlns:r="http://schemas.openxmlformats.org/officeDocument/2006/relationships">
  <sheetPr>
    <tabColor rgb="FFFFFF00"/>
  </sheetPr>
  <dimension ref="A1:R50"/>
  <sheetViews>
    <sheetView zoomScale="85" zoomScaleNormal="85" workbookViewId="0">
      <pane ySplit="8" topLeftCell="A9" activePane="bottomLeft" state="frozen"/>
      <selection pane="bottomLeft" activeCell="E7" sqref="E7"/>
    </sheetView>
  </sheetViews>
  <sheetFormatPr defaultRowHeight="15"/>
  <cols>
    <col min="1" max="1" width="5.85546875" style="24" customWidth="1"/>
    <col min="2" max="2" width="36" style="24" customWidth="1"/>
    <col min="3" max="3" width="12.42578125" style="24" customWidth="1"/>
    <col min="4" max="4" width="11.28515625" style="24" bestFit="1" customWidth="1"/>
    <col min="5" max="5" width="10.7109375" style="24" customWidth="1"/>
    <col min="6" max="6" width="13.7109375" style="24" customWidth="1"/>
    <col min="7" max="7" width="11.85546875" style="24" customWidth="1"/>
    <col min="8" max="9" width="9.28515625" style="24" bestFit="1" customWidth="1"/>
    <col min="10" max="10" width="11.5703125" style="24" customWidth="1"/>
    <col min="11" max="14" width="9.28515625" style="24" bestFit="1" customWidth="1"/>
    <col min="15" max="15" width="15.5703125" style="24" customWidth="1"/>
    <col min="16" max="16" width="16.140625" style="24" customWidth="1"/>
    <col min="257" max="257" width="5.85546875" customWidth="1"/>
    <col min="258" max="258" width="36" customWidth="1"/>
    <col min="259" max="259" width="12.42578125" customWidth="1"/>
    <col min="260" max="260" width="11.28515625" bestFit="1" customWidth="1"/>
    <col min="261" max="261" width="10.7109375" customWidth="1"/>
    <col min="262" max="262" width="13.7109375" customWidth="1"/>
    <col min="263" max="263" width="11.28515625" customWidth="1"/>
    <col min="264" max="265" width="9.28515625" bestFit="1" customWidth="1"/>
    <col min="266" max="266" width="11.5703125" customWidth="1"/>
    <col min="267" max="270" width="9.28515625" bestFit="1" customWidth="1"/>
    <col min="271" max="271" width="15.5703125" customWidth="1"/>
    <col min="272" max="272" width="16.140625" customWidth="1"/>
    <col min="513" max="513" width="5.85546875" customWidth="1"/>
    <col min="514" max="514" width="36" customWidth="1"/>
    <col min="515" max="515" width="12.42578125" customWidth="1"/>
    <col min="516" max="516" width="11.28515625" bestFit="1" customWidth="1"/>
    <col min="517" max="517" width="10.7109375" customWidth="1"/>
    <col min="518" max="518" width="13.7109375" customWidth="1"/>
    <col min="519" max="519" width="11.28515625" customWidth="1"/>
    <col min="520" max="521" width="9.28515625" bestFit="1" customWidth="1"/>
    <col min="522" max="522" width="11.5703125" customWidth="1"/>
    <col min="523" max="526" width="9.28515625" bestFit="1" customWidth="1"/>
    <col min="527" max="527" width="15.5703125" customWidth="1"/>
    <col min="528" max="528" width="16.140625" customWidth="1"/>
    <col min="769" max="769" width="5.85546875" customWidth="1"/>
    <col min="770" max="770" width="36" customWidth="1"/>
    <col min="771" max="771" width="12.42578125" customWidth="1"/>
    <col min="772" max="772" width="11.28515625" bestFit="1" customWidth="1"/>
    <col min="773" max="773" width="10.7109375" customWidth="1"/>
    <col min="774" max="774" width="13.7109375" customWidth="1"/>
    <col min="775" max="775" width="11.28515625" customWidth="1"/>
    <col min="776" max="777" width="9.28515625" bestFit="1" customWidth="1"/>
    <col min="778" max="778" width="11.5703125" customWidth="1"/>
    <col min="779" max="782" width="9.28515625" bestFit="1" customWidth="1"/>
    <col min="783" max="783" width="15.5703125" customWidth="1"/>
    <col min="784" max="784" width="16.140625" customWidth="1"/>
    <col min="1025" max="1025" width="5.85546875" customWidth="1"/>
    <col min="1026" max="1026" width="36" customWidth="1"/>
    <col min="1027" max="1027" width="12.42578125" customWidth="1"/>
    <col min="1028" max="1028" width="11.28515625" bestFit="1" customWidth="1"/>
    <col min="1029" max="1029" width="10.7109375" customWidth="1"/>
    <col min="1030" max="1030" width="13.7109375" customWidth="1"/>
    <col min="1031" max="1031" width="11.28515625" customWidth="1"/>
    <col min="1032" max="1033" width="9.28515625" bestFit="1" customWidth="1"/>
    <col min="1034" max="1034" width="11.5703125" customWidth="1"/>
    <col min="1035" max="1038" width="9.28515625" bestFit="1" customWidth="1"/>
    <col min="1039" max="1039" width="15.5703125" customWidth="1"/>
    <col min="1040" max="1040" width="16.140625" customWidth="1"/>
    <col min="1281" max="1281" width="5.85546875" customWidth="1"/>
    <col min="1282" max="1282" width="36" customWidth="1"/>
    <col min="1283" max="1283" width="12.42578125" customWidth="1"/>
    <col min="1284" max="1284" width="11.28515625" bestFit="1" customWidth="1"/>
    <col min="1285" max="1285" width="10.7109375" customWidth="1"/>
    <col min="1286" max="1286" width="13.7109375" customWidth="1"/>
    <col min="1287" max="1287" width="11.28515625" customWidth="1"/>
    <col min="1288" max="1289" width="9.28515625" bestFit="1" customWidth="1"/>
    <col min="1290" max="1290" width="11.5703125" customWidth="1"/>
    <col min="1291" max="1294" width="9.28515625" bestFit="1" customWidth="1"/>
    <col min="1295" max="1295" width="15.5703125" customWidth="1"/>
    <col min="1296" max="1296" width="16.140625" customWidth="1"/>
    <col min="1537" max="1537" width="5.85546875" customWidth="1"/>
    <col min="1538" max="1538" width="36" customWidth="1"/>
    <col min="1539" max="1539" width="12.42578125" customWidth="1"/>
    <col min="1540" max="1540" width="11.28515625" bestFit="1" customWidth="1"/>
    <col min="1541" max="1541" width="10.7109375" customWidth="1"/>
    <col min="1542" max="1542" width="13.7109375" customWidth="1"/>
    <col min="1543" max="1543" width="11.28515625" customWidth="1"/>
    <col min="1544" max="1545" width="9.28515625" bestFit="1" customWidth="1"/>
    <col min="1546" max="1546" width="11.5703125" customWidth="1"/>
    <col min="1547" max="1550" width="9.28515625" bestFit="1" customWidth="1"/>
    <col min="1551" max="1551" width="15.5703125" customWidth="1"/>
    <col min="1552" max="1552" width="16.140625" customWidth="1"/>
    <col min="1793" max="1793" width="5.85546875" customWidth="1"/>
    <col min="1794" max="1794" width="36" customWidth="1"/>
    <col min="1795" max="1795" width="12.42578125" customWidth="1"/>
    <col min="1796" max="1796" width="11.28515625" bestFit="1" customWidth="1"/>
    <col min="1797" max="1797" width="10.7109375" customWidth="1"/>
    <col min="1798" max="1798" width="13.7109375" customWidth="1"/>
    <col min="1799" max="1799" width="11.28515625" customWidth="1"/>
    <col min="1800" max="1801" width="9.28515625" bestFit="1" customWidth="1"/>
    <col min="1802" max="1802" width="11.5703125" customWidth="1"/>
    <col min="1803" max="1806" width="9.28515625" bestFit="1" customWidth="1"/>
    <col min="1807" max="1807" width="15.5703125" customWidth="1"/>
    <col min="1808" max="1808" width="16.140625" customWidth="1"/>
    <col min="2049" max="2049" width="5.85546875" customWidth="1"/>
    <col min="2050" max="2050" width="36" customWidth="1"/>
    <col min="2051" max="2051" width="12.42578125" customWidth="1"/>
    <col min="2052" max="2052" width="11.28515625" bestFit="1" customWidth="1"/>
    <col min="2053" max="2053" width="10.7109375" customWidth="1"/>
    <col min="2054" max="2054" width="13.7109375" customWidth="1"/>
    <col min="2055" max="2055" width="11.28515625" customWidth="1"/>
    <col min="2056" max="2057" width="9.28515625" bestFit="1" customWidth="1"/>
    <col min="2058" max="2058" width="11.5703125" customWidth="1"/>
    <col min="2059" max="2062" width="9.28515625" bestFit="1" customWidth="1"/>
    <col min="2063" max="2063" width="15.5703125" customWidth="1"/>
    <col min="2064" max="2064" width="16.140625" customWidth="1"/>
    <col min="2305" max="2305" width="5.85546875" customWidth="1"/>
    <col min="2306" max="2306" width="36" customWidth="1"/>
    <col min="2307" max="2307" width="12.42578125" customWidth="1"/>
    <col min="2308" max="2308" width="11.28515625" bestFit="1" customWidth="1"/>
    <col min="2309" max="2309" width="10.7109375" customWidth="1"/>
    <col min="2310" max="2310" width="13.7109375" customWidth="1"/>
    <col min="2311" max="2311" width="11.28515625" customWidth="1"/>
    <col min="2312" max="2313" width="9.28515625" bestFit="1" customWidth="1"/>
    <col min="2314" max="2314" width="11.5703125" customWidth="1"/>
    <col min="2315" max="2318" width="9.28515625" bestFit="1" customWidth="1"/>
    <col min="2319" max="2319" width="15.5703125" customWidth="1"/>
    <col min="2320" max="2320" width="16.140625" customWidth="1"/>
    <col min="2561" max="2561" width="5.85546875" customWidth="1"/>
    <col min="2562" max="2562" width="36" customWidth="1"/>
    <col min="2563" max="2563" width="12.42578125" customWidth="1"/>
    <col min="2564" max="2564" width="11.28515625" bestFit="1" customWidth="1"/>
    <col min="2565" max="2565" width="10.7109375" customWidth="1"/>
    <col min="2566" max="2566" width="13.7109375" customWidth="1"/>
    <col min="2567" max="2567" width="11.28515625" customWidth="1"/>
    <col min="2568" max="2569" width="9.28515625" bestFit="1" customWidth="1"/>
    <col min="2570" max="2570" width="11.5703125" customWidth="1"/>
    <col min="2571" max="2574" width="9.28515625" bestFit="1" customWidth="1"/>
    <col min="2575" max="2575" width="15.5703125" customWidth="1"/>
    <col min="2576" max="2576" width="16.140625" customWidth="1"/>
    <col min="2817" max="2817" width="5.85546875" customWidth="1"/>
    <col min="2818" max="2818" width="36" customWidth="1"/>
    <col min="2819" max="2819" width="12.42578125" customWidth="1"/>
    <col min="2820" max="2820" width="11.28515625" bestFit="1" customWidth="1"/>
    <col min="2821" max="2821" width="10.7109375" customWidth="1"/>
    <col min="2822" max="2822" width="13.7109375" customWidth="1"/>
    <col min="2823" max="2823" width="11.28515625" customWidth="1"/>
    <col min="2824" max="2825" width="9.28515625" bestFit="1" customWidth="1"/>
    <col min="2826" max="2826" width="11.5703125" customWidth="1"/>
    <col min="2827" max="2830" width="9.28515625" bestFit="1" customWidth="1"/>
    <col min="2831" max="2831" width="15.5703125" customWidth="1"/>
    <col min="2832" max="2832" width="16.140625" customWidth="1"/>
    <col min="3073" max="3073" width="5.85546875" customWidth="1"/>
    <col min="3074" max="3074" width="36" customWidth="1"/>
    <col min="3075" max="3075" width="12.42578125" customWidth="1"/>
    <col min="3076" max="3076" width="11.28515625" bestFit="1" customWidth="1"/>
    <col min="3077" max="3077" width="10.7109375" customWidth="1"/>
    <col min="3078" max="3078" width="13.7109375" customWidth="1"/>
    <col min="3079" max="3079" width="11.28515625" customWidth="1"/>
    <col min="3080" max="3081" width="9.28515625" bestFit="1" customWidth="1"/>
    <col min="3082" max="3082" width="11.5703125" customWidth="1"/>
    <col min="3083" max="3086" width="9.28515625" bestFit="1" customWidth="1"/>
    <col min="3087" max="3087" width="15.5703125" customWidth="1"/>
    <col min="3088" max="3088" width="16.140625" customWidth="1"/>
    <col min="3329" max="3329" width="5.85546875" customWidth="1"/>
    <col min="3330" max="3330" width="36" customWidth="1"/>
    <col min="3331" max="3331" width="12.42578125" customWidth="1"/>
    <col min="3332" max="3332" width="11.28515625" bestFit="1" customWidth="1"/>
    <col min="3333" max="3333" width="10.7109375" customWidth="1"/>
    <col min="3334" max="3334" width="13.7109375" customWidth="1"/>
    <col min="3335" max="3335" width="11.28515625" customWidth="1"/>
    <col min="3336" max="3337" width="9.28515625" bestFit="1" customWidth="1"/>
    <col min="3338" max="3338" width="11.5703125" customWidth="1"/>
    <col min="3339" max="3342" width="9.28515625" bestFit="1" customWidth="1"/>
    <col min="3343" max="3343" width="15.5703125" customWidth="1"/>
    <col min="3344" max="3344" width="16.140625" customWidth="1"/>
    <col min="3585" max="3585" width="5.85546875" customWidth="1"/>
    <col min="3586" max="3586" width="36" customWidth="1"/>
    <col min="3587" max="3587" width="12.42578125" customWidth="1"/>
    <col min="3588" max="3588" width="11.28515625" bestFit="1" customWidth="1"/>
    <col min="3589" max="3589" width="10.7109375" customWidth="1"/>
    <col min="3590" max="3590" width="13.7109375" customWidth="1"/>
    <col min="3591" max="3591" width="11.28515625" customWidth="1"/>
    <col min="3592" max="3593" width="9.28515625" bestFit="1" customWidth="1"/>
    <col min="3594" max="3594" width="11.5703125" customWidth="1"/>
    <col min="3595" max="3598" width="9.28515625" bestFit="1" customWidth="1"/>
    <col min="3599" max="3599" width="15.5703125" customWidth="1"/>
    <col min="3600" max="3600" width="16.140625" customWidth="1"/>
    <col min="3841" max="3841" width="5.85546875" customWidth="1"/>
    <col min="3842" max="3842" width="36" customWidth="1"/>
    <col min="3843" max="3843" width="12.42578125" customWidth="1"/>
    <col min="3844" max="3844" width="11.28515625" bestFit="1" customWidth="1"/>
    <col min="3845" max="3845" width="10.7109375" customWidth="1"/>
    <col min="3846" max="3846" width="13.7109375" customWidth="1"/>
    <col min="3847" max="3847" width="11.28515625" customWidth="1"/>
    <col min="3848" max="3849" width="9.28515625" bestFit="1" customWidth="1"/>
    <col min="3850" max="3850" width="11.5703125" customWidth="1"/>
    <col min="3851" max="3854" width="9.28515625" bestFit="1" customWidth="1"/>
    <col min="3855" max="3855" width="15.5703125" customWidth="1"/>
    <col min="3856" max="3856" width="16.140625" customWidth="1"/>
    <col min="4097" max="4097" width="5.85546875" customWidth="1"/>
    <col min="4098" max="4098" width="36" customWidth="1"/>
    <col min="4099" max="4099" width="12.42578125" customWidth="1"/>
    <col min="4100" max="4100" width="11.28515625" bestFit="1" customWidth="1"/>
    <col min="4101" max="4101" width="10.7109375" customWidth="1"/>
    <col min="4102" max="4102" width="13.7109375" customWidth="1"/>
    <col min="4103" max="4103" width="11.28515625" customWidth="1"/>
    <col min="4104" max="4105" width="9.28515625" bestFit="1" customWidth="1"/>
    <col min="4106" max="4106" width="11.5703125" customWidth="1"/>
    <col min="4107" max="4110" width="9.28515625" bestFit="1" customWidth="1"/>
    <col min="4111" max="4111" width="15.5703125" customWidth="1"/>
    <col min="4112" max="4112" width="16.140625" customWidth="1"/>
    <col min="4353" max="4353" width="5.85546875" customWidth="1"/>
    <col min="4354" max="4354" width="36" customWidth="1"/>
    <col min="4355" max="4355" width="12.42578125" customWidth="1"/>
    <col min="4356" max="4356" width="11.28515625" bestFit="1" customWidth="1"/>
    <col min="4357" max="4357" width="10.7109375" customWidth="1"/>
    <col min="4358" max="4358" width="13.7109375" customWidth="1"/>
    <col min="4359" max="4359" width="11.28515625" customWidth="1"/>
    <col min="4360" max="4361" width="9.28515625" bestFit="1" customWidth="1"/>
    <col min="4362" max="4362" width="11.5703125" customWidth="1"/>
    <col min="4363" max="4366" width="9.28515625" bestFit="1" customWidth="1"/>
    <col min="4367" max="4367" width="15.5703125" customWidth="1"/>
    <col min="4368" max="4368" width="16.140625" customWidth="1"/>
    <col min="4609" max="4609" width="5.85546875" customWidth="1"/>
    <col min="4610" max="4610" width="36" customWidth="1"/>
    <col min="4611" max="4611" width="12.42578125" customWidth="1"/>
    <col min="4612" max="4612" width="11.28515625" bestFit="1" customWidth="1"/>
    <col min="4613" max="4613" width="10.7109375" customWidth="1"/>
    <col min="4614" max="4614" width="13.7109375" customWidth="1"/>
    <col min="4615" max="4615" width="11.28515625" customWidth="1"/>
    <col min="4616" max="4617" width="9.28515625" bestFit="1" customWidth="1"/>
    <col min="4618" max="4618" width="11.5703125" customWidth="1"/>
    <col min="4619" max="4622" width="9.28515625" bestFit="1" customWidth="1"/>
    <col min="4623" max="4623" width="15.5703125" customWidth="1"/>
    <col min="4624" max="4624" width="16.140625" customWidth="1"/>
    <col min="4865" max="4865" width="5.85546875" customWidth="1"/>
    <col min="4866" max="4866" width="36" customWidth="1"/>
    <col min="4867" max="4867" width="12.42578125" customWidth="1"/>
    <col min="4868" max="4868" width="11.28515625" bestFit="1" customWidth="1"/>
    <col min="4869" max="4869" width="10.7109375" customWidth="1"/>
    <col min="4870" max="4870" width="13.7109375" customWidth="1"/>
    <col min="4871" max="4871" width="11.28515625" customWidth="1"/>
    <col min="4872" max="4873" width="9.28515625" bestFit="1" customWidth="1"/>
    <col min="4874" max="4874" width="11.5703125" customWidth="1"/>
    <col min="4875" max="4878" width="9.28515625" bestFit="1" customWidth="1"/>
    <col min="4879" max="4879" width="15.5703125" customWidth="1"/>
    <col min="4880" max="4880" width="16.140625" customWidth="1"/>
    <col min="5121" max="5121" width="5.85546875" customWidth="1"/>
    <col min="5122" max="5122" width="36" customWidth="1"/>
    <col min="5123" max="5123" width="12.42578125" customWidth="1"/>
    <col min="5124" max="5124" width="11.28515625" bestFit="1" customWidth="1"/>
    <col min="5125" max="5125" width="10.7109375" customWidth="1"/>
    <col min="5126" max="5126" width="13.7109375" customWidth="1"/>
    <col min="5127" max="5127" width="11.28515625" customWidth="1"/>
    <col min="5128" max="5129" width="9.28515625" bestFit="1" customWidth="1"/>
    <col min="5130" max="5130" width="11.5703125" customWidth="1"/>
    <col min="5131" max="5134" width="9.28515625" bestFit="1" customWidth="1"/>
    <col min="5135" max="5135" width="15.5703125" customWidth="1"/>
    <col min="5136" max="5136" width="16.140625" customWidth="1"/>
    <col min="5377" max="5377" width="5.85546875" customWidth="1"/>
    <col min="5378" max="5378" width="36" customWidth="1"/>
    <col min="5379" max="5379" width="12.42578125" customWidth="1"/>
    <col min="5380" max="5380" width="11.28515625" bestFit="1" customWidth="1"/>
    <col min="5381" max="5381" width="10.7109375" customWidth="1"/>
    <col min="5382" max="5382" width="13.7109375" customWidth="1"/>
    <col min="5383" max="5383" width="11.28515625" customWidth="1"/>
    <col min="5384" max="5385" width="9.28515625" bestFit="1" customWidth="1"/>
    <col min="5386" max="5386" width="11.5703125" customWidth="1"/>
    <col min="5387" max="5390" width="9.28515625" bestFit="1" customWidth="1"/>
    <col min="5391" max="5391" width="15.5703125" customWidth="1"/>
    <col min="5392" max="5392" width="16.140625" customWidth="1"/>
    <col min="5633" max="5633" width="5.85546875" customWidth="1"/>
    <col min="5634" max="5634" width="36" customWidth="1"/>
    <col min="5635" max="5635" width="12.42578125" customWidth="1"/>
    <col min="5636" max="5636" width="11.28515625" bestFit="1" customWidth="1"/>
    <col min="5637" max="5637" width="10.7109375" customWidth="1"/>
    <col min="5638" max="5638" width="13.7109375" customWidth="1"/>
    <col min="5639" max="5639" width="11.28515625" customWidth="1"/>
    <col min="5640" max="5641" width="9.28515625" bestFit="1" customWidth="1"/>
    <col min="5642" max="5642" width="11.5703125" customWidth="1"/>
    <col min="5643" max="5646" width="9.28515625" bestFit="1" customWidth="1"/>
    <col min="5647" max="5647" width="15.5703125" customWidth="1"/>
    <col min="5648" max="5648" width="16.140625" customWidth="1"/>
    <col min="5889" max="5889" width="5.85546875" customWidth="1"/>
    <col min="5890" max="5890" width="36" customWidth="1"/>
    <col min="5891" max="5891" width="12.42578125" customWidth="1"/>
    <col min="5892" max="5892" width="11.28515625" bestFit="1" customWidth="1"/>
    <col min="5893" max="5893" width="10.7109375" customWidth="1"/>
    <col min="5894" max="5894" width="13.7109375" customWidth="1"/>
    <col min="5895" max="5895" width="11.28515625" customWidth="1"/>
    <col min="5896" max="5897" width="9.28515625" bestFit="1" customWidth="1"/>
    <col min="5898" max="5898" width="11.5703125" customWidth="1"/>
    <col min="5899" max="5902" width="9.28515625" bestFit="1" customWidth="1"/>
    <col min="5903" max="5903" width="15.5703125" customWidth="1"/>
    <col min="5904" max="5904" width="16.140625" customWidth="1"/>
    <col min="6145" max="6145" width="5.85546875" customWidth="1"/>
    <col min="6146" max="6146" width="36" customWidth="1"/>
    <col min="6147" max="6147" width="12.42578125" customWidth="1"/>
    <col min="6148" max="6148" width="11.28515625" bestFit="1" customWidth="1"/>
    <col min="6149" max="6149" width="10.7109375" customWidth="1"/>
    <col min="6150" max="6150" width="13.7109375" customWidth="1"/>
    <col min="6151" max="6151" width="11.28515625" customWidth="1"/>
    <col min="6152" max="6153" width="9.28515625" bestFit="1" customWidth="1"/>
    <col min="6154" max="6154" width="11.5703125" customWidth="1"/>
    <col min="6155" max="6158" width="9.28515625" bestFit="1" customWidth="1"/>
    <col min="6159" max="6159" width="15.5703125" customWidth="1"/>
    <col min="6160" max="6160" width="16.140625" customWidth="1"/>
    <col min="6401" max="6401" width="5.85546875" customWidth="1"/>
    <col min="6402" max="6402" width="36" customWidth="1"/>
    <col min="6403" max="6403" width="12.42578125" customWidth="1"/>
    <col min="6404" max="6404" width="11.28515625" bestFit="1" customWidth="1"/>
    <col min="6405" max="6405" width="10.7109375" customWidth="1"/>
    <col min="6406" max="6406" width="13.7109375" customWidth="1"/>
    <col min="6407" max="6407" width="11.28515625" customWidth="1"/>
    <col min="6408" max="6409" width="9.28515625" bestFit="1" customWidth="1"/>
    <col min="6410" max="6410" width="11.5703125" customWidth="1"/>
    <col min="6411" max="6414" width="9.28515625" bestFit="1" customWidth="1"/>
    <col min="6415" max="6415" width="15.5703125" customWidth="1"/>
    <col min="6416" max="6416" width="16.140625" customWidth="1"/>
    <col min="6657" max="6657" width="5.85546875" customWidth="1"/>
    <col min="6658" max="6658" width="36" customWidth="1"/>
    <col min="6659" max="6659" width="12.42578125" customWidth="1"/>
    <col min="6660" max="6660" width="11.28515625" bestFit="1" customWidth="1"/>
    <col min="6661" max="6661" width="10.7109375" customWidth="1"/>
    <col min="6662" max="6662" width="13.7109375" customWidth="1"/>
    <col min="6663" max="6663" width="11.28515625" customWidth="1"/>
    <col min="6664" max="6665" width="9.28515625" bestFit="1" customWidth="1"/>
    <col min="6666" max="6666" width="11.5703125" customWidth="1"/>
    <col min="6667" max="6670" width="9.28515625" bestFit="1" customWidth="1"/>
    <col min="6671" max="6671" width="15.5703125" customWidth="1"/>
    <col min="6672" max="6672" width="16.140625" customWidth="1"/>
    <col min="6913" max="6913" width="5.85546875" customWidth="1"/>
    <col min="6914" max="6914" width="36" customWidth="1"/>
    <col min="6915" max="6915" width="12.42578125" customWidth="1"/>
    <col min="6916" max="6916" width="11.28515625" bestFit="1" customWidth="1"/>
    <col min="6917" max="6917" width="10.7109375" customWidth="1"/>
    <col min="6918" max="6918" width="13.7109375" customWidth="1"/>
    <col min="6919" max="6919" width="11.28515625" customWidth="1"/>
    <col min="6920" max="6921" width="9.28515625" bestFit="1" customWidth="1"/>
    <col min="6922" max="6922" width="11.5703125" customWidth="1"/>
    <col min="6923" max="6926" width="9.28515625" bestFit="1" customWidth="1"/>
    <col min="6927" max="6927" width="15.5703125" customWidth="1"/>
    <col min="6928" max="6928" width="16.140625" customWidth="1"/>
    <col min="7169" max="7169" width="5.85546875" customWidth="1"/>
    <col min="7170" max="7170" width="36" customWidth="1"/>
    <col min="7171" max="7171" width="12.42578125" customWidth="1"/>
    <col min="7172" max="7172" width="11.28515625" bestFit="1" customWidth="1"/>
    <col min="7173" max="7173" width="10.7109375" customWidth="1"/>
    <col min="7174" max="7174" width="13.7109375" customWidth="1"/>
    <col min="7175" max="7175" width="11.28515625" customWidth="1"/>
    <col min="7176" max="7177" width="9.28515625" bestFit="1" customWidth="1"/>
    <col min="7178" max="7178" width="11.5703125" customWidth="1"/>
    <col min="7179" max="7182" width="9.28515625" bestFit="1" customWidth="1"/>
    <col min="7183" max="7183" width="15.5703125" customWidth="1"/>
    <col min="7184" max="7184" width="16.140625" customWidth="1"/>
    <col min="7425" max="7425" width="5.85546875" customWidth="1"/>
    <col min="7426" max="7426" width="36" customWidth="1"/>
    <col min="7427" max="7427" width="12.42578125" customWidth="1"/>
    <col min="7428" max="7428" width="11.28515625" bestFit="1" customWidth="1"/>
    <col min="7429" max="7429" width="10.7109375" customWidth="1"/>
    <col min="7430" max="7430" width="13.7109375" customWidth="1"/>
    <col min="7431" max="7431" width="11.28515625" customWidth="1"/>
    <col min="7432" max="7433" width="9.28515625" bestFit="1" customWidth="1"/>
    <col min="7434" max="7434" width="11.5703125" customWidth="1"/>
    <col min="7435" max="7438" width="9.28515625" bestFit="1" customWidth="1"/>
    <col min="7439" max="7439" width="15.5703125" customWidth="1"/>
    <col min="7440" max="7440" width="16.140625" customWidth="1"/>
    <col min="7681" max="7681" width="5.85546875" customWidth="1"/>
    <col min="7682" max="7682" width="36" customWidth="1"/>
    <col min="7683" max="7683" width="12.42578125" customWidth="1"/>
    <col min="7684" max="7684" width="11.28515625" bestFit="1" customWidth="1"/>
    <col min="7685" max="7685" width="10.7109375" customWidth="1"/>
    <col min="7686" max="7686" width="13.7109375" customWidth="1"/>
    <col min="7687" max="7687" width="11.28515625" customWidth="1"/>
    <col min="7688" max="7689" width="9.28515625" bestFit="1" customWidth="1"/>
    <col min="7690" max="7690" width="11.5703125" customWidth="1"/>
    <col min="7691" max="7694" width="9.28515625" bestFit="1" customWidth="1"/>
    <col min="7695" max="7695" width="15.5703125" customWidth="1"/>
    <col min="7696" max="7696" width="16.140625" customWidth="1"/>
    <col min="7937" max="7937" width="5.85546875" customWidth="1"/>
    <col min="7938" max="7938" width="36" customWidth="1"/>
    <col min="7939" max="7939" width="12.42578125" customWidth="1"/>
    <col min="7940" max="7940" width="11.28515625" bestFit="1" customWidth="1"/>
    <col min="7941" max="7941" width="10.7109375" customWidth="1"/>
    <col min="7942" max="7942" width="13.7109375" customWidth="1"/>
    <col min="7943" max="7943" width="11.28515625" customWidth="1"/>
    <col min="7944" max="7945" width="9.28515625" bestFit="1" customWidth="1"/>
    <col min="7946" max="7946" width="11.5703125" customWidth="1"/>
    <col min="7947" max="7950" width="9.28515625" bestFit="1" customWidth="1"/>
    <col min="7951" max="7951" width="15.5703125" customWidth="1"/>
    <col min="7952" max="7952" width="16.140625" customWidth="1"/>
    <col min="8193" max="8193" width="5.85546875" customWidth="1"/>
    <col min="8194" max="8194" width="36" customWidth="1"/>
    <col min="8195" max="8195" width="12.42578125" customWidth="1"/>
    <col min="8196" max="8196" width="11.28515625" bestFit="1" customWidth="1"/>
    <col min="8197" max="8197" width="10.7109375" customWidth="1"/>
    <col min="8198" max="8198" width="13.7109375" customWidth="1"/>
    <col min="8199" max="8199" width="11.28515625" customWidth="1"/>
    <col min="8200" max="8201" width="9.28515625" bestFit="1" customWidth="1"/>
    <col min="8202" max="8202" width="11.5703125" customWidth="1"/>
    <col min="8203" max="8206" width="9.28515625" bestFit="1" customWidth="1"/>
    <col min="8207" max="8207" width="15.5703125" customWidth="1"/>
    <col min="8208" max="8208" width="16.140625" customWidth="1"/>
    <col min="8449" max="8449" width="5.85546875" customWidth="1"/>
    <col min="8450" max="8450" width="36" customWidth="1"/>
    <col min="8451" max="8451" width="12.42578125" customWidth="1"/>
    <col min="8452" max="8452" width="11.28515625" bestFit="1" customWidth="1"/>
    <col min="8453" max="8453" width="10.7109375" customWidth="1"/>
    <col min="8454" max="8454" width="13.7109375" customWidth="1"/>
    <col min="8455" max="8455" width="11.28515625" customWidth="1"/>
    <col min="8456" max="8457" width="9.28515625" bestFit="1" customWidth="1"/>
    <col min="8458" max="8458" width="11.5703125" customWidth="1"/>
    <col min="8459" max="8462" width="9.28515625" bestFit="1" customWidth="1"/>
    <col min="8463" max="8463" width="15.5703125" customWidth="1"/>
    <col min="8464" max="8464" width="16.140625" customWidth="1"/>
    <col min="8705" max="8705" width="5.85546875" customWidth="1"/>
    <col min="8706" max="8706" width="36" customWidth="1"/>
    <col min="8707" max="8707" width="12.42578125" customWidth="1"/>
    <col min="8708" max="8708" width="11.28515625" bestFit="1" customWidth="1"/>
    <col min="8709" max="8709" width="10.7109375" customWidth="1"/>
    <col min="8710" max="8710" width="13.7109375" customWidth="1"/>
    <col min="8711" max="8711" width="11.28515625" customWidth="1"/>
    <col min="8712" max="8713" width="9.28515625" bestFit="1" customWidth="1"/>
    <col min="8714" max="8714" width="11.5703125" customWidth="1"/>
    <col min="8715" max="8718" width="9.28515625" bestFit="1" customWidth="1"/>
    <col min="8719" max="8719" width="15.5703125" customWidth="1"/>
    <col min="8720" max="8720" width="16.140625" customWidth="1"/>
    <col min="8961" max="8961" width="5.85546875" customWidth="1"/>
    <col min="8962" max="8962" width="36" customWidth="1"/>
    <col min="8963" max="8963" width="12.42578125" customWidth="1"/>
    <col min="8964" max="8964" width="11.28515625" bestFit="1" customWidth="1"/>
    <col min="8965" max="8965" width="10.7109375" customWidth="1"/>
    <col min="8966" max="8966" width="13.7109375" customWidth="1"/>
    <col min="8967" max="8967" width="11.28515625" customWidth="1"/>
    <col min="8968" max="8969" width="9.28515625" bestFit="1" customWidth="1"/>
    <col min="8970" max="8970" width="11.5703125" customWidth="1"/>
    <col min="8971" max="8974" width="9.28515625" bestFit="1" customWidth="1"/>
    <col min="8975" max="8975" width="15.5703125" customWidth="1"/>
    <col min="8976" max="8976" width="16.140625" customWidth="1"/>
    <col min="9217" max="9217" width="5.85546875" customWidth="1"/>
    <col min="9218" max="9218" width="36" customWidth="1"/>
    <col min="9219" max="9219" width="12.42578125" customWidth="1"/>
    <col min="9220" max="9220" width="11.28515625" bestFit="1" customWidth="1"/>
    <col min="9221" max="9221" width="10.7109375" customWidth="1"/>
    <col min="9222" max="9222" width="13.7109375" customWidth="1"/>
    <col min="9223" max="9223" width="11.28515625" customWidth="1"/>
    <col min="9224" max="9225" width="9.28515625" bestFit="1" customWidth="1"/>
    <col min="9226" max="9226" width="11.5703125" customWidth="1"/>
    <col min="9227" max="9230" width="9.28515625" bestFit="1" customWidth="1"/>
    <col min="9231" max="9231" width="15.5703125" customWidth="1"/>
    <col min="9232" max="9232" width="16.140625" customWidth="1"/>
    <col min="9473" max="9473" width="5.85546875" customWidth="1"/>
    <col min="9474" max="9474" width="36" customWidth="1"/>
    <col min="9475" max="9475" width="12.42578125" customWidth="1"/>
    <col min="9476" max="9476" width="11.28515625" bestFit="1" customWidth="1"/>
    <col min="9477" max="9477" width="10.7109375" customWidth="1"/>
    <col min="9478" max="9478" width="13.7109375" customWidth="1"/>
    <col min="9479" max="9479" width="11.28515625" customWidth="1"/>
    <col min="9480" max="9481" width="9.28515625" bestFit="1" customWidth="1"/>
    <col min="9482" max="9482" width="11.5703125" customWidth="1"/>
    <col min="9483" max="9486" width="9.28515625" bestFit="1" customWidth="1"/>
    <col min="9487" max="9487" width="15.5703125" customWidth="1"/>
    <col min="9488" max="9488" width="16.140625" customWidth="1"/>
    <col min="9729" max="9729" width="5.85546875" customWidth="1"/>
    <col min="9730" max="9730" width="36" customWidth="1"/>
    <col min="9731" max="9731" width="12.42578125" customWidth="1"/>
    <col min="9732" max="9732" width="11.28515625" bestFit="1" customWidth="1"/>
    <col min="9733" max="9733" width="10.7109375" customWidth="1"/>
    <col min="9734" max="9734" width="13.7109375" customWidth="1"/>
    <col min="9735" max="9735" width="11.28515625" customWidth="1"/>
    <col min="9736" max="9737" width="9.28515625" bestFit="1" customWidth="1"/>
    <col min="9738" max="9738" width="11.5703125" customWidth="1"/>
    <col min="9739" max="9742" width="9.28515625" bestFit="1" customWidth="1"/>
    <col min="9743" max="9743" width="15.5703125" customWidth="1"/>
    <col min="9744" max="9744" width="16.140625" customWidth="1"/>
    <col min="9985" max="9985" width="5.85546875" customWidth="1"/>
    <col min="9986" max="9986" width="36" customWidth="1"/>
    <col min="9987" max="9987" width="12.42578125" customWidth="1"/>
    <col min="9988" max="9988" width="11.28515625" bestFit="1" customWidth="1"/>
    <col min="9989" max="9989" width="10.7109375" customWidth="1"/>
    <col min="9990" max="9990" width="13.7109375" customWidth="1"/>
    <col min="9991" max="9991" width="11.28515625" customWidth="1"/>
    <col min="9992" max="9993" width="9.28515625" bestFit="1" customWidth="1"/>
    <col min="9994" max="9994" width="11.5703125" customWidth="1"/>
    <col min="9995" max="9998" width="9.28515625" bestFit="1" customWidth="1"/>
    <col min="9999" max="9999" width="15.5703125" customWidth="1"/>
    <col min="10000" max="10000" width="16.140625" customWidth="1"/>
    <col min="10241" max="10241" width="5.85546875" customWidth="1"/>
    <col min="10242" max="10242" width="36" customWidth="1"/>
    <col min="10243" max="10243" width="12.42578125" customWidth="1"/>
    <col min="10244" max="10244" width="11.28515625" bestFit="1" customWidth="1"/>
    <col min="10245" max="10245" width="10.7109375" customWidth="1"/>
    <col min="10246" max="10246" width="13.7109375" customWidth="1"/>
    <col min="10247" max="10247" width="11.28515625" customWidth="1"/>
    <col min="10248" max="10249" width="9.28515625" bestFit="1" customWidth="1"/>
    <col min="10250" max="10250" width="11.5703125" customWidth="1"/>
    <col min="10251" max="10254" width="9.28515625" bestFit="1" customWidth="1"/>
    <col min="10255" max="10255" width="15.5703125" customWidth="1"/>
    <col min="10256" max="10256" width="16.140625" customWidth="1"/>
    <col min="10497" max="10497" width="5.85546875" customWidth="1"/>
    <col min="10498" max="10498" width="36" customWidth="1"/>
    <col min="10499" max="10499" width="12.42578125" customWidth="1"/>
    <col min="10500" max="10500" width="11.28515625" bestFit="1" customWidth="1"/>
    <col min="10501" max="10501" width="10.7109375" customWidth="1"/>
    <col min="10502" max="10502" width="13.7109375" customWidth="1"/>
    <col min="10503" max="10503" width="11.28515625" customWidth="1"/>
    <col min="10504" max="10505" width="9.28515625" bestFit="1" customWidth="1"/>
    <col min="10506" max="10506" width="11.5703125" customWidth="1"/>
    <col min="10507" max="10510" width="9.28515625" bestFit="1" customWidth="1"/>
    <col min="10511" max="10511" width="15.5703125" customWidth="1"/>
    <col min="10512" max="10512" width="16.140625" customWidth="1"/>
    <col min="10753" max="10753" width="5.85546875" customWidth="1"/>
    <col min="10754" max="10754" width="36" customWidth="1"/>
    <col min="10755" max="10755" width="12.42578125" customWidth="1"/>
    <col min="10756" max="10756" width="11.28515625" bestFit="1" customWidth="1"/>
    <col min="10757" max="10757" width="10.7109375" customWidth="1"/>
    <col min="10758" max="10758" width="13.7109375" customWidth="1"/>
    <col min="10759" max="10759" width="11.28515625" customWidth="1"/>
    <col min="10760" max="10761" width="9.28515625" bestFit="1" customWidth="1"/>
    <col min="10762" max="10762" width="11.5703125" customWidth="1"/>
    <col min="10763" max="10766" width="9.28515625" bestFit="1" customWidth="1"/>
    <col min="10767" max="10767" width="15.5703125" customWidth="1"/>
    <col min="10768" max="10768" width="16.140625" customWidth="1"/>
    <col min="11009" max="11009" width="5.85546875" customWidth="1"/>
    <col min="11010" max="11010" width="36" customWidth="1"/>
    <col min="11011" max="11011" width="12.42578125" customWidth="1"/>
    <col min="11012" max="11012" width="11.28515625" bestFit="1" customWidth="1"/>
    <col min="11013" max="11013" width="10.7109375" customWidth="1"/>
    <col min="11014" max="11014" width="13.7109375" customWidth="1"/>
    <col min="11015" max="11015" width="11.28515625" customWidth="1"/>
    <col min="11016" max="11017" width="9.28515625" bestFit="1" customWidth="1"/>
    <col min="11018" max="11018" width="11.5703125" customWidth="1"/>
    <col min="11019" max="11022" width="9.28515625" bestFit="1" customWidth="1"/>
    <col min="11023" max="11023" width="15.5703125" customWidth="1"/>
    <col min="11024" max="11024" width="16.140625" customWidth="1"/>
    <col min="11265" max="11265" width="5.85546875" customWidth="1"/>
    <col min="11266" max="11266" width="36" customWidth="1"/>
    <col min="11267" max="11267" width="12.42578125" customWidth="1"/>
    <col min="11268" max="11268" width="11.28515625" bestFit="1" customWidth="1"/>
    <col min="11269" max="11269" width="10.7109375" customWidth="1"/>
    <col min="11270" max="11270" width="13.7109375" customWidth="1"/>
    <col min="11271" max="11271" width="11.28515625" customWidth="1"/>
    <col min="11272" max="11273" width="9.28515625" bestFit="1" customWidth="1"/>
    <col min="11274" max="11274" width="11.5703125" customWidth="1"/>
    <col min="11275" max="11278" width="9.28515625" bestFit="1" customWidth="1"/>
    <col min="11279" max="11279" width="15.5703125" customWidth="1"/>
    <col min="11280" max="11280" width="16.140625" customWidth="1"/>
    <col min="11521" max="11521" width="5.85546875" customWidth="1"/>
    <col min="11522" max="11522" width="36" customWidth="1"/>
    <col min="11523" max="11523" width="12.42578125" customWidth="1"/>
    <col min="11524" max="11524" width="11.28515625" bestFit="1" customWidth="1"/>
    <col min="11525" max="11525" width="10.7109375" customWidth="1"/>
    <col min="11526" max="11526" width="13.7109375" customWidth="1"/>
    <col min="11527" max="11527" width="11.28515625" customWidth="1"/>
    <col min="11528" max="11529" width="9.28515625" bestFit="1" customWidth="1"/>
    <col min="11530" max="11530" width="11.5703125" customWidth="1"/>
    <col min="11531" max="11534" width="9.28515625" bestFit="1" customWidth="1"/>
    <col min="11535" max="11535" width="15.5703125" customWidth="1"/>
    <col min="11536" max="11536" width="16.140625" customWidth="1"/>
    <col min="11777" max="11777" width="5.85546875" customWidth="1"/>
    <col min="11778" max="11778" width="36" customWidth="1"/>
    <col min="11779" max="11779" width="12.42578125" customWidth="1"/>
    <col min="11780" max="11780" width="11.28515625" bestFit="1" customWidth="1"/>
    <col min="11781" max="11781" width="10.7109375" customWidth="1"/>
    <col min="11782" max="11782" width="13.7109375" customWidth="1"/>
    <col min="11783" max="11783" width="11.28515625" customWidth="1"/>
    <col min="11784" max="11785" width="9.28515625" bestFit="1" customWidth="1"/>
    <col min="11786" max="11786" width="11.5703125" customWidth="1"/>
    <col min="11787" max="11790" width="9.28515625" bestFit="1" customWidth="1"/>
    <col min="11791" max="11791" width="15.5703125" customWidth="1"/>
    <col min="11792" max="11792" width="16.140625" customWidth="1"/>
    <col min="12033" max="12033" width="5.85546875" customWidth="1"/>
    <col min="12034" max="12034" width="36" customWidth="1"/>
    <col min="12035" max="12035" width="12.42578125" customWidth="1"/>
    <col min="12036" max="12036" width="11.28515625" bestFit="1" customWidth="1"/>
    <col min="12037" max="12037" width="10.7109375" customWidth="1"/>
    <col min="12038" max="12038" width="13.7109375" customWidth="1"/>
    <col min="12039" max="12039" width="11.28515625" customWidth="1"/>
    <col min="12040" max="12041" width="9.28515625" bestFit="1" customWidth="1"/>
    <col min="12042" max="12042" width="11.5703125" customWidth="1"/>
    <col min="12043" max="12046" width="9.28515625" bestFit="1" customWidth="1"/>
    <col min="12047" max="12047" width="15.5703125" customWidth="1"/>
    <col min="12048" max="12048" width="16.140625" customWidth="1"/>
    <col min="12289" max="12289" width="5.85546875" customWidth="1"/>
    <col min="12290" max="12290" width="36" customWidth="1"/>
    <col min="12291" max="12291" width="12.42578125" customWidth="1"/>
    <col min="12292" max="12292" width="11.28515625" bestFit="1" customWidth="1"/>
    <col min="12293" max="12293" width="10.7109375" customWidth="1"/>
    <col min="12294" max="12294" width="13.7109375" customWidth="1"/>
    <col min="12295" max="12295" width="11.28515625" customWidth="1"/>
    <col min="12296" max="12297" width="9.28515625" bestFit="1" customWidth="1"/>
    <col min="12298" max="12298" width="11.5703125" customWidth="1"/>
    <col min="12299" max="12302" width="9.28515625" bestFit="1" customWidth="1"/>
    <col min="12303" max="12303" width="15.5703125" customWidth="1"/>
    <col min="12304" max="12304" width="16.140625" customWidth="1"/>
    <col min="12545" max="12545" width="5.85546875" customWidth="1"/>
    <col min="12546" max="12546" width="36" customWidth="1"/>
    <col min="12547" max="12547" width="12.42578125" customWidth="1"/>
    <col min="12548" max="12548" width="11.28515625" bestFit="1" customWidth="1"/>
    <col min="12549" max="12549" width="10.7109375" customWidth="1"/>
    <col min="12550" max="12550" width="13.7109375" customWidth="1"/>
    <col min="12551" max="12551" width="11.28515625" customWidth="1"/>
    <col min="12552" max="12553" width="9.28515625" bestFit="1" customWidth="1"/>
    <col min="12554" max="12554" width="11.5703125" customWidth="1"/>
    <col min="12555" max="12558" width="9.28515625" bestFit="1" customWidth="1"/>
    <col min="12559" max="12559" width="15.5703125" customWidth="1"/>
    <col min="12560" max="12560" width="16.140625" customWidth="1"/>
    <col min="12801" max="12801" width="5.85546875" customWidth="1"/>
    <col min="12802" max="12802" width="36" customWidth="1"/>
    <col min="12803" max="12803" width="12.42578125" customWidth="1"/>
    <col min="12804" max="12804" width="11.28515625" bestFit="1" customWidth="1"/>
    <col min="12805" max="12805" width="10.7109375" customWidth="1"/>
    <col min="12806" max="12806" width="13.7109375" customWidth="1"/>
    <col min="12807" max="12807" width="11.28515625" customWidth="1"/>
    <col min="12808" max="12809" width="9.28515625" bestFit="1" customWidth="1"/>
    <col min="12810" max="12810" width="11.5703125" customWidth="1"/>
    <col min="12811" max="12814" width="9.28515625" bestFit="1" customWidth="1"/>
    <col min="12815" max="12815" width="15.5703125" customWidth="1"/>
    <col min="12816" max="12816" width="16.140625" customWidth="1"/>
    <col min="13057" max="13057" width="5.85546875" customWidth="1"/>
    <col min="13058" max="13058" width="36" customWidth="1"/>
    <col min="13059" max="13059" width="12.42578125" customWidth="1"/>
    <col min="13060" max="13060" width="11.28515625" bestFit="1" customWidth="1"/>
    <col min="13061" max="13061" width="10.7109375" customWidth="1"/>
    <col min="13062" max="13062" width="13.7109375" customWidth="1"/>
    <col min="13063" max="13063" width="11.28515625" customWidth="1"/>
    <col min="13064" max="13065" width="9.28515625" bestFit="1" customWidth="1"/>
    <col min="13066" max="13066" width="11.5703125" customWidth="1"/>
    <col min="13067" max="13070" width="9.28515625" bestFit="1" customWidth="1"/>
    <col min="13071" max="13071" width="15.5703125" customWidth="1"/>
    <col min="13072" max="13072" width="16.140625" customWidth="1"/>
    <col min="13313" max="13313" width="5.85546875" customWidth="1"/>
    <col min="13314" max="13314" width="36" customWidth="1"/>
    <col min="13315" max="13315" width="12.42578125" customWidth="1"/>
    <col min="13316" max="13316" width="11.28515625" bestFit="1" customWidth="1"/>
    <col min="13317" max="13317" width="10.7109375" customWidth="1"/>
    <col min="13318" max="13318" width="13.7109375" customWidth="1"/>
    <col min="13319" max="13319" width="11.28515625" customWidth="1"/>
    <col min="13320" max="13321" width="9.28515625" bestFit="1" customWidth="1"/>
    <col min="13322" max="13322" width="11.5703125" customWidth="1"/>
    <col min="13323" max="13326" width="9.28515625" bestFit="1" customWidth="1"/>
    <col min="13327" max="13327" width="15.5703125" customWidth="1"/>
    <col min="13328" max="13328" width="16.140625" customWidth="1"/>
    <col min="13569" max="13569" width="5.85546875" customWidth="1"/>
    <col min="13570" max="13570" width="36" customWidth="1"/>
    <col min="13571" max="13571" width="12.42578125" customWidth="1"/>
    <col min="13572" max="13572" width="11.28515625" bestFit="1" customWidth="1"/>
    <col min="13573" max="13573" width="10.7109375" customWidth="1"/>
    <col min="13574" max="13574" width="13.7109375" customWidth="1"/>
    <col min="13575" max="13575" width="11.28515625" customWidth="1"/>
    <col min="13576" max="13577" width="9.28515625" bestFit="1" customWidth="1"/>
    <col min="13578" max="13578" width="11.5703125" customWidth="1"/>
    <col min="13579" max="13582" width="9.28515625" bestFit="1" customWidth="1"/>
    <col min="13583" max="13583" width="15.5703125" customWidth="1"/>
    <col min="13584" max="13584" width="16.140625" customWidth="1"/>
    <col min="13825" max="13825" width="5.85546875" customWidth="1"/>
    <col min="13826" max="13826" width="36" customWidth="1"/>
    <col min="13827" max="13827" width="12.42578125" customWidth="1"/>
    <col min="13828" max="13828" width="11.28515625" bestFit="1" customWidth="1"/>
    <col min="13829" max="13829" width="10.7109375" customWidth="1"/>
    <col min="13830" max="13830" width="13.7109375" customWidth="1"/>
    <col min="13831" max="13831" width="11.28515625" customWidth="1"/>
    <col min="13832" max="13833" width="9.28515625" bestFit="1" customWidth="1"/>
    <col min="13834" max="13834" width="11.5703125" customWidth="1"/>
    <col min="13835" max="13838" width="9.28515625" bestFit="1" customWidth="1"/>
    <col min="13839" max="13839" width="15.5703125" customWidth="1"/>
    <col min="13840" max="13840" width="16.140625" customWidth="1"/>
    <col min="14081" max="14081" width="5.85546875" customWidth="1"/>
    <col min="14082" max="14082" width="36" customWidth="1"/>
    <col min="14083" max="14083" width="12.42578125" customWidth="1"/>
    <col min="14084" max="14084" width="11.28515625" bestFit="1" customWidth="1"/>
    <col min="14085" max="14085" width="10.7109375" customWidth="1"/>
    <col min="14086" max="14086" width="13.7109375" customWidth="1"/>
    <col min="14087" max="14087" width="11.28515625" customWidth="1"/>
    <col min="14088" max="14089" width="9.28515625" bestFit="1" customWidth="1"/>
    <col min="14090" max="14090" width="11.5703125" customWidth="1"/>
    <col min="14091" max="14094" width="9.28515625" bestFit="1" customWidth="1"/>
    <col min="14095" max="14095" width="15.5703125" customWidth="1"/>
    <col min="14096" max="14096" width="16.140625" customWidth="1"/>
    <col min="14337" max="14337" width="5.85546875" customWidth="1"/>
    <col min="14338" max="14338" width="36" customWidth="1"/>
    <col min="14339" max="14339" width="12.42578125" customWidth="1"/>
    <col min="14340" max="14340" width="11.28515625" bestFit="1" customWidth="1"/>
    <col min="14341" max="14341" width="10.7109375" customWidth="1"/>
    <col min="14342" max="14342" width="13.7109375" customWidth="1"/>
    <col min="14343" max="14343" width="11.28515625" customWidth="1"/>
    <col min="14344" max="14345" width="9.28515625" bestFit="1" customWidth="1"/>
    <col min="14346" max="14346" width="11.5703125" customWidth="1"/>
    <col min="14347" max="14350" width="9.28515625" bestFit="1" customWidth="1"/>
    <col min="14351" max="14351" width="15.5703125" customWidth="1"/>
    <col min="14352" max="14352" width="16.140625" customWidth="1"/>
    <col min="14593" max="14593" width="5.85546875" customWidth="1"/>
    <col min="14594" max="14594" width="36" customWidth="1"/>
    <col min="14595" max="14595" width="12.42578125" customWidth="1"/>
    <col min="14596" max="14596" width="11.28515625" bestFit="1" customWidth="1"/>
    <col min="14597" max="14597" width="10.7109375" customWidth="1"/>
    <col min="14598" max="14598" width="13.7109375" customWidth="1"/>
    <col min="14599" max="14599" width="11.28515625" customWidth="1"/>
    <col min="14600" max="14601" width="9.28515625" bestFit="1" customWidth="1"/>
    <col min="14602" max="14602" width="11.5703125" customWidth="1"/>
    <col min="14603" max="14606" width="9.28515625" bestFit="1" customWidth="1"/>
    <col min="14607" max="14607" width="15.5703125" customWidth="1"/>
    <col min="14608" max="14608" width="16.140625" customWidth="1"/>
    <col min="14849" max="14849" width="5.85546875" customWidth="1"/>
    <col min="14850" max="14850" width="36" customWidth="1"/>
    <col min="14851" max="14851" width="12.42578125" customWidth="1"/>
    <col min="14852" max="14852" width="11.28515625" bestFit="1" customWidth="1"/>
    <col min="14853" max="14853" width="10.7109375" customWidth="1"/>
    <col min="14854" max="14854" width="13.7109375" customWidth="1"/>
    <col min="14855" max="14855" width="11.28515625" customWidth="1"/>
    <col min="14856" max="14857" width="9.28515625" bestFit="1" customWidth="1"/>
    <col min="14858" max="14858" width="11.5703125" customWidth="1"/>
    <col min="14859" max="14862" width="9.28515625" bestFit="1" customWidth="1"/>
    <col min="14863" max="14863" width="15.5703125" customWidth="1"/>
    <col min="14864" max="14864" width="16.140625" customWidth="1"/>
    <col min="15105" max="15105" width="5.85546875" customWidth="1"/>
    <col min="15106" max="15106" width="36" customWidth="1"/>
    <col min="15107" max="15107" width="12.42578125" customWidth="1"/>
    <col min="15108" max="15108" width="11.28515625" bestFit="1" customWidth="1"/>
    <col min="15109" max="15109" width="10.7109375" customWidth="1"/>
    <col min="15110" max="15110" width="13.7109375" customWidth="1"/>
    <col min="15111" max="15111" width="11.28515625" customWidth="1"/>
    <col min="15112" max="15113" width="9.28515625" bestFit="1" customWidth="1"/>
    <col min="15114" max="15114" width="11.5703125" customWidth="1"/>
    <col min="15115" max="15118" width="9.28515625" bestFit="1" customWidth="1"/>
    <col min="15119" max="15119" width="15.5703125" customWidth="1"/>
    <col min="15120" max="15120" width="16.140625" customWidth="1"/>
    <col min="15361" max="15361" width="5.85546875" customWidth="1"/>
    <col min="15362" max="15362" width="36" customWidth="1"/>
    <col min="15363" max="15363" width="12.42578125" customWidth="1"/>
    <col min="15364" max="15364" width="11.28515625" bestFit="1" customWidth="1"/>
    <col min="15365" max="15365" width="10.7109375" customWidth="1"/>
    <col min="15366" max="15366" width="13.7109375" customWidth="1"/>
    <col min="15367" max="15367" width="11.28515625" customWidth="1"/>
    <col min="15368" max="15369" width="9.28515625" bestFit="1" customWidth="1"/>
    <col min="15370" max="15370" width="11.5703125" customWidth="1"/>
    <col min="15371" max="15374" width="9.28515625" bestFit="1" customWidth="1"/>
    <col min="15375" max="15375" width="15.5703125" customWidth="1"/>
    <col min="15376" max="15376" width="16.140625" customWidth="1"/>
    <col min="15617" max="15617" width="5.85546875" customWidth="1"/>
    <col min="15618" max="15618" width="36" customWidth="1"/>
    <col min="15619" max="15619" width="12.42578125" customWidth="1"/>
    <col min="15620" max="15620" width="11.28515625" bestFit="1" customWidth="1"/>
    <col min="15621" max="15621" width="10.7109375" customWidth="1"/>
    <col min="15622" max="15622" width="13.7109375" customWidth="1"/>
    <col min="15623" max="15623" width="11.28515625" customWidth="1"/>
    <col min="15624" max="15625" width="9.28515625" bestFit="1" customWidth="1"/>
    <col min="15626" max="15626" width="11.5703125" customWidth="1"/>
    <col min="15627" max="15630" width="9.28515625" bestFit="1" customWidth="1"/>
    <col min="15631" max="15631" width="15.5703125" customWidth="1"/>
    <col min="15632" max="15632" width="16.140625" customWidth="1"/>
    <col min="15873" max="15873" width="5.85546875" customWidth="1"/>
    <col min="15874" max="15874" width="36" customWidth="1"/>
    <col min="15875" max="15875" width="12.42578125" customWidth="1"/>
    <col min="15876" max="15876" width="11.28515625" bestFit="1" customWidth="1"/>
    <col min="15877" max="15877" width="10.7109375" customWidth="1"/>
    <col min="15878" max="15878" width="13.7109375" customWidth="1"/>
    <col min="15879" max="15879" width="11.28515625" customWidth="1"/>
    <col min="15880" max="15881" width="9.28515625" bestFit="1" customWidth="1"/>
    <col min="15882" max="15882" width="11.5703125" customWidth="1"/>
    <col min="15883" max="15886" width="9.28515625" bestFit="1" customWidth="1"/>
    <col min="15887" max="15887" width="15.5703125" customWidth="1"/>
    <col min="15888" max="15888" width="16.140625" customWidth="1"/>
    <col min="16129" max="16129" width="5.85546875" customWidth="1"/>
    <col min="16130" max="16130" width="36" customWidth="1"/>
    <col min="16131" max="16131" width="12.42578125" customWidth="1"/>
    <col min="16132" max="16132" width="11.28515625" bestFit="1" customWidth="1"/>
    <col min="16133" max="16133" width="10.7109375" customWidth="1"/>
    <col min="16134" max="16134" width="13.7109375" customWidth="1"/>
    <col min="16135" max="16135" width="11.28515625" customWidth="1"/>
    <col min="16136" max="16137" width="9.28515625" bestFit="1" customWidth="1"/>
    <col min="16138" max="16138" width="11.5703125" customWidth="1"/>
    <col min="16139" max="16142" width="9.28515625" bestFit="1" customWidth="1"/>
    <col min="16143" max="16143" width="15.5703125" customWidth="1"/>
    <col min="16144" max="16144" width="16.140625" customWidth="1"/>
  </cols>
  <sheetData>
    <row r="1" spans="1:17" ht="42" customHeight="1">
      <c r="A1" s="424" t="s">
        <v>141</v>
      </c>
      <c r="B1" s="424"/>
      <c r="C1" s="424"/>
      <c r="D1" s="424"/>
      <c r="E1" s="424"/>
      <c r="F1" s="424"/>
      <c r="G1" s="424"/>
      <c r="H1" s="424"/>
      <c r="I1" s="424"/>
      <c r="J1" s="424"/>
      <c r="K1" s="424"/>
      <c r="L1" s="424"/>
      <c r="M1" s="424"/>
      <c r="N1" s="424"/>
      <c r="O1" s="424"/>
      <c r="P1" s="424"/>
      <c r="Q1" s="17"/>
    </row>
    <row r="2" spans="1:17" ht="42" customHeight="1">
      <c r="A2" s="435" t="str">
        <f>'B01.NTM_ĐT '!A2:P2</f>
        <v>(Kèm theo Báo cáo số 722/BC-UBND ngày 22/11/2024 của UBND huyện Na Rì)</v>
      </c>
      <c r="B2" s="435"/>
      <c r="C2" s="435"/>
      <c r="D2" s="435"/>
      <c r="E2" s="435"/>
      <c r="F2" s="435"/>
      <c r="G2" s="435"/>
      <c r="H2" s="435"/>
      <c r="I2" s="435"/>
      <c r="J2" s="435"/>
      <c r="K2" s="435"/>
      <c r="L2" s="435"/>
      <c r="M2" s="435"/>
      <c r="N2" s="435"/>
      <c r="O2" s="435"/>
      <c r="P2" s="435"/>
      <c r="Q2" s="17"/>
    </row>
    <row r="3" spans="1:17" s="7" customFormat="1" ht="24" customHeight="1">
      <c r="A3" s="425" t="s">
        <v>45</v>
      </c>
      <c r="B3" s="425"/>
      <c r="C3" s="425"/>
      <c r="D3" s="425"/>
      <c r="E3" s="425"/>
      <c r="F3" s="425"/>
      <c r="G3" s="425"/>
      <c r="H3" s="425"/>
      <c r="I3" s="425"/>
      <c r="J3" s="425"/>
      <c r="K3" s="425"/>
      <c r="L3" s="425"/>
      <c r="M3" s="425"/>
      <c r="N3" s="425"/>
      <c r="O3" s="425"/>
      <c r="P3" s="425"/>
    </row>
    <row r="4" spans="1:17">
      <c r="B4" s="73"/>
      <c r="C4" s="73"/>
    </row>
    <row r="5" spans="1:17" s="59" customFormat="1" ht="24.75" customHeight="1">
      <c r="A5" s="422" t="s">
        <v>29</v>
      </c>
      <c r="B5" s="422" t="s">
        <v>123</v>
      </c>
      <c r="C5" s="422" t="s">
        <v>136</v>
      </c>
      <c r="D5" s="426" t="s">
        <v>124</v>
      </c>
      <c r="E5" s="427"/>
      <c r="F5" s="428"/>
      <c r="G5" s="417" t="str">
        <f>'B01.NTM_ĐT '!G4:P4</f>
        <v xml:space="preserve">  THỰC HIỆN ĐẾN NGÀY 20/11/2024</v>
      </c>
      <c r="H5" s="417"/>
      <c r="I5" s="417"/>
      <c r="J5" s="417"/>
      <c r="K5" s="417"/>
      <c r="L5" s="417"/>
      <c r="M5" s="417"/>
      <c r="N5" s="417"/>
      <c r="O5" s="417"/>
      <c r="P5" s="418"/>
    </row>
    <row r="6" spans="1:17" s="60" customFormat="1" ht="22.5" customHeight="1">
      <c r="A6" s="410"/>
      <c r="B6" s="410"/>
      <c r="C6" s="410"/>
      <c r="D6" s="429"/>
      <c r="E6" s="430"/>
      <c r="F6" s="431"/>
      <c r="G6" s="432" t="s">
        <v>43</v>
      </c>
      <c r="H6" s="433"/>
      <c r="I6" s="433"/>
      <c r="J6" s="434"/>
      <c r="K6" s="432" t="s">
        <v>44</v>
      </c>
      <c r="L6" s="433"/>
      <c r="M6" s="433"/>
      <c r="N6" s="434"/>
      <c r="O6" s="422" t="s">
        <v>132</v>
      </c>
      <c r="P6" s="422" t="s">
        <v>133</v>
      </c>
    </row>
    <row r="7" spans="1:17" s="59" customFormat="1" ht="88.5" customHeight="1">
      <c r="A7" s="410"/>
      <c r="B7" s="410"/>
      <c r="C7" s="410"/>
      <c r="D7" s="193" t="s">
        <v>32</v>
      </c>
      <c r="E7" s="193" t="s">
        <v>137</v>
      </c>
      <c r="F7" s="193" t="s">
        <v>138</v>
      </c>
      <c r="G7" s="195" t="s">
        <v>42</v>
      </c>
      <c r="H7" s="193" t="s">
        <v>32</v>
      </c>
      <c r="I7" s="193" t="s">
        <v>137</v>
      </c>
      <c r="J7" s="193" t="s">
        <v>138</v>
      </c>
      <c r="K7" s="195" t="s">
        <v>42</v>
      </c>
      <c r="L7" s="193" t="s">
        <v>32</v>
      </c>
      <c r="M7" s="193" t="s">
        <v>137</v>
      </c>
      <c r="N7" s="193" t="s">
        <v>138</v>
      </c>
      <c r="O7" s="422"/>
      <c r="P7" s="422"/>
    </row>
    <row r="8" spans="1:17" s="4" customFormat="1">
      <c r="A8" s="25">
        <v>1</v>
      </c>
      <c r="B8" s="25">
        <v>2</v>
      </c>
      <c r="C8" s="25" t="s">
        <v>31</v>
      </c>
      <c r="D8" s="25">
        <v>4</v>
      </c>
      <c r="E8" s="25">
        <v>5</v>
      </c>
      <c r="F8" s="25">
        <v>6</v>
      </c>
      <c r="G8" s="25" t="s">
        <v>139</v>
      </c>
      <c r="H8" s="25">
        <v>8</v>
      </c>
      <c r="I8" s="25">
        <v>9</v>
      </c>
      <c r="J8" s="25">
        <v>10</v>
      </c>
      <c r="K8" s="25" t="s">
        <v>129</v>
      </c>
      <c r="L8" s="25" t="s">
        <v>130</v>
      </c>
      <c r="M8" s="25" t="s">
        <v>131</v>
      </c>
      <c r="N8" s="25" t="s">
        <v>140</v>
      </c>
      <c r="O8" s="25">
        <v>14</v>
      </c>
      <c r="P8" s="25">
        <v>15</v>
      </c>
    </row>
    <row r="9" spans="1:17" s="23" customFormat="1" ht="29.25" customHeight="1">
      <c r="A9" s="26"/>
      <c r="B9" s="27" t="s">
        <v>0</v>
      </c>
      <c r="C9" s="21">
        <f t="shared" ref="C9:J9" si="0">+C11+C40+C44+C46</f>
        <v>114812.77886999999</v>
      </c>
      <c r="D9" s="21">
        <f t="shared" si="0"/>
        <v>189.49106999999998</v>
      </c>
      <c r="E9" s="21">
        <f t="shared" si="0"/>
        <v>1569.1378</v>
      </c>
      <c r="F9" s="21">
        <f t="shared" si="0"/>
        <v>113054.15</v>
      </c>
      <c r="G9" s="21">
        <f t="shared" si="0"/>
        <v>37135.261953000001</v>
      </c>
      <c r="H9" s="21">
        <f t="shared" si="0"/>
        <v>155.66769999999997</v>
      </c>
      <c r="I9" s="21">
        <f t="shared" si="0"/>
        <v>459.50350000000003</v>
      </c>
      <c r="J9" s="21">
        <f t="shared" si="0"/>
        <v>36564.090752999997</v>
      </c>
      <c r="K9" s="21">
        <f>+G9/C9*100</f>
        <v>32.344188790210751</v>
      </c>
      <c r="L9" s="21">
        <f>+H9/D9*100</f>
        <v>82.150414792633754</v>
      </c>
      <c r="M9" s="21">
        <f>+I9/E9*100</f>
        <v>29.283820707142482</v>
      </c>
      <c r="N9" s="21">
        <f>+J9/F9*100</f>
        <v>32.342103985567974</v>
      </c>
      <c r="O9" s="22"/>
      <c r="P9" s="22"/>
    </row>
    <row r="10" spans="1:17" s="20" customFormat="1" ht="36" customHeight="1">
      <c r="A10" s="28"/>
      <c r="B10" s="29" t="s">
        <v>121</v>
      </c>
      <c r="C10" s="30"/>
      <c r="D10" s="30"/>
      <c r="E10" s="30"/>
      <c r="F10" s="30"/>
      <c r="G10" s="30"/>
      <c r="H10" s="30"/>
      <c r="I10" s="30"/>
      <c r="J10" s="30"/>
      <c r="K10" s="30"/>
      <c r="L10" s="30"/>
      <c r="M10" s="30"/>
      <c r="N10" s="30"/>
      <c r="O10" s="30"/>
      <c r="P10" s="30"/>
    </row>
    <row r="11" spans="1:17" s="20" customFormat="1" ht="42.75">
      <c r="A11" s="46" t="s">
        <v>1</v>
      </c>
      <c r="B11" s="47" t="s">
        <v>2</v>
      </c>
      <c r="C11" s="48">
        <f>+C18</f>
        <v>5011.2415000000001</v>
      </c>
      <c r="D11" s="48">
        <f t="shared" ref="D11:J11" si="1">+D18</f>
        <v>0</v>
      </c>
      <c r="E11" s="48">
        <f t="shared" si="1"/>
        <v>1486.2415000000001</v>
      </c>
      <c r="F11" s="48">
        <f t="shared" si="1"/>
        <v>3525</v>
      </c>
      <c r="G11" s="48">
        <f t="shared" si="1"/>
        <v>2129.6</v>
      </c>
      <c r="H11" s="48">
        <f t="shared" si="1"/>
        <v>0</v>
      </c>
      <c r="I11" s="48">
        <f t="shared" si="1"/>
        <v>396</v>
      </c>
      <c r="J11" s="48">
        <f t="shared" si="1"/>
        <v>1777.6</v>
      </c>
      <c r="K11" s="48">
        <f>+G11/C11*100</f>
        <v>42.496455219729476</v>
      </c>
      <c r="L11" s="48"/>
      <c r="M11" s="48">
        <f>+I11/E11*100</f>
        <v>26.644391237897739</v>
      </c>
      <c r="N11" s="49"/>
      <c r="O11" s="49"/>
      <c r="P11" s="49"/>
    </row>
    <row r="12" spans="1:17" s="20" customFormat="1" ht="23.25" customHeight="1">
      <c r="A12" s="32">
        <v>4</v>
      </c>
      <c r="B12" s="33" t="s">
        <v>3</v>
      </c>
      <c r="C12" s="30"/>
      <c r="D12" s="30"/>
      <c r="E12" s="30"/>
      <c r="F12" s="30"/>
      <c r="G12" s="30"/>
      <c r="H12" s="30"/>
      <c r="I12" s="30"/>
      <c r="J12" s="30"/>
      <c r="K12" s="30"/>
      <c r="L12" s="30"/>
      <c r="M12" s="30"/>
      <c r="N12" s="30"/>
      <c r="O12" s="30"/>
      <c r="P12" s="30"/>
    </row>
    <row r="13" spans="1:17" s="20" customFormat="1" ht="23.25" customHeight="1">
      <c r="A13" s="28"/>
      <c r="B13" s="34" t="s">
        <v>4</v>
      </c>
      <c r="C13" s="30"/>
      <c r="D13" s="30"/>
      <c r="E13" s="30"/>
      <c r="F13" s="30"/>
      <c r="G13" s="30"/>
      <c r="H13" s="30"/>
      <c r="I13" s="30"/>
      <c r="J13" s="30"/>
      <c r="K13" s="30"/>
      <c r="L13" s="30"/>
      <c r="M13" s="30"/>
      <c r="N13" s="30"/>
      <c r="O13" s="30"/>
      <c r="P13" s="30"/>
    </row>
    <row r="14" spans="1:17" s="20" customFormat="1">
      <c r="A14" s="28">
        <v>1</v>
      </c>
      <c r="B14" s="31" t="s">
        <v>5</v>
      </c>
      <c r="C14" s="30"/>
      <c r="D14" s="30"/>
      <c r="E14" s="30"/>
      <c r="F14" s="30"/>
      <c r="G14" s="30"/>
      <c r="H14" s="30"/>
      <c r="I14" s="30"/>
      <c r="J14" s="30"/>
      <c r="K14" s="30"/>
      <c r="L14" s="30"/>
      <c r="M14" s="30"/>
      <c r="N14" s="30"/>
      <c r="O14" s="30"/>
      <c r="P14" s="30"/>
    </row>
    <row r="15" spans="1:17" s="20" customFormat="1" hidden="1">
      <c r="A15" s="35" t="s">
        <v>6</v>
      </c>
      <c r="B15" s="36" t="s">
        <v>3</v>
      </c>
      <c r="C15" s="30"/>
      <c r="D15" s="30"/>
      <c r="E15" s="30"/>
      <c r="F15" s="30"/>
      <c r="G15" s="30"/>
      <c r="H15" s="30"/>
      <c r="I15" s="30"/>
      <c r="J15" s="30"/>
      <c r="K15" s="30"/>
      <c r="L15" s="30"/>
      <c r="M15" s="30"/>
      <c r="N15" s="30"/>
      <c r="O15" s="30"/>
      <c r="P15" s="30"/>
    </row>
    <row r="16" spans="1:17" s="20" customFormat="1" hidden="1">
      <c r="A16" s="32" t="s">
        <v>34</v>
      </c>
      <c r="B16" s="37" t="s">
        <v>34</v>
      </c>
      <c r="C16" s="30"/>
      <c r="D16" s="30"/>
      <c r="E16" s="30"/>
      <c r="F16" s="30"/>
      <c r="G16" s="30"/>
      <c r="H16" s="30"/>
      <c r="I16" s="30"/>
      <c r="J16" s="30"/>
      <c r="K16" s="30"/>
      <c r="L16" s="30"/>
      <c r="M16" s="30"/>
      <c r="N16" s="30"/>
      <c r="O16" s="30"/>
      <c r="P16" s="30"/>
    </row>
    <row r="17" spans="1:18" s="20" customFormat="1">
      <c r="A17" s="28">
        <v>2</v>
      </c>
      <c r="B17" s="31" t="s">
        <v>7</v>
      </c>
      <c r="C17" s="30"/>
      <c r="D17" s="30"/>
      <c r="E17" s="30"/>
      <c r="F17" s="30"/>
      <c r="G17" s="30"/>
      <c r="H17" s="30"/>
      <c r="I17" s="30"/>
      <c r="J17" s="30"/>
      <c r="K17" s="30"/>
      <c r="L17" s="30"/>
      <c r="M17" s="30"/>
      <c r="N17" s="30"/>
      <c r="O17" s="30"/>
      <c r="P17" s="30"/>
    </row>
    <row r="18" spans="1:18" s="20" customFormat="1" ht="18" customHeight="1">
      <c r="A18" s="35" t="s">
        <v>8</v>
      </c>
      <c r="B18" s="36" t="s">
        <v>3</v>
      </c>
      <c r="C18" s="38">
        <f>SUM(C19:C34)</f>
        <v>5011.2415000000001</v>
      </c>
      <c r="D18" s="38">
        <f t="shared" ref="D18:J18" si="2">SUM(D19:D34)</f>
        <v>0</v>
      </c>
      <c r="E18" s="38">
        <f t="shared" si="2"/>
        <v>1486.2415000000001</v>
      </c>
      <c r="F18" s="38">
        <f t="shared" si="2"/>
        <v>3525</v>
      </c>
      <c r="G18" s="38">
        <f t="shared" si="2"/>
        <v>2129.6</v>
      </c>
      <c r="H18" s="38">
        <f t="shared" si="2"/>
        <v>0</v>
      </c>
      <c r="I18" s="38">
        <f t="shared" si="2"/>
        <v>396</v>
      </c>
      <c r="J18" s="38">
        <f t="shared" si="2"/>
        <v>1777.6</v>
      </c>
      <c r="K18" s="38">
        <f>+G18/C18*100</f>
        <v>42.496455219729476</v>
      </c>
      <c r="L18" s="38"/>
      <c r="M18" s="38">
        <f>+I18/E18*100</f>
        <v>26.644391237897739</v>
      </c>
      <c r="N18" s="38">
        <f>+J18/F18*100</f>
        <v>50.428368794326239</v>
      </c>
      <c r="O18" s="69"/>
      <c r="P18" s="70"/>
      <c r="Q18" s="71">
        <f>SUM(Q20:Q33)</f>
        <v>30.159090909090907</v>
      </c>
      <c r="R18" s="72">
        <f>P18+Q18</f>
        <v>30.159090909090907</v>
      </c>
    </row>
    <row r="19" spans="1:18" s="20" customFormat="1" ht="18.75" customHeight="1">
      <c r="A19" s="32" t="s">
        <v>165</v>
      </c>
      <c r="B19" s="39" t="s">
        <v>155</v>
      </c>
      <c r="C19" s="40">
        <f>+D19+E19+F19</f>
        <v>572</v>
      </c>
      <c r="D19" s="40"/>
      <c r="E19" s="40"/>
      <c r="F19" s="40">
        <v>572</v>
      </c>
      <c r="G19" s="40">
        <f>+H19+I19+J19</f>
        <v>528</v>
      </c>
      <c r="H19" s="40"/>
      <c r="I19" s="40"/>
      <c r="J19" s="40">
        <v>528</v>
      </c>
      <c r="K19" s="40">
        <f>+G19/C19*100</f>
        <v>92.307692307692307</v>
      </c>
      <c r="L19" s="40"/>
      <c r="M19" s="40"/>
      <c r="N19" s="40">
        <f>+J19/F19*100</f>
        <v>92.307692307692307</v>
      </c>
      <c r="O19" s="40"/>
      <c r="P19" s="30"/>
    </row>
    <row r="20" spans="1:18" s="20" customFormat="1" ht="18.75" customHeight="1">
      <c r="A20" s="32" t="s">
        <v>166</v>
      </c>
      <c r="B20" s="39" t="s">
        <v>179</v>
      </c>
      <c r="C20" s="40">
        <f t="shared" ref="C20:C34" si="3">+D20+E20+F20</f>
        <v>88</v>
      </c>
      <c r="D20" s="40"/>
      <c r="E20" s="40">
        <v>88</v>
      </c>
      <c r="F20" s="40"/>
      <c r="G20" s="40">
        <f>+H20+I20+J20</f>
        <v>88</v>
      </c>
      <c r="H20" s="40"/>
      <c r="I20" s="40">
        <v>88</v>
      </c>
      <c r="J20" s="40"/>
      <c r="K20" s="40">
        <f t="shared" ref="K20:K34" si="4">+G20/C20*100</f>
        <v>100</v>
      </c>
      <c r="L20" s="40"/>
      <c r="M20" s="40">
        <f>+I20/E20*100</f>
        <v>100</v>
      </c>
      <c r="N20" s="40"/>
      <c r="O20" s="40"/>
      <c r="P20" s="30"/>
      <c r="Q20" s="20">
        <f>E20/44</f>
        <v>2</v>
      </c>
    </row>
    <row r="21" spans="1:18" s="20" customFormat="1" ht="18.75" customHeight="1">
      <c r="A21" s="32" t="s">
        <v>167</v>
      </c>
      <c r="B21" s="39" t="s">
        <v>156</v>
      </c>
      <c r="C21" s="40">
        <f t="shared" si="3"/>
        <v>220</v>
      </c>
      <c r="D21" s="40"/>
      <c r="E21" s="40">
        <v>87</v>
      </c>
      <c r="F21" s="40">
        <f>44+88+1</f>
        <v>133</v>
      </c>
      <c r="G21" s="40">
        <f t="shared" ref="G21:G25" si="5">+H21+I21+J21</f>
        <v>0</v>
      </c>
      <c r="H21" s="40"/>
      <c r="I21" s="40"/>
      <c r="J21" s="40"/>
      <c r="K21" s="40">
        <f t="shared" si="4"/>
        <v>0</v>
      </c>
      <c r="L21" s="40"/>
      <c r="M21" s="40"/>
      <c r="N21" s="40">
        <f t="shared" ref="N21:N33" si="6">+J21/F21*100</f>
        <v>0</v>
      </c>
      <c r="O21" s="40"/>
      <c r="P21" s="30"/>
      <c r="Q21" s="20">
        <f t="shared" ref="Q21:Q33" si="7">E21/44</f>
        <v>1.9772727272727273</v>
      </c>
    </row>
    <row r="22" spans="1:18" s="20" customFormat="1" ht="18.75" customHeight="1">
      <c r="A22" s="32" t="s">
        <v>168</v>
      </c>
      <c r="B22" s="39" t="s">
        <v>157</v>
      </c>
      <c r="C22" s="40">
        <f t="shared" si="3"/>
        <v>308</v>
      </c>
      <c r="D22" s="40"/>
      <c r="E22" s="40"/>
      <c r="F22" s="40">
        <v>308</v>
      </c>
      <c r="G22" s="40">
        <f t="shared" si="5"/>
        <v>193.6</v>
      </c>
      <c r="H22" s="40"/>
      <c r="I22" s="40"/>
      <c r="J22" s="40">
        <v>193.6</v>
      </c>
      <c r="K22" s="40">
        <f t="shared" si="4"/>
        <v>62.857142857142854</v>
      </c>
      <c r="L22" s="40"/>
      <c r="M22" s="40"/>
      <c r="N22" s="40">
        <f t="shared" si="6"/>
        <v>62.857142857142854</v>
      </c>
      <c r="O22" s="40"/>
      <c r="P22" s="30"/>
      <c r="Q22" s="20">
        <f t="shared" si="7"/>
        <v>0</v>
      </c>
    </row>
    <row r="23" spans="1:18" s="20" customFormat="1" ht="18.75" customHeight="1">
      <c r="A23" s="32" t="s">
        <v>169</v>
      </c>
      <c r="B23" s="39" t="s">
        <v>158</v>
      </c>
      <c r="C23" s="40">
        <f t="shared" si="3"/>
        <v>528</v>
      </c>
      <c r="D23" s="40"/>
      <c r="E23" s="40">
        <v>280</v>
      </c>
      <c r="F23" s="40">
        <f>220+28</f>
        <v>248</v>
      </c>
      <c r="G23" s="40">
        <f t="shared" si="5"/>
        <v>132</v>
      </c>
      <c r="H23" s="40"/>
      <c r="I23" s="40"/>
      <c r="J23" s="40">
        <v>132</v>
      </c>
      <c r="K23" s="40">
        <f t="shared" si="4"/>
        <v>25</v>
      </c>
      <c r="L23" s="40"/>
      <c r="M23" s="40"/>
      <c r="N23" s="40">
        <f t="shared" si="6"/>
        <v>53.225806451612897</v>
      </c>
      <c r="O23" s="40"/>
      <c r="P23" s="30"/>
      <c r="Q23" s="20">
        <f t="shared" si="7"/>
        <v>6.3636363636363633</v>
      </c>
    </row>
    <row r="24" spans="1:18" s="20" customFormat="1" ht="18.75" customHeight="1">
      <c r="A24" s="32" t="s">
        <v>170</v>
      </c>
      <c r="B24" s="39" t="s">
        <v>181</v>
      </c>
      <c r="C24" s="40">
        <f t="shared" si="3"/>
        <v>528</v>
      </c>
      <c r="D24" s="40"/>
      <c r="E24" s="40">
        <f>44+484</f>
        <v>528</v>
      </c>
      <c r="F24" s="40"/>
      <c r="G24" s="40">
        <f t="shared" si="5"/>
        <v>44</v>
      </c>
      <c r="H24" s="40"/>
      <c r="I24" s="40">
        <v>44</v>
      </c>
      <c r="J24" s="40"/>
      <c r="K24" s="40">
        <f t="shared" si="4"/>
        <v>8.3333333333333321</v>
      </c>
      <c r="L24" s="40"/>
      <c r="M24" s="40">
        <f t="shared" ref="M24:M25" si="8">+I24/E24*100</f>
        <v>8.3333333333333321</v>
      </c>
      <c r="N24" s="40"/>
      <c r="O24" s="40"/>
      <c r="P24" s="30"/>
      <c r="Q24" s="20">
        <f t="shared" si="7"/>
        <v>12</v>
      </c>
    </row>
    <row r="25" spans="1:18" s="20" customFormat="1" ht="18.75" customHeight="1">
      <c r="A25" s="32" t="s">
        <v>171</v>
      </c>
      <c r="B25" s="39" t="s">
        <v>153</v>
      </c>
      <c r="C25" s="40">
        <f t="shared" si="3"/>
        <v>748</v>
      </c>
      <c r="D25" s="40"/>
      <c r="E25" s="40">
        <v>132</v>
      </c>
      <c r="F25" s="40">
        <f>484+132</f>
        <v>616</v>
      </c>
      <c r="G25" s="40">
        <f t="shared" si="5"/>
        <v>352</v>
      </c>
      <c r="H25" s="40"/>
      <c r="I25" s="40">
        <v>132</v>
      </c>
      <c r="J25" s="40">
        <v>220</v>
      </c>
      <c r="K25" s="40">
        <f t="shared" si="4"/>
        <v>47.058823529411761</v>
      </c>
      <c r="L25" s="40"/>
      <c r="M25" s="40">
        <f t="shared" si="8"/>
        <v>100</v>
      </c>
      <c r="N25" s="40">
        <f t="shared" si="6"/>
        <v>35.714285714285715</v>
      </c>
      <c r="O25" s="40"/>
      <c r="P25" s="30"/>
      <c r="Q25" s="20">
        <f t="shared" si="7"/>
        <v>3</v>
      </c>
    </row>
    <row r="26" spans="1:18" s="20" customFormat="1" ht="18.75" customHeight="1">
      <c r="A26" s="32" t="s">
        <v>172</v>
      </c>
      <c r="B26" s="39" t="s">
        <v>159</v>
      </c>
      <c r="C26" s="40">
        <f t="shared" si="3"/>
        <v>352</v>
      </c>
      <c r="D26" s="40"/>
      <c r="E26" s="40"/>
      <c r="F26" s="40">
        <v>352</v>
      </c>
      <c r="G26" s="40"/>
      <c r="H26" s="40"/>
      <c r="I26" s="40"/>
      <c r="J26" s="40"/>
      <c r="K26" s="40">
        <f t="shared" si="4"/>
        <v>0</v>
      </c>
      <c r="L26" s="40"/>
      <c r="M26" s="40"/>
      <c r="N26" s="40">
        <f t="shared" si="6"/>
        <v>0</v>
      </c>
      <c r="O26" s="40"/>
      <c r="P26" s="30"/>
      <c r="Q26" s="20">
        <f t="shared" si="7"/>
        <v>0</v>
      </c>
    </row>
    <row r="27" spans="1:18" s="20" customFormat="1" ht="18.75" customHeight="1">
      <c r="A27" s="32" t="s">
        <v>173</v>
      </c>
      <c r="B27" s="39" t="s">
        <v>160</v>
      </c>
      <c r="C27" s="40">
        <f t="shared" si="3"/>
        <v>132</v>
      </c>
      <c r="D27" s="40"/>
      <c r="E27" s="40">
        <v>80</v>
      </c>
      <c r="F27" s="40">
        <f>44+8</f>
        <v>52</v>
      </c>
      <c r="G27" s="40"/>
      <c r="H27" s="40"/>
      <c r="I27" s="40"/>
      <c r="J27" s="40">
        <v>44</v>
      </c>
      <c r="K27" s="40">
        <f t="shared" si="4"/>
        <v>0</v>
      </c>
      <c r="L27" s="40"/>
      <c r="M27" s="40"/>
      <c r="N27" s="40">
        <f t="shared" si="6"/>
        <v>84.615384615384613</v>
      </c>
      <c r="O27" s="40"/>
      <c r="P27" s="30"/>
      <c r="Q27" s="20">
        <f t="shared" si="7"/>
        <v>1.8181818181818181</v>
      </c>
    </row>
    <row r="28" spans="1:18" s="20" customFormat="1" ht="18.75" customHeight="1">
      <c r="A28" s="32" t="s">
        <v>174</v>
      </c>
      <c r="B28" s="39" t="s">
        <v>161</v>
      </c>
      <c r="C28" s="40">
        <f t="shared" si="3"/>
        <v>396</v>
      </c>
      <c r="D28" s="40"/>
      <c r="E28" s="40">
        <v>88</v>
      </c>
      <c r="F28" s="40">
        <v>308</v>
      </c>
      <c r="G28" s="40">
        <f>+H28+I28+J28</f>
        <v>264</v>
      </c>
      <c r="H28" s="40"/>
      <c r="I28" s="40">
        <v>88</v>
      </c>
      <c r="J28" s="40">
        <v>176</v>
      </c>
      <c r="K28" s="40">
        <f t="shared" si="4"/>
        <v>66.666666666666657</v>
      </c>
      <c r="L28" s="40">
        <f>+H28/F28*100</f>
        <v>0</v>
      </c>
      <c r="M28" s="40">
        <f>+I28/G28*100</f>
        <v>33.333333333333329</v>
      </c>
      <c r="N28" s="40">
        <f t="shared" si="6"/>
        <v>57.142857142857139</v>
      </c>
      <c r="O28" s="40"/>
      <c r="P28" s="30"/>
      <c r="Q28" s="20">
        <f t="shared" si="7"/>
        <v>2</v>
      </c>
    </row>
    <row r="29" spans="1:18" s="20" customFormat="1" ht="18.75" customHeight="1">
      <c r="A29" s="32" t="s">
        <v>175</v>
      </c>
      <c r="B29" s="39" t="s">
        <v>162</v>
      </c>
      <c r="C29" s="40">
        <f t="shared" si="3"/>
        <v>44</v>
      </c>
      <c r="D29" s="40"/>
      <c r="E29" s="40"/>
      <c r="F29" s="40">
        <v>44</v>
      </c>
      <c r="G29" s="40">
        <f t="shared" ref="G29:G33" si="9">+H29+I29+J29</f>
        <v>0</v>
      </c>
      <c r="H29" s="40"/>
      <c r="I29" s="40"/>
      <c r="J29" s="40"/>
      <c r="K29" s="40">
        <f t="shared" si="4"/>
        <v>0</v>
      </c>
      <c r="L29" s="40"/>
      <c r="M29" s="40"/>
      <c r="N29" s="40">
        <f t="shared" si="6"/>
        <v>0</v>
      </c>
      <c r="O29" s="40"/>
      <c r="P29" s="30"/>
      <c r="Q29" s="20">
        <f t="shared" si="7"/>
        <v>0</v>
      </c>
    </row>
    <row r="30" spans="1:18" s="20" customFormat="1" ht="18.75" customHeight="1">
      <c r="A30" s="32" t="s">
        <v>176</v>
      </c>
      <c r="B30" s="39" t="s">
        <v>151</v>
      </c>
      <c r="C30" s="40">
        <f t="shared" si="3"/>
        <v>176</v>
      </c>
      <c r="D30" s="40"/>
      <c r="E30" s="40"/>
      <c r="F30" s="40">
        <f>44+132</f>
        <v>176</v>
      </c>
      <c r="G30" s="40">
        <f t="shared" si="9"/>
        <v>44</v>
      </c>
      <c r="H30" s="40"/>
      <c r="I30" s="40"/>
      <c r="J30" s="40">
        <v>44</v>
      </c>
      <c r="K30" s="40">
        <f t="shared" si="4"/>
        <v>25</v>
      </c>
      <c r="L30" s="40"/>
      <c r="M30" s="40"/>
      <c r="N30" s="40">
        <f t="shared" si="6"/>
        <v>25</v>
      </c>
      <c r="O30" s="40"/>
      <c r="P30" s="30"/>
      <c r="Q30" s="20">
        <f t="shared" si="7"/>
        <v>0</v>
      </c>
    </row>
    <row r="31" spans="1:18" s="20" customFormat="1" ht="18.75" customHeight="1">
      <c r="A31" s="32" t="s">
        <v>177</v>
      </c>
      <c r="B31" s="39" t="s">
        <v>163</v>
      </c>
      <c r="C31" s="40">
        <f t="shared" si="3"/>
        <v>176</v>
      </c>
      <c r="D31" s="40"/>
      <c r="E31" s="40">
        <v>44</v>
      </c>
      <c r="F31" s="40">
        <v>132</v>
      </c>
      <c r="G31" s="40">
        <f t="shared" si="9"/>
        <v>88</v>
      </c>
      <c r="H31" s="40"/>
      <c r="I31" s="40">
        <v>44</v>
      </c>
      <c r="J31" s="40">
        <v>44</v>
      </c>
      <c r="K31" s="40">
        <f t="shared" si="4"/>
        <v>50</v>
      </c>
      <c r="L31" s="40"/>
      <c r="M31" s="40"/>
      <c r="N31" s="40">
        <f t="shared" si="6"/>
        <v>33.333333333333329</v>
      </c>
      <c r="O31" s="40"/>
      <c r="P31" s="30"/>
      <c r="Q31" s="20">
        <f t="shared" si="7"/>
        <v>1</v>
      </c>
    </row>
    <row r="32" spans="1:18" s="20" customFormat="1" ht="18.75" customHeight="1">
      <c r="A32" s="32" t="s">
        <v>178</v>
      </c>
      <c r="B32" s="39" t="s">
        <v>164</v>
      </c>
      <c r="C32" s="40">
        <f t="shared" si="3"/>
        <v>264</v>
      </c>
      <c r="D32" s="40"/>
      <c r="E32" s="40"/>
      <c r="F32" s="40">
        <v>264</v>
      </c>
      <c r="G32" s="40">
        <f t="shared" si="9"/>
        <v>220</v>
      </c>
      <c r="H32" s="40"/>
      <c r="I32" s="40"/>
      <c r="J32" s="40">
        <v>220</v>
      </c>
      <c r="K32" s="40">
        <f t="shared" si="4"/>
        <v>83.333333333333343</v>
      </c>
      <c r="L32" s="40"/>
      <c r="M32" s="40">
        <f>+I32/G32*100</f>
        <v>0</v>
      </c>
      <c r="N32" s="40">
        <f t="shared" si="6"/>
        <v>83.333333333333343</v>
      </c>
      <c r="O32" s="40"/>
      <c r="P32" s="30"/>
      <c r="Q32" s="20">
        <f t="shared" si="7"/>
        <v>0</v>
      </c>
    </row>
    <row r="33" spans="1:17" s="20" customFormat="1" ht="18.75" customHeight="1">
      <c r="A33" s="32" t="s">
        <v>180</v>
      </c>
      <c r="B33" s="39" t="s">
        <v>154</v>
      </c>
      <c r="C33" s="40">
        <f t="shared" si="3"/>
        <v>308</v>
      </c>
      <c r="D33" s="40"/>
      <c r="E33" s="40"/>
      <c r="F33" s="40">
        <f>220+88</f>
        <v>308</v>
      </c>
      <c r="G33" s="40">
        <f t="shared" si="9"/>
        <v>176</v>
      </c>
      <c r="H33" s="40"/>
      <c r="I33" s="40"/>
      <c r="J33" s="40">
        <v>176</v>
      </c>
      <c r="K33" s="40">
        <f t="shared" si="4"/>
        <v>57.142857142857139</v>
      </c>
      <c r="L33" s="40"/>
      <c r="M33" s="40"/>
      <c r="N33" s="40">
        <f t="shared" si="6"/>
        <v>57.142857142857139</v>
      </c>
      <c r="O33" s="40"/>
      <c r="P33" s="30"/>
      <c r="Q33" s="20">
        <f t="shared" si="7"/>
        <v>0</v>
      </c>
    </row>
    <row r="34" spans="1:17" s="20" customFormat="1" ht="18.75" customHeight="1">
      <c r="A34" s="32" t="s">
        <v>182</v>
      </c>
      <c r="B34" s="39" t="s">
        <v>183</v>
      </c>
      <c r="C34" s="40">
        <f t="shared" si="3"/>
        <v>171.2415</v>
      </c>
      <c r="D34" s="40"/>
      <c r="E34" s="40">
        <v>159.2415</v>
      </c>
      <c r="F34" s="40">
        <v>12</v>
      </c>
      <c r="G34" s="40"/>
      <c r="H34" s="40"/>
      <c r="I34" s="40"/>
      <c r="J34" s="40"/>
      <c r="K34" s="40">
        <f t="shared" si="4"/>
        <v>0</v>
      </c>
      <c r="L34" s="40"/>
      <c r="M34" s="40"/>
      <c r="N34" s="74"/>
      <c r="O34" s="40"/>
      <c r="P34" s="30"/>
    </row>
    <row r="35" spans="1:17" s="20" customFormat="1">
      <c r="A35" s="41">
        <v>3</v>
      </c>
      <c r="B35" s="31" t="s">
        <v>9</v>
      </c>
      <c r="C35" s="30"/>
      <c r="D35" s="30"/>
      <c r="E35" s="30"/>
      <c r="F35" s="30"/>
      <c r="G35" s="30"/>
      <c r="H35" s="30"/>
      <c r="I35" s="30"/>
      <c r="J35" s="30"/>
      <c r="K35" s="30"/>
      <c r="L35" s="30"/>
      <c r="M35" s="30"/>
      <c r="N35" s="30"/>
      <c r="O35" s="30"/>
      <c r="P35" s="30"/>
    </row>
    <row r="36" spans="1:17" s="20" customFormat="1" ht="25.5" customHeight="1">
      <c r="A36" s="35" t="s">
        <v>10</v>
      </c>
      <c r="B36" s="36" t="s">
        <v>3</v>
      </c>
      <c r="C36" s="30"/>
      <c r="D36" s="30"/>
      <c r="E36" s="30"/>
      <c r="F36" s="30"/>
      <c r="G36" s="30"/>
      <c r="H36" s="30"/>
      <c r="I36" s="30"/>
      <c r="J36" s="30"/>
      <c r="K36" s="30"/>
      <c r="L36" s="30"/>
      <c r="M36" s="30"/>
      <c r="N36" s="30"/>
      <c r="O36" s="30"/>
      <c r="P36" s="30"/>
    </row>
    <row r="37" spans="1:17" s="20" customFormat="1" hidden="1">
      <c r="A37" s="32" t="s">
        <v>35</v>
      </c>
      <c r="B37" s="37" t="s">
        <v>33</v>
      </c>
      <c r="C37" s="30"/>
      <c r="D37" s="30"/>
      <c r="E37" s="30"/>
      <c r="F37" s="30"/>
      <c r="G37" s="30"/>
      <c r="H37" s="30"/>
      <c r="I37" s="30"/>
      <c r="J37" s="30"/>
      <c r="K37" s="30"/>
      <c r="L37" s="30"/>
      <c r="M37" s="30"/>
      <c r="N37" s="30"/>
      <c r="O37" s="30"/>
      <c r="P37" s="30"/>
    </row>
    <row r="38" spans="1:17" s="20" customFormat="1" hidden="1">
      <c r="A38" s="32" t="s">
        <v>34</v>
      </c>
      <c r="B38" s="37" t="s">
        <v>34</v>
      </c>
      <c r="C38" s="30"/>
      <c r="D38" s="30"/>
      <c r="E38" s="30"/>
      <c r="F38" s="30"/>
      <c r="G38" s="30"/>
      <c r="H38" s="30"/>
      <c r="I38" s="30"/>
      <c r="J38" s="30"/>
      <c r="K38" s="30"/>
      <c r="L38" s="30"/>
      <c r="M38" s="30"/>
      <c r="N38" s="30"/>
      <c r="O38" s="30"/>
      <c r="P38" s="30"/>
    </row>
    <row r="39" spans="1:17" s="20" customFormat="1" hidden="1">
      <c r="A39" s="32" t="s">
        <v>36</v>
      </c>
      <c r="B39" s="37" t="s">
        <v>33</v>
      </c>
      <c r="C39" s="30"/>
      <c r="D39" s="30"/>
      <c r="E39" s="30"/>
      <c r="F39" s="30"/>
      <c r="G39" s="30"/>
      <c r="H39" s="30"/>
      <c r="I39" s="30"/>
      <c r="J39" s="30"/>
      <c r="K39" s="30"/>
      <c r="L39" s="30"/>
      <c r="M39" s="30"/>
      <c r="N39" s="30"/>
      <c r="O39" s="30"/>
      <c r="P39" s="30"/>
    </row>
    <row r="40" spans="1:17" s="20" customFormat="1" ht="71.25">
      <c r="A40" s="46" t="s">
        <v>16</v>
      </c>
      <c r="B40" s="47" t="s">
        <v>17</v>
      </c>
      <c r="C40" s="50">
        <f>+C41</f>
        <v>109752.1093</v>
      </c>
      <c r="D40" s="50">
        <f t="shared" ref="D40:N40" si="10">+D41</f>
        <v>140.06299999999999</v>
      </c>
      <c r="E40" s="50">
        <f t="shared" si="10"/>
        <v>82.896299999999997</v>
      </c>
      <c r="F40" s="50">
        <f t="shared" si="10"/>
        <v>109529.15</v>
      </c>
      <c r="G40" s="50">
        <f t="shared" si="10"/>
        <v>34986.153853000003</v>
      </c>
      <c r="H40" s="50">
        <f t="shared" si="10"/>
        <v>136.15959999999998</v>
      </c>
      <c r="I40" s="50">
        <f t="shared" si="10"/>
        <v>63.503500000000003</v>
      </c>
      <c r="J40" s="50">
        <f t="shared" si="10"/>
        <v>34786.490752999998</v>
      </c>
      <c r="K40" s="50">
        <f t="shared" si="10"/>
        <v>31.877431856337001</v>
      </c>
      <c r="L40" s="50">
        <f t="shared" si="10"/>
        <v>97.213111242797879</v>
      </c>
      <c r="M40" s="50">
        <f t="shared" si="10"/>
        <v>76.605952256011435</v>
      </c>
      <c r="N40" s="50">
        <f t="shared" si="10"/>
        <v>31.760029866934968</v>
      </c>
      <c r="O40" s="49"/>
      <c r="P40" s="49"/>
    </row>
    <row r="41" spans="1:17" s="55" customFormat="1" ht="24" customHeight="1">
      <c r="A41" s="35">
        <v>6</v>
      </c>
      <c r="B41" s="54" t="s">
        <v>11</v>
      </c>
      <c r="C41" s="43">
        <f>+C42+C43</f>
        <v>109752.1093</v>
      </c>
      <c r="D41" s="43">
        <f t="shared" ref="D41:J41" si="11">+D42+D43</f>
        <v>140.06299999999999</v>
      </c>
      <c r="E41" s="43">
        <f t="shared" si="11"/>
        <v>82.896299999999997</v>
      </c>
      <c r="F41" s="43">
        <f t="shared" si="11"/>
        <v>109529.15</v>
      </c>
      <c r="G41" s="43">
        <f t="shared" si="11"/>
        <v>34986.153853000003</v>
      </c>
      <c r="H41" s="43">
        <f t="shared" si="11"/>
        <v>136.15959999999998</v>
      </c>
      <c r="I41" s="43">
        <f t="shared" si="11"/>
        <v>63.503500000000003</v>
      </c>
      <c r="J41" s="43">
        <f t="shared" si="11"/>
        <v>34786.490752999998</v>
      </c>
      <c r="K41" s="43">
        <f>+G41/C41*100</f>
        <v>31.877431856337001</v>
      </c>
      <c r="L41" s="43">
        <f>+H41/D41*100</f>
        <v>97.213111242797879</v>
      </c>
      <c r="M41" s="43">
        <f>+I41/E41*100</f>
        <v>76.605952256011435</v>
      </c>
      <c r="N41" s="43">
        <f>+J41/F41*100</f>
        <v>31.760029866934968</v>
      </c>
      <c r="O41" s="40"/>
      <c r="P41" s="40"/>
    </row>
    <row r="42" spans="1:17" s="55" customFormat="1" ht="24" customHeight="1">
      <c r="A42" s="32" t="s">
        <v>37</v>
      </c>
      <c r="B42" s="56" t="s">
        <v>18</v>
      </c>
      <c r="C42" s="40">
        <f>+D42+E42+F42</f>
        <v>106999.1093</v>
      </c>
      <c r="D42" s="40">
        <v>140.06299999999999</v>
      </c>
      <c r="E42" s="40">
        <v>82.896299999999997</v>
      </c>
      <c r="F42" s="40">
        <f>38025+68751.15</f>
        <v>106776.15</v>
      </c>
      <c r="G42" s="40">
        <f>+H42+I42+J42</f>
        <v>32234.173853</v>
      </c>
      <c r="H42" s="40">
        <f>131.9586+4.201</f>
        <v>136.15959999999998</v>
      </c>
      <c r="I42" s="40">
        <v>63.503500000000003</v>
      </c>
      <c r="J42" s="40">
        <f>23872.69+8161.820753</f>
        <v>32034.510752999999</v>
      </c>
      <c r="K42" s="40">
        <f>+G42/C42*100</f>
        <v>30.125646899193391</v>
      </c>
      <c r="L42" s="40">
        <f t="shared" ref="L42:N43" si="12">+H42/D42*100</f>
        <v>97.213111242797879</v>
      </c>
      <c r="M42" s="40">
        <f t="shared" si="12"/>
        <v>76.605952256011435</v>
      </c>
      <c r="N42" s="40">
        <f t="shared" si="12"/>
        <v>30.001560042200438</v>
      </c>
      <c r="O42" s="40"/>
      <c r="P42" s="40"/>
    </row>
    <row r="43" spans="1:17" s="55" customFormat="1" ht="39.75" customHeight="1">
      <c r="A43" s="32" t="s">
        <v>38</v>
      </c>
      <c r="B43" s="57" t="s">
        <v>19</v>
      </c>
      <c r="C43" s="40">
        <f>+D43+E43+F43</f>
        <v>2753</v>
      </c>
      <c r="D43" s="40"/>
      <c r="E43" s="40"/>
      <c r="F43" s="40">
        <f>1561+1192</f>
        <v>2753</v>
      </c>
      <c r="G43" s="40">
        <f>+H43+I43+J43</f>
        <v>2751.98</v>
      </c>
      <c r="H43" s="40"/>
      <c r="I43" s="40"/>
      <c r="J43" s="40">
        <f>1561+1190.98</f>
        <v>2751.98</v>
      </c>
      <c r="K43" s="40">
        <f>+G43/C43*100</f>
        <v>99.962949509625858</v>
      </c>
      <c r="L43" s="40"/>
      <c r="M43" s="40"/>
      <c r="N43" s="40">
        <f t="shared" si="12"/>
        <v>99.962949509625858</v>
      </c>
      <c r="O43" s="40"/>
      <c r="P43" s="40"/>
    </row>
    <row r="44" spans="1:17" s="20" customFormat="1" ht="71.25">
      <c r="A44" s="46" t="s">
        <v>22</v>
      </c>
      <c r="B44" s="51" t="s">
        <v>23</v>
      </c>
      <c r="C44" s="52">
        <f>+C45</f>
        <v>49.428069999999998</v>
      </c>
      <c r="D44" s="52">
        <f t="shared" ref="D44:M44" si="13">+D45</f>
        <v>49.428069999999998</v>
      </c>
      <c r="E44" s="52">
        <f t="shared" si="13"/>
        <v>0</v>
      </c>
      <c r="F44" s="52">
        <f t="shared" si="13"/>
        <v>0</v>
      </c>
      <c r="G44" s="52">
        <f t="shared" si="13"/>
        <v>19.508099999999999</v>
      </c>
      <c r="H44" s="52">
        <f t="shared" si="13"/>
        <v>19.508099999999999</v>
      </c>
      <c r="I44" s="52">
        <f t="shared" si="13"/>
        <v>0</v>
      </c>
      <c r="J44" s="52">
        <f t="shared" si="13"/>
        <v>0</v>
      </c>
      <c r="K44" s="52">
        <f t="shared" si="13"/>
        <v>39.467654715225578</v>
      </c>
      <c r="L44" s="52">
        <f t="shared" si="13"/>
        <v>39.467654715225578</v>
      </c>
      <c r="M44" s="52">
        <f t="shared" si="13"/>
        <v>0</v>
      </c>
      <c r="N44" s="49"/>
      <c r="O44" s="49"/>
      <c r="P44" s="49"/>
    </row>
    <row r="45" spans="1:17" s="20" customFormat="1" ht="23.25" customHeight="1">
      <c r="A45" s="35">
        <v>5</v>
      </c>
      <c r="B45" s="42" t="s">
        <v>3</v>
      </c>
      <c r="C45" s="44">
        <f>+D45+E45+F45</f>
        <v>49.428069999999998</v>
      </c>
      <c r="D45" s="44">
        <v>49.428069999999998</v>
      </c>
      <c r="E45" s="44"/>
      <c r="F45" s="44"/>
      <c r="G45" s="44">
        <f>+H45+I45+J45</f>
        <v>19.508099999999999</v>
      </c>
      <c r="H45" s="44">
        <v>19.508099999999999</v>
      </c>
      <c r="I45" s="44"/>
      <c r="J45" s="44"/>
      <c r="K45" s="44">
        <f>+G45/C45*100</f>
        <v>39.467654715225578</v>
      </c>
      <c r="L45" s="44">
        <f t="shared" ref="L45" si="14">+H45/D45*100</f>
        <v>39.467654715225578</v>
      </c>
      <c r="M45" s="44"/>
      <c r="N45" s="44"/>
      <c r="O45" s="44"/>
      <c r="P45" s="44"/>
    </row>
    <row r="46" spans="1:17" s="20" customFormat="1" ht="71.25">
      <c r="A46" s="46" t="s">
        <v>26</v>
      </c>
      <c r="B46" s="47" t="s">
        <v>27</v>
      </c>
      <c r="C46" s="53">
        <f>+C47</f>
        <v>0</v>
      </c>
      <c r="D46" s="53">
        <f t="shared" ref="D46:M47" si="15">+D47</f>
        <v>0</v>
      </c>
      <c r="E46" s="53">
        <f t="shared" si="15"/>
        <v>0</v>
      </c>
      <c r="F46" s="53">
        <f t="shared" si="15"/>
        <v>0</v>
      </c>
      <c r="G46" s="53">
        <f t="shared" si="15"/>
        <v>0</v>
      </c>
      <c r="H46" s="53">
        <f t="shared" si="15"/>
        <v>0</v>
      </c>
      <c r="I46" s="53">
        <f t="shared" si="15"/>
        <v>0</v>
      </c>
      <c r="J46" s="53">
        <f t="shared" si="15"/>
        <v>0</v>
      </c>
      <c r="K46" s="53">
        <f t="shared" si="15"/>
        <v>0</v>
      </c>
      <c r="L46" s="53">
        <f t="shared" si="15"/>
        <v>0</v>
      </c>
      <c r="M46" s="53">
        <f t="shared" si="15"/>
        <v>0</v>
      </c>
      <c r="N46" s="49"/>
      <c r="O46" s="49"/>
      <c r="P46" s="49"/>
    </row>
    <row r="47" spans="1:17" s="20" customFormat="1" ht="96.75" customHeight="1">
      <c r="A47" s="35"/>
      <c r="B47" s="36" t="s">
        <v>28</v>
      </c>
      <c r="C47" s="45">
        <f>+C48</f>
        <v>0</v>
      </c>
      <c r="D47" s="45">
        <f t="shared" si="15"/>
        <v>0</v>
      </c>
      <c r="E47" s="45">
        <f t="shared" si="15"/>
        <v>0</v>
      </c>
      <c r="F47" s="45">
        <f t="shared" si="15"/>
        <v>0</v>
      </c>
      <c r="G47" s="45">
        <f t="shared" si="15"/>
        <v>0</v>
      </c>
      <c r="H47" s="45">
        <f t="shared" si="15"/>
        <v>0</v>
      </c>
      <c r="I47" s="45">
        <f t="shared" si="15"/>
        <v>0</v>
      </c>
      <c r="J47" s="45">
        <f t="shared" si="15"/>
        <v>0</v>
      </c>
      <c r="K47" s="45">
        <f t="shared" si="15"/>
        <v>0</v>
      </c>
      <c r="L47" s="45">
        <f t="shared" si="15"/>
        <v>0</v>
      </c>
      <c r="M47" s="45">
        <f t="shared" si="15"/>
        <v>0</v>
      </c>
      <c r="N47" s="30"/>
      <c r="O47" s="30"/>
      <c r="P47" s="30"/>
    </row>
    <row r="48" spans="1:17" s="55" customFormat="1" ht="24" customHeight="1">
      <c r="A48" s="32" t="s">
        <v>8</v>
      </c>
      <c r="B48" s="56" t="s">
        <v>266</v>
      </c>
      <c r="C48" s="58">
        <f>+D48+E48+F48</f>
        <v>0</v>
      </c>
      <c r="D48" s="58"/>
      <c r="E48" s="58">
        <v>0</v>
      </c>
      <c r="F48" s="58"/>
      <c r="G48" s="58"/>
      <c r="H48" s="58"/>
      <c r="I48" s="58"/>
      <c r="J48" s="58"/>
      <c r="K48" s="58"/>
      <c r="L48" s="58"/>
      <c r="M48" s="58"/>
      <c r="N48" s="58"/>
      <c r="O48" s="58"/>
      <c r="P48" s="58"/>
    </row>
    <row r="50" spans="1:2">
      <c r="A50" s="423"/>
      <c r="B50" s="423"/>
    </row>
  </sheetData>
  <mergeCells count="13">
    <mergeCell ref="P6:P7"/>
    <mergeCell ref="A50:B50"/>
    <mergeCell ref="A1:P1"/>
    <mergeCell ref="A3:P3"/>
    <mergeCell ref="A5:A7"/>
    <mergeCell ref="B5:B7"/>
    <mergeCell ref="C5:C7"/>
    <mergeCell ref="D5:F6"/>
    <mergeCell ref="G5:P5"/>
    <mergeCell ref="G6:J6"/>
    <mergeCell ref="K6:N6"/>
    <mergeCell ref="O6:O7"/>
    <mergeCell ref="A2:P2"/>
  </mergeCells>
  <pageMargins left="0.56000000000000005" right="0.4" top="0.75" bottom="0.75" header="0.3" footer="0.3"/>
  <pageSetup paperSize="9" scale="68" orientation="landscape" verticalDpi="0" r:id="rId1"/>
</worksheet>
</file>

<file path=xl/worksheets/sheet5.xml><?xml version="1.0" encoding="utf-8"?>
<worksheet xmlns="http://schemas.openxmlformats.org/spreadsheetml/2006/main" xmlns:r="http://schemas.openxmlformats.org/officeDocument/2006/relationships">
  <sheetPr>
    <tabColor rgb="FF00B050"/>
  </sheetPr>
  <dimension ref="A1:AC81"/>
  <sheetViews>
    <sheetView tabSelected="1" topLeftCell="A7" zoomScale="85" zoomScaleNormal="85" zoomScalePageLayoutView="70" workbookViewId="0">
      <selection activeCell="A4" sqref="A4:R4"/>
    </sheetView>
  </sheetViews>
  <sheetFormatPr defaultColWidth="9.140625" defaultRowHeight="15"/>
  <cols>
    <col min="1" max="1" width="4.85546875" style="24" customWidth="1"/>
    <col min="2" max="2" width="54" style="24" customWidth="1"/>
    <col min="3" max="3" width="15.7109375" style="24" customWidth="1"/>
    <col min="4" max="4" width="13.42578125" style="24" hidden="1" customWidth="1"/>
    <col min="5" max="5" width="14" style="24" customWidth="1"/>
    <col min="6" max="8" width="15.7109375" style="24" customWidth="1"/>
    <col min="9" max="10" width="15.7109375" style="59" customWidth="1"/>
    <col min="11" max="12" width="15.7109375" style="59" hidden="1" customWidth="1"/>
    <col min="13" max="13" width="15.7109375" style="59" customWidth="1"/>
    <col min="14" max="15" width="15.7109375" style="311" hidden="1" customWidth="1"/>
    <col min="16" max="16" width="11.5703125" style="24" customWidth="1"/>
    <col min="17" max="17" width="26.7109375" style="24" hidden="1" customWidth="1"/>
    <col min="18" max="18" width="20.85546875" style="24" hidden="1" customWidth="1"/>
    <col min="19" max="19" width="21.7109375" style="24" customWidth="1"/>
    <col min="20" max="20" width="16.85546875" style="87" customWidth="1"/>
    <col min="21" max="22" width="9.140625" style="24" hidden="1" customWidth="1"/>
    <col min="23" max="24" width="14.28515625" style="87" hidden="1" customWidth="1"/>
    <col min="25" max="25" width="11.5703125" style="87" hidden="1" customWidth="1"/>
    <col min="26" max="27" width="13.5703125" style="87" hidden="1" customWidth="1"/>
    <col min="28" max="28" width="12.28515625" style="87" hidden="1" customWidth="1"/>
    <col min="29" max="29" width="0" style="87" hidden="1" customWidth="1"/>
    <col min="30" max="30" width="0" style="24" hidden="1" customWidth="1"/>
    <col min="31" max="16384" width="9.140625" style="24"/>
  </cols>
  <sheetData>
    <row r="1" spans="1:29" ht="24" customHeight="1">
      <c r="A1" s="464"/>
      <c r="B1" s="464"/>
      <c r="C1" s="464"/>
      <c r="D1" s="464"/>
      <c r="E1" s="464"/>
      <c r="F1" s="464"/>
      <c r="G1" s="464"/>
      <c r="H1" s="464"/>
      <c r="I1" s="464"/>
      <c r="J1" s="464"/>
      <c r="K1" s="464"/>
      <c r="L1" s="464"/>
      <c r="M1" s="464"/>
      <c r="N1" s="464"/>
      <c r="O1" s="464"/>
      <c r="P1" s="464"/>
      <c r="Q1" s="464"/>
      <c r="R1" s="464"/>
    </row>
    <row r="2" spans="1:29" ht="51.75" customHeight="1">
      <c r="A2" s="465" t="s">
        <v>142</v>
      </c>
      <c r="B2" s="465"/>
      <c r="C2" s="465"/>
      <c r="D2" s="465"/>
      <c r="E2" s="465"/>
      <c r="F2" s="465"/>
      <c r="G2" s="465"/>
      <c r="H2" s="465"/>
      <c r="I2" s="465"/>
      <c r="J2" s="465"/>
      <c r="K2" s="465"/>
      <c r="L2" s="465"/>
      <c r="M2" s="465"/>
      <c r="N2" s="465"/>
      <c r="O2" s="465"/>
      <c r="P2" s="465"/>
      <c r="Q2" s="465"/>
      <c r="R2" s="465"/>
    </row>
    <row r="3" spans="1:29" ht="32.25" customHeight="1">
      <c r="A3" s="435" t="str">
        <f>'B01.NTM_ĐT '!A2:P2</f>
        <v>(Kèm theo Báo cáo số 722/BC-UBND ngày 22/11/2024 của UBND huyện Na Rì)</v>
      </c>
      <c r="B3" s="435"/>
      <c r="C3" s="435"/>
      <c r="D3" s="435"/>
      <c r="E3" s="435"/>
      <c r="F3" s="435"/>
      <c r="G3" s="435"/>
      <c r="H3" s="435"/>
      <c r="I3" s="435"/>
      <c r="J3" s="435"/>
      <c r="K3" s="435"/>
      <c r="L3" s="435"/>
      <c r="M3" s="435"/>
      <c r="N3" s="435"/>
      <c r="O3" s="435"/>
      <c r="P3" s="435"/>
      <c r="Q3" s="326"/>
      <c r="R3" s="326"/>
    </row>
    <row r="4" spans="1:29" ht="16.5">
      <c r="A4" s="466" t="s">
        <v>85</v>
      </c>
      <c r="B4" s="466"/>
      <c r="C4" s="466"/>
      <c r="D4" s="466"/>
      <c r="E4" s="466"/>
      <c r="F4" s="466"/>
      <c r="G4" s="466"/>
      <c r="H4" s="466"/>
      <c r="I4" s="466"/>
      <c r="J4" s="466"/>
      <c r="K4" s="466"/>
      <c r="L4" s="466"/>
      <c r="M4" s="466"/>
      <c r="N4" s="466"/>
      <c r="O4" s="466"/>
      <c r="P4" s="466"/>
      <c r="Q4" s="466"/>
      <c r="R4" s="466"/>
    </row>
    <row r="5" spans="1:29">
      <c r="H5" s="155"/>
      <c r="I5" s="395"/>
    </row>
    <row r="6" spans="1:29" ht="22.5" customHeight="1">
      <c r="A6" s="441" t="s">
        <v>29</v>
      </c>
      <c r="B6" s="441" t="s">
        <v>125</v>
      </c>
      <c r="C6" s="442" t="s">
        <v>126</v>
      </c>
      <c r="D6" s="467"/>
      <c r="E6" s="467"/>
      <c r="F6" s="467"/>
      <c r="G6" s="467"/>
      <c r="H6" s="467"/>
      <c r="I6" s="417" t="s">
        <v>269</v>
      </c>
      <c r="J6" s="417"/>
      <c r="K6" s="417"/>
      <c r="L6" s="417"/>
      <c r="M6" s="417"/>
      <c r="N6" s="417"/>
      <c r="O6" s="417"/>
      <c r="P6" s="417"/>
      <c r="Q6" s="417"/>
      <c r="R6" s="418"/>
    </row>
    <row r="7" spans="1:29" ht="19.5" customHeight="1">
      <c r="A7" s="441"/>
      <c r="B7" s="441"/>
      <c r="C7" s="452" t="s">
        <v>46</v>
      </c>
      <c r="D7" s="442" t="s">
        <v>30</v>
      </c>
      <c r="E7" s="467"/>
      <c r="F7" s="467"/>
      <c r="G7" s="467"/>
      <c r="H7" s="443"/>
      <c r="I7" s="468" t="s">
        <v>128</v>
      </c>
      <c r="J7" s="468"/>
      <c r="K7" s="468"/>
      <c r="L7" s="468"/>
      <c r="M7" s="468"/>
      <c r="N7" s="468"/>
      <c r="O7" s="468"/>
      <c r="P7" s="468"/>
      <c r="Q7" s="448" t="s">
        <v>132</v>
      </c>
      <c r="R7" s="449" t="s">
        <v>133</v>
      </c>
    </row>
    <row r="8" spans="1:29" ht="24.75" customHeight="1">
      <c r="A8" s="441"/>
      <c r="B8" s="441"/>
      <c r="C8" s="452"/>
      <c r="D8" s="452" t="s">
        <v>144</v>
      </c>
      <c r="E8" s="452" t="s">
        <v>145</v>
      </c>
      <c r="F8" s="453" t="s">
        <v>143</v>
      </c>
      <c r="G8" s="454"/>
      <c r="H8" s="455"/>
      <c r="I8" s="459" t="s">
        <v>42</v>
      </c>
      <c r="J8" s="439" t="s">
        <v>30</v>
      </c>
      <c r="K8" s="462"/>
      <c r="L8" s="462"/>
      <c r="M8" s="462"/>
      <c r="N8" s="462"/>
      <c r="O8" s="440"/>
      <c r="P8" s="463" t="s">
        <v>44</v>
      </c>
      <c r="Q8" s="448"/>
      <c r="R8" s="450"/>
    </row>
    <row r="9" spans="1:29" ht="15.75" customHeight="1">
      <c r="A9" s="441"/>
      <c r="B9" s="441"/>
      <c r="C9" s="452"/>
      <c r="D9" s="452"/>
      <c r="E9" s="452"/>
      <c r="F9" s="456"/>
      <c r="G9" s="457"/>
      <c r="H9" s="458"/>
      <c r="I9" s="460"/>
      <c r="J9" s="438" t="s">
        <v>148</v>
      </c>
      <c r="K9" s="419" t="s">
        <v>47</v>
      </c>
      <c r="L9" s="421"/>
      <c r="M9" s="438" t="s">
        <v>272</v>
      </c>
      <c r="N9" s="439" t="s">
        <v>47</v>
      </c>
      <c r="O9" s="440"/>
      <c r="P9" s="463"/>
      <c r="Q9" s="448"/>
      <c r="R9" s="450"/>
    </row>
    <row r="10" spans="1:29" ht="23.25" customHeight="1">
      <c r="A10" s="441"/>
      <c r="B10" s="441"/>
      <c r="C10" s="452"/>
      <c r="D10" s="452"/>
      <c r="E10" s="452"/>
      <c r="F10" s="441" t="s">
        <v>42</v>
      </c>
      <c r="G10" s="442" t="s">
        <v>47</v>
      </c>
      <c r="H10" s="443"/>
      <c r="I10" s="460"/>
      <c r="J10" s="410"/>
      <c r="K10" s="444" t="s">
        <v>243</v>
      </c>
      <c r="L10" s="444" t="s">
        <v>242</v>
      </c>
      <c r="M10" s="410"/>
      <c r="N10" s="446" t="s">
        <v>243</v>
      </c>
      <c r="O10" s="446" t="s">
        <v>242</v>
      </c>
      <c r="P10" s="463"/>
      <c r="Q10" s="448"/>
      <c r="R10" s="450"/>
    </row>
    <row r="11" spans="1:29" ht="88.5" customHeight="1">
      <c r="A11" s="441"/>
      <c r="B11" s="441"/>
      <c r="C11" s="452"/>
      <c r="D11" s="452"/>
      <c r="E11" s="452"/>
      <c r="F11" s="441"/>
      <c r="G11" s="328" t="s">
        <v>146</v>
      </c>
      <c r="H11" s="328" t="s">
        <v>147</v>
      </c>
      <c r="I11" s="461"/>
      <c r="J11" s="410"/>
      <c r="K11" s="445"/>
      <c r="L11" s="445"/>
      <c r="M11" s="410"/>
      <c r="N11" s="447"/>
      <c r="O11" s="447"/>
      <c r="P11" s="463"/>
      <c r="Q11" s="448"/>
      <c r="R11" s="451"/>
    </row>
    <row r="12" spans="1:29" s="157" customFormat="1" ht="15" customHeight="1">
      <c r="A12" s="156" t="s">
        <v>39</v>
      </c>
      <c r="B12" s="156" t="s">
        <v>40</v>
      </c>
      <c r="C12" s="84" t="s">
        <v>48</v>
      </c>
      <c r="D12" s="84">
        <v>2</v>
      </c>
      <c r="E12" s="84">
        <v>3</v>
      </c>
      <c r="F12" s="84">
        <v>4</v>
      </c>
      <c r="G12" s="84">
        <v>5</v>
      </c>
      <c r="H12" s="84">
        <v>6</v>
      </c>
      <c r="I12" s="248">
        <v>7</v>
      </c>
      <c r="J12" s="248">
        <v>8</v>
      </c>
      <c r="K12" s="248"/>
      <c r="L12" s="248"/>
      <c r="M12" s="248">
        <v>9</v>
      </c>
      <c r="N12" s="197">
        <v>10</v>
      </c>
      <c r="O12" s="197">
        <v>11</v>
      </c>
      <c r="P12" s="84">
        <v>12</v>
      </c>
      <c r="Q12" s="84">
        <v>11</v>
      </c>
      <c r="R12" s="84">
        <v>12</v>
      </c>
      <c r="T12" s="158"/>
      <c r="W12" s="158"/>
      <c r="X12" s="158"/>
      <c r="Y12" s="158"/>
      <c r="Z12" s="158"/>
      <c r="AA12" s="158"/>
      <c r="AB12" s="158"/>
      <c r="AC12" s="158"/>
    </row>
    <row r="13" spans="1:29" ht="23.25" customHeight="1">
      <c r="A13" s="436" t="s">
        <v>49</v>
      </c>
      <c r="B13" s="436"/>
      <c r="C13" s="159">
        <f>C15</f>
        <v>2604185000</v>
      </c>
      <c r="D13" s="159">
        <f t="shared" ref="D13:R13" si="0">D15</f>
        <v>0</v>
      </c>
      <c r="E13" s="159">
        <f t="shared" si="0"/>
        <v>519185000</v>
      </c>
      <c r="F13" s="159">
        <f t="shared" si="0"/>
        <v>2085000000</v>
      </c>
      <c r="G13" s="159">
        <f t="shared" si="0"/>
        <v>0</v>
      </c>
      <c r="H13" s="159">
        <f t="shared" si="0"/>
        <v>2085000000</v>
      </c>
      <c r="I13" s="396">
        <f t="shared" si="0"/>
        <v>883110042</v>
      </c>
      <c r="J13" s="396">
        <f t="shared" si="0"/>
        <v>146950000</v>
      </c>
      <c r="K13" s="396"/>
      <c r="L13" s="396"/>
      <c r="M13" s="396">
        <f t="shared" si="0"/>
        <v>736160042</v>
      </c>
      <c r="N13" s="312"/>
      <c r="O13" s="312"/>
      <c r="P13" s="160">
        <f>+I13/C13*100</f>
        <v>33.911186878044383</v>
      </c>
      <c r="Q13" s="161">
        <f t="shared" si="0"/>
        <v>0</v>
      </c>
      <c r="R13" s="162">
        <f t="shared" si="0"/>
        <v>0</v>
      </c>
      <c r="S13" s="99"/>
      <c r="T13" s="100"/>
      <c r="W13" s="162"/>
      <c r="X13" s="162"/>
      <c r="Y13" s="162"/>
      <c r="Z13" s="162"/>
      <c r="AA13" s="162"/>
      <c r="AB13" s="162"/>
      <c r="AC13" s="162"/>
    </row>
    <row r="14" spans="1:29" ht="15.75" hidden="1">
      <c r="A14" s="163"/>
      <c r="B14" s="164" t="s">
        <v>119</v>
      </c>
      <c r="C14" s="165"/>
      <c r="D14" s="165"/>
      <c r="E14" s="165"/>
      <c r="F14" s="165"/>
      <c r="G14" s="165"/>
      <c r="H14" s="165"/>
      <c r="I14" s="309"/>
      <c r="J14" s="309"/>
      <c r="K14" s="309"/>
      <c r="L14" s="309"/>
      <c r="M14" s="309"/>
      <c r="N14" s="313"/>
      <c r="O14" s="313"/>
      <c r="P14" s="166"/>
      <c r="Q14" s="167"/>
      <c r="R14" s="168"/>
      <c r="W14" s="168"/>
      <c r="X14" s="168"/>
      <c r="Y14" s="168"/>
      <c r="Z14" s="168"/>
      <c r="AA14" s="168"/>
      <c r="AB14" s="168"/>
      <c r="AC14" s="168"/>
    </row>
    <row r="15" spans="1:29" ht="40.5" customHeight="1">
      <c r="A15" s="163"/>
      <c r="B15" s="169" t="s">
        <v>121</v>
      </c>
      <c r="C15" s="165">
        <f>+C16+C17+C18+C26+C28+C38+C51+C57+C64+C66+C78</f>
        <v>2604185000</v>
      </c>
      <c r="D15" s="165">
        <f t="shared" ref="D15:M15" si="1">+D16+D17+D18+D26+D28+D38+D51+D57+D64+D66+D78</f>
        <v>0</v>
      </c>
      <c r="E15" s="165">
        <f>+E16+E17+E18+E26+E28+E38+E51+E57+E64+E66+E78</f>
        <v>519185000</v>
      </c>
      <c r="F15" s="165">
        <f t="shared" si="1"/>
        <v>2085000000</v>
      </c>
      <c r="G15" s="165">
        <f t="shared" si="1"/>
        <v>0</v>
      </c>
      <c r="H15" s="165">
        <f t="shared" si="1"/>
        <v>2085000000</v>
      </c>
      <c r="I15" s="309">
        <f t="shared" si="1"/>
        <v>883110042</v>
      </c>
      <c r="J15" s="309">
        <f t="shared" si="1"/>
        <v>146950000</v>
      </c>
      <c r="K15" s="309"/>
      <c r="L15" s="309"/>
      <c r="M15" s="309">
        <f t="shared" si="1"/>
        <v>736160042</v>
      </c>
      <c r="N15" s="313"/>
      <c r="O15" s="313"/>
      <c r="P15" s="166">
        <f t="shared" ref="P15:P75" si="2">+I15/C15*100</f>
        <v>33.911186878044383</v>
      </c>
      <c r="Q15" s="170"/>
      <c r="R15" s="165"/>
      <c r="W15" s="165"/>
      <c r="X15" s="165"/>
      <c r="Y15" s="165"/>
      <c r="Z15" s="165"/>
      <c r="AA15" s="165"/>
      <c r="AB15" s="165"/>
      <c r="AC15" s="165"/>
    </row>
    <row r="16" spans="1:29" ht="64.5" customHeight="1">
      <c r="A16" s="171" t="s">
        <v>1</v>
      </c>
      <c r="B16" s="172" t="s">
        <v>263</v>
      </c>
      <c r="C16" s="173"/>
      <c r="D16" s="173"/>
      <c r="E16" s="173"/>
      <c r="F16" s="174">
        <f>SUM(G16:H16)</f>
        <v>0</v>
      </c>
      <c r="G16" s="173"/>
      <c r="H16" s="173"/>
      <c r="I16" s="397"/>
      <c r="J16" s="397"/>
      <c r="K16" s="397"/>
      <c r="L16" s="397"/>
      <c r="M16" s="397"/>
      <c r="N16" s="314"/>
      <c r="O16" s="314"/>
      <c r="P16" s="166"/>
      <c r="Q16" s="175"/>
      <c r="R16" s="173"/>
    </row>
    <row r="17" spans="1:29" ht="72.75" customHeight="1">
      <c r="A17" s="171" t="s">
        <v>13</v>
      </c>
      <c r="B17" s="172" t="s">
        <v>255</v>
      </c>
      <c r="C17" s="176"/>
      <c r="D17" s="176"/>
      <c r="E17" s="176"/>
      <c r="F17" s="174">
        <f>SUM(G17:H17)</f>
        <v>0</v>
      </c>
      <c r="G17" s="176"/>
      <c r="H17" s="176"/>
      <c r="I17" s="398"/>
      <c r="J17" s="398"/>
      <c r="K17" s="398"/>
      <c r="L17" s="398"/>
      <c r="M17" s="398"/>
      <c r="N17" s="315"/>
      <c r="O17" s="315"/>
      <c r="P17" s="166"/>
      <c r="Q17" s="177"/>
      <c r="R17" s="176"/>
    </row>
    <row r="18" spans="1:29" ht="63" customHeight="1">
      <c r="A18" s="171" t="s">
        <v>14</v>
      </c>
      <c r="B18" s="172" t="s">
        <v>51</v>
      </c>
      <c r="C18" s="176">
        <f>+C19+C20+C21+C23+C24+C25</f>
        <v>469185000</v>
      </c>
      <c r="D18" s="176">
        <f t="shared" ref="D18:M18" si="3">+D19+D20+D21+D23+D24+D25</f>
        <v>0</v>
      </c>
      <c r="E18" s="176">
        <f t="shared" si="3"/>
        <v>219185000</v>
      </c>
      <c r="F18" s="176">
        <f t="shared" si="3"/>
        <v>250000000</v>
      </c>
      <c r="G18" s="176">
        <f t="shared" si="3"/>
        <v>0</v>
      </c>
      <c r="H18" s="176">
        <f t="shared" si="3"/>
        <v>250000000</v>
      </c>
      <c r="I18" s="398">
        <f t="shared" si="3"/>
        <v>152200000</v>
      </c>
      <c r="J18" s="398">
        <f t="shared" si="3"/>
        <v>146950000</v>
      </c>
      <c r="K18" s="398">
        <f t="shared" si="3"/>
        <v>135950000</v>
      </c>
      <c r="L18" s="398">
        <f t="shared" si="3"/>
        <v>11000000</v>
      </c>
      <c r="M18" s="398">
        <f t="shared" si="3"/>
        <v>5250000</v>
      </c>
      <c r="N18" s="315"/>
      <c r="O18" s="315"/>
      <c r="P18" s="166">
        <f t="shared" si="2"/>
        <v>32.439229728145612</v>
      </c>
      <c r="Q18" s="177"/>
      <c r="R18" s="176"/>
      <c r="W18" s="178"/>
      <c r="X18" s="178"/>
      <c r="Z18" s="178"/>
      <c r="AA18" s="178"/>
      <c r="AB18" s="178"/>
    </row>
    <row r="19" spans="1:29" ht="84.75" customHeight="1">
      <c r="A19" s="163">
        <v>1</v>
      </c>
      <c r="B19" s="179" t="s">
        <v>52</v>
      </c>
      <c r="C19" s="165"/>
      <c r="D19" s="165"/>
      <c r="E19" s="165"/>
      <c r="F19" s="180">
        <f>SUM(G19:H19)</f>
        <v>0</v>
      </c>
      <c r="G19" s="165"/>
      <c r="H19" s="165"/>
      <c r="I19" s="309"/>
      <c r="J19" s="309"/>
      <c r="K19" s="309"/>
      <c r="L19" s="309"/>
      <c r="M19" s="309"/>
      <c r="N19" s="313"/>
      <c r="O19" s="313"/>
      <c r="P19" s="166"/>
      <c r="Q19" s="170"/>
      <c r="R19" s="165"/>
    </row>
    <row r="20" spans="1:29" ht="36" customHeight="1">
      <c r="A20" s="163">
        <v>2</v>
      </c>
      <c r="B20" s="179" t="s">
        <v>53</v>
      </c>
      <c r="C20" s="165"/>
      <c r="D20" s="165"/>
      <c r="E20" s="165"/>
      <c r="F20" s="180">
        <f>SUM(G20:H20)</f>
        <v>0</v>
      </c>
      <c r="G20" s="165"/>
      <c r="H20" s="165"/>
      <c r="I20" s="309"/>
      <c r="J20" s="309"/>
      <c r="K20" s="309"/>
      <c r="L20" s="309"/>
      <c r="M20" s="309"/>
      <c r="N20" s="313"/>
      <c r="O20" s="313"/>
      <c r="P20" s="166"/>
      <c r="Q20" s="170"/>
      <c r="R20" s="165"/>
    </row>
    <row r="21" spans="1:29" s="99" customFormat="1" ht="24" customHeight="1">
      <c r="A21" s="163">
        <v>3</v>
      </c>
      <c r="B21" s="179" t="s">
        <v>54</v>
      </c>
      <c r="C21" s="165">
        <f t="shared" ref="C21:O21" si="4">+C22</f>
        <v>469185000</v>
      </c>
      <c r="D21" s="165">
        <f t="shared" si="4"/>
        <v>0</v>
      </c>
      <c r="E21" s="165">
        <f t="shared" si="4"/>
        <v>219185000</v>
      </c>
      <c r="F21" s="165">
        <f t="shared" si="4"/>
        <v>250000000</v>
      </c>
      <c r="G21" s="165">
        <f t="shared" si="4"/>
        <v>0</v>
      </c>
      <c r="H21" s="165">
        <f t="shared" si="4"/>
        <v>250000000</v>
      </c>
      <c r="I21" s="309">
        <f t="shared" si="4"/>
        <v>152200000</v>
      </c>
      <c r="J21" s="309">
        <f t="shared" si="4"/>
        <v>146950000</v>
      </c>
      <c r="K21" s="309">
        <f t="shared" si="4"/>
        <v>135950000</v>
      </c>
      <c r="L21" s="309">
        <f t="shared" si="4"/>
        <v>11000000</v>
      </c>
      <c r="M21" s="309">
        <f t="shared" si="4"/>
        <v>5250000</v>
      </c>
      <c r="N21" s="313">
        <f t="shared" si="4"/>
        <v>5250000</v>
      </c>
      <c r="O21" s="313">
        <f t="shared" si="4"/>
        <v>0</v>
      </c>
      <c r="P21" s="166">
        <f t="shared" si="2"/>
        <v>32.439229728145612</v>
      </c>
      <c r="Q21" s="170"/>
      <c r="R21" s="165"/>
      <c r="T21" s="100"/>
      <c r="W21" s="165"/>
      <c r="X21" s="165"/>
      <c r="Y21" s="165"/>
      <c r="Z21" s="165"/>
      <c r="AA21" s="165"/>
      <c r="AB21" s="165"/>
      <c r="AC21" s="165"/>
    </row>
    <row r="22" spans="1:29" ht="24" customHeight="1">
      <c r="A22" s="107"/>
      <c r="B22" s="108" t="s">
        <v>184</v>
      </c>
      <c r="C22" s="180">
        <f>+D22+E22+F22</f>
        <v>469185000</v>
      </c>
      <c r="D22" s="180"/>
      <c r="E22" s="180">
        <v>219185000</v>
      </c>
      <c r="F22" s="180">
        <f>SUM(G22:H22)</f>
        <v>250000000</v>
      </c>
      <c r="G22" s="180"/>
      <c r="H22" s="180">
        <v>250000000</v>
      </c>
      <c r="I22" s="310">
        <f>+J22+M22</f>
        <v>152200000</v>
      </c>
      <c r="J22" s="310">
        <v>146950000</v>
      </c>
      <c r="K22" s="310">
        <v>135950000</v>
      </c>
      <c r="L22" s="310">
        <v>11000000</v>
      </c>
      <c r="M22" s="310">
        <v>5250000</v>
      </c>
      <c r="N22" s="316">
        <v>5250000</v>
      </c>
      <c r="O22" s="316"/>
      <c r="P22" s="166">
        <f t="shared" si="2"/>
        <v>32.439229728145612</v>
      </c>
      <c r="Q22" s="181"/>
      <c r="R22" s="180"/>
    </row>
    <row r="23" spans="1:29" ht="36.75" customHeight="1">
      <c r="A23" s="163">
        <v>4</v>
      </c>
      <c r="B23" s="179" t="s">
        <v>55</v>
      </c>
      <c r="C23" s="180">
        <f t="shared" ref="C23:C79" si="5">+D23+E23+F23</f>
        <v>0</v>
      </c>
      <c r="D23" s="165"/>
      <c r="E23" s="165"/>
      <c r="F23" s="180">
        <f t="shared" ref="F23:F56" si="6">SUM(G23:H23)</f>
        <v>0</v>
      </c>
      <c r="G23" s="165"/>
      <c r="H23" s="165"/>
      <c r="I23" s="309"/>
      <c r="J23" s="309"/>
      <c r="K23" s="309"/>
      <c r="L23" s="309"/>
      <c r="M23" s="309"/>
      <c r="N23" s="313"/>
      <c r="O23" s="313"/>
      <c r="P23" s="166"/>
      <c r="Q23" s="170"/>
      <c r="R23" s="165"/>
    </row>
    <row r="24" spans="1:29" ht="36.75" customHeight="1">
      <c r="A24" s="163">
        <v>5</v>
      </c>
      <c r="B24" s="179" t="s">
        <v>56</v>
      </c>
      <c r="C24" s="180">
        <f t="shared" si="5"/>
        <v>0</v>
      </c>
      <c r="D24" s="165"/>
      <c r="E24" s="165"/>
      <c r="F24" s="180">
        <f t="shared" si="6"/>
        <v>0</v>
      </c>
      <c r="G24" s="165"/>
      <c r="H24" s="165"/>
      <c r="I24" s="309"/>
      <c r="J24" s="309"/>
      <c r="K24" s="309"/>
      <c r="L24" s="309"/>
      <c r="M24" s="309"/>
      <c r="N24" s="313"/>
      <c r="O24" s="313"/>
      <c r="P24" s="166"/>
      <c r="Q24" s="170"/>
      <c r="R24" s="165"/>
    </row>
    <row r="25" spans="1:29" ht="77.25" customHeight="1">
      <c r="A25" s="163">
        <v>6</v>
      </c>
      <c r="B25" s="179" t="s">
        <v>57</v>
      </c>
      <c r="C25" s="165"/>
      <c r="D25" s="165"/>
      <c r="E25" s="182"/>
      <c r="F25" s="165"/>
      <c r="G25" s="165"/>
      <c r="H25" s="165"/>
      <c r="I25" s="309"/>
      <c r="J25" s="309"/>
      <c r="K25" s="309"/>
      <c r="L25" s="309"/>
      <c r="M25" s="309"/>
      <c r="N25" s="313"/>
      <c r="O25" s="313"/>
      <c r="P25" s="166"/>
      <c r="Q25" s="170"/>
      <c r="R25" s="165"/>
    </row>
    <row r="26" spans="1:29" ht="69" customHeight="1">
      <c r="A26" s="171" t="s">
        <v>16</v>
      </c>
      <c r="B26" s="172" t="s">
        <v>256</v>
      </c>
      <c r="C26" s="174">
        <f t="shared" si="5"/>
        <v>0</v>
      </c>
      <c r="D26" s="176"/>
      <c r="E26" s="176"/>
      <c r="F26" s="174">
        <f t="shared" si="6"/>
        <v>0</v>
      </c>
      <c r="G26" s="176"/>
      <c r="H26" s="176"/>
      <c r="I26" s="398"/>
      <c r="J26" s="398"/>
      <c r="K26" s="398"/>
      <c r="L26" s="398"/>
      <c r="M26" s="398"/>
      <c r="N26" s="315"/>
      <c r="O26" s="315"/>
      <c r="P26" s="183"/>
      <c r="Q26" s="177"/>
      <c r="R26" s="176"/>
    </row>
    <row r="27" spans="1:29" ht="36" customHeight="1">
      <c r="A27" s="163">
        <v>1</v>
      </c>
      <c r="B27" s="179" t="s">
        <v>58</v>
      </c>
      <c r="C27" s="180">
        <f t="shared" si="5"/>
        <v>0</v>
      </c>
      <c r="D27" s="165"/>
      <c r="E27" s="165"/>
      <c r="F27" s="180">
        <f t="shared" si="6"/>
        <v>0</v>
      </c>
      <c r="G27" s="165"/>
      <c r="H27" s="165"/>
      <c r="I27" s="309"/>
      <c r="J27" s="309"/>
      <c r="K27" s="309"/>
      <c r="L27" s="309"/>
      <c r="M27" s="309"/>
      <c r="N27" s="313"/>
      <c r="O27" s="313"/>
      <c r="P27" s="166"/>
      <c r="Q27" s="170"/>
      <c r="R27" s="165"/>
    </row>
    <row r="28" spans="1:29" ht="71.25" customHeight="1">
      <c r="A28" s="171" t="s">
        <v>20</v>
      </c>
      <c r="B28" s="172" t="s">
        <v>257</v>
      </c>
      <c r="C28" s="165">
        <f>+C29</f>
        <v>640000000</v>
      </c>
      <c r="D28" s="165">
        <f t="shared" ref="D28:O28" si="7">+D29</f>
        <v>0</v>
      </c>
      <c r="E28" s="165">
        <f t="shared" si="7"/>
        <v>0</v>
      </c>
      <c r="F28" s="165">
        <f t="shared" si="7"/>
        <v>640000000</v>
      </c>
      <c r="G28" s="165">
        <f t="shared" si="7"/>
        <v>0</v>
      </c>
      <c r="H28" s="165">
        <f t="shared" si="7"/>
        <v>640000000</v>
      </c>
      <c r="I28" s="309">
        <f t="shared" si="7"/>
        <v>640000000</v>
      </c>
      <c r="J28" s="309">
        <f t="shared" si="7"/>
        <v>0</v>
      </c>
      <c r="K28" s="309"/>
      <c r="L28" s="309"/>
      <c r="M28" s="309">
        <f t="shared" si="7"/>
        <v>640000000</v>
      </c>
      <c r="N28" s="309">
        <f t="shared" si="7"/>
        <v>614000000</v>
      </c>
      <c r="O28" s="309">
        <f t="shared" si="7"/>
        <v>26000000</v>
      </c>
      <c r="P28" s="166">
        <f t="shared" si="2"/>
        <v>100</v>
      </c>
      <c r="Q28" s="177"/>
      <c r="R28" s="176"/>
      <c r="W28" s="165"/>
      <c r="X28" s="165"/>
      <c r="Y28" s="165"/>
      <c r="Z28" s="165"/>
      <c r="AA28" s="165"/>
      <c r="AB28" s="165"/>
    </row>
    <row r="29" spans="1:29" ht="52.5" customHeight="1">
      <c r="A29" s="163">
        <v>1</v>
      </c>
      <c r="B29" s="179" t="s">
        <v>59</v>
      </c>
      <c r="C29" s="165">
        <f t="shared" ref="C29:J29" si="8">SUM(C30:C37)</f>
        <v>640000000</v>
      </c>
      <c r="D29" s="165">
        <f t="shared" si="8"/>
        <v>0</v>
      </c>
      <c r="E29" s="165">
        <f t="shared" si="8"/>
        <v>0</v>
      </c>
      <c r="F29" s="165">
        <f t="shared" si="8"/>
        <v>640000000</v>
      </c>
      <c r="G29" s="165">
        <f t="shared" si="8"/>
        <v>0</v>
      </c>
      <c r="H29" s="165">
        <f t="shared" si="8"/>
        <v>640000000</v>
      </c>
      <c r="I29" s="309">
        <f>SUM(I30:I37)</f>
        <v>640000000</v>
      </c>
      <c r="J29" s="309">
        <f t="shared" si="8"/>
        <v>0</v>
      </c>
      <c r="K29" s="309"/>
      <c r="L29" s="309"/>
      <c r="M29" s="309">
        <f>SUM(M30:M37)</f>
        <v>640000000</v>
      </c>
      <c r="N29" s="309">
        <f t="shared" ref="N29:O29" si="9">SUM(N30:N37)</f>
        <v>614000000</v>
      </c>
      <c r="O29" s="309">
        <f t="shared" si="9"/>
        <v>26000000</v>
      </c>
      <c r="P29" s="166">
        <f t="shared" si="2"/>
        <v>100</v>
      </c>
      <c r="Q29" s="170"/>
      <c r="R29" s="165"/>
      <c r="W29" s="165"/>
      <c r="X29" s="165"/>
      <c r="Y29" s="165"/>
      <c r="Z29" s="165"/>
      <c r="AA29" s="165"/>
      <c r="AB29" s="165"/>
    </row>
    <row r="30" spans="1:29" s="59" customFormat="1" ht="23.25" customHeight="1">
      <c r="A30" s="320"/>
      <c r="B30" s="321" t="s">
        <v>179</v>
      </c>
      <c r="C30" s="310">
        <f t="shared" si="5"/>
        <v>80000000</v>
      </c>
      <c r="D30" s="310"/>
      <c r="E30" s="310"/>
      <c r="F30" s="310">
        <f t="shared" si="6"/>
        <v>80000000</v>
      </c>
      <c r="G30" s="310"/>
      <c r="H30" s="310">
        <v>80000000</v>
      </c>
      <c r="I30" s="310">
        <f>SUM(J30:M30)</f>
        <v>80000000</v>
      </c>
      <c r="J30" s="310"/>
      <c r="K30" s="310"/>
      <c r="L30" s="310"/>
      <c r="M30" s="310">
        <f>SUM(N30:O30)</f>
        <v>80000000</v>
      </c>
      <c r="N30" s="310">
        <v>77000000</v>
      </c>
      <c r="O30" s="310">
        <v>3000000</v>
      </c>
      <c r="P30" s="322">
        <f t="shared" si="2"/>
        <v>100</v>
      </c>
      <c r="Q30" s="323"/>
      <c r="R30" s="310"/>
      <c r="T30" s="240"/>
      <c r="W30" s="240"/>
      <c r="X30" s="240"/>
      <c r="Y30" s="240"/>
      <c r="Z30" s="240"/>
      <c r="AA30" s="240"/>
      <c r="AB30" s="240"/>
      <c r="AC30" s="240"/>
    </row>
    <row r="31" spans="1:29" s="59" customFormat="1" ht="23.25" customHeight="1">
      <c r="A31" s="320"/>
      <c r="B31" s="321" t="s">
        <v>185</v>
      </c>
      <c r="C31" s="310">
        <f t="shared" si="5"/>
        <v>80000000</v>
      </c>
      <c r="D31" s="310"/>
      <c r="E31" s="310"/>
      <c r="F31" s="310">
        <f t="shared" si="6"/>
        <v>80000000</v>
      </c>
      <c r="G31" s="310"/>
      <c r="H31" s="310">
        <v>80000000</v>
      </c>
      <c r="I31" s="310">
        <f>SUM(J31:M31)</f>
        <v>80000000</v>
      </c>
      <c r="J31" s="310"/>
      <c r="K31" s="310"/>
      <c r="L31" s="310"/>
      <c r="M31" s="310">
        <f t="shared" ref="M31:M37" si="10">SUM(N31:O31)</f>
        <v>80000000</v>
      </c>
      <c r="N31" s="310">
        <v>76000000</v>
      </c>
      <c r="O31" s="310">
        <v>4000000</v>
      </c>
      <c r="P31" s="322">
        <f t="shared" si="2"/>
        <v>100</v>
      </c>
      <c r="Q31" s="323"/>
      <c r="R31" s="310"/>
      <c r="T31" s="240"/>
      <c r="W31" s="240"/>
      <c r="X31" s="240"/>
      <c r="Y31" s="240"/>
      <c r="Z31" s="240"/>
      <c r="AA31" s="240"/>
      <c r="AB31" s="240"/>
      <c r="AC31" s="240"/>
    </row>
    <row r="32" spans="1:29" s="59" customFormat="1" ht="23.25" customHeight="1">
      <c r="A32" s="320"/>
      <c r="B32" s="321" t="s">
        <v>181</v>
      </c>
      <c r="C32" s="310">
        <f t="shared" si="5"/>
        <v>80000000</v>
      </c>
      <c r="D32" s="310"/>
      <c r="E32" s="310"/>
      <c r="F32" s="310">
        <f t="shared" si="6"/>
        <v>80000000</v>
      </c>
      <c r="G32" s="310"/>
      <c r="H32" s="310">
        <v>80000000</v>
      </c>
      <c r="I32" s="310">
        <f t="shared" ref="I32:I37" si="11">SUM(J32:M32)</f>
        <v>80000000</v>
      </c>
      <c r="J32" s="310"/>
      <c r="K32" s="310"/>
      <c r="L32" s="310"/>
      <c r="M32" s="310">
        <f t="shared" si="10"/>
        <v>80000000</v>
      </c>
      <c r="N32" s="310">
        <v>76000000</v>
      </c>
      <c r="O32" s="310">
        <v>4000000</v>
      </c>
      <c r="P32" s="322">
        <f t="shared" si="2"/>
        <v>100</v>
      </c>
      <c r="Q32" s="323"/>
      <c r="R32" s="310"/>
      <c r="T32" s="240"/>
      <c r="W32" s="240"/>
      <c r="X32" s="240"/>
      <c r="Y32" s="240"/>
      <c r="Z32" s="240"/>
      <c r="AA32" s="240"/>
      <c r="AB32" s="240"/>
      <c r="AC32" s="240"/>
    </row>
    <row r="33" spans="1:29" ht="23.25" customHeight="1">
      <c r="A33" s="107"/>
      <c r="B33" s="108" t="s">
        <v>159</v>
      </c>
      <c r="C33" s="180">
        <f t="shared" si="5"/>
        <v>80000000</v>
      </c>
      <c r="D33" s="180"/>
      <c r="E33" s="180"/>
      <c r="F33" s="180">
        <f t="shared" si="6"/>
        <v>80000000</v>
      </c>
      <c r="G33" s="180"/>
      <c r="H33" s="180">
        <v>80000000</v>
      </c>
      <c r="I33" s="310">
        <f t="shared" si="11"/>
        <v>80000000</v>
      </c>
      <c r="J33" s="310"/>
      <c r="K33" s="310"/>
      <c r="L33" s="310"/>
      <c r="M33" s="310">
        <f t="shared" si="10"/>
        <v>80000000</v>
      </c>
      <c r="N33" s="310">
        <v>76000000</v>
      </c>
      <c r="O33" s="310">
        <v>4000000</v>
      </c>
      <c r="P33" s="184">
        <f t="shared" si="2"/>
        <v>100</v>
      </c>
      <c r="Q33" s="181"/>
      <c r="R33" s="180"/>
    </row>
    <row r="34" spans="1:29" ht="21.75" customHeight="1">
      <c r="A34" s="107"/>
      <c r="B34" s="108" t="s">
        <v>160</v>
      </c>
      <c r="C34" s="180">
        <f t="shared" si="5"/>
        <v>80000000</v>
      </c>
      <c r="D34" s="180"/>
      <c r="E34" s="180"/>
      <c r="F34" s="180">
        <f t="shared" si="6"/>
        <v>80000000</v>
      </c>
      <c r="G34" s="180"/>
      <c r="H34" s="180">
        <v>80000000</v>
      </c>
      <c r="I34" s="310">
        <f t="shared" si="11"/>
        <v>80000000</v>
      </c>
      <c r="J34" s="310"/>
      <c r="K34" s="310"/>
      <c r="L34" s="310"/>
      <c r="M34" s="310">
        <f t="shared" si="10"/>
        <v>80000000</v>
      </c>
      <c r="N34" s="310">
        <v>76000000</v>
      </c>
      <c r="O34" s="310">
        <v>4000000</v>
      </c>
      <c r="P34" s="184">
        <f t="shared" si="2"/>
        <v>100</v>
      </c>
      <c r="Q34" s="181"/>
      <c r="R34" s="180"/>
    </row>
    <row r="35" spans="1:29" ht="21.75" customHeight="1">
      <c r="A35" s="107"/>
      <c r="B35" s="108" t="s">
        <v>162</v>
      </c>
      <c r="C35" s="180">
        <f t="shared" si="5"/>
        <v>80000000</v>
      </c>
      <c r="D35" s="180"/>
      <c r="E35" s="180"/>
      <c r="F35" s="180">
        <f t="shared" si="6"/>
        <v>80000000</v>
      </c>
      <c r="G35" s="180"/>
      <c r="H35" s="180">
        <v>80000000</v>
      </c>
      <c r="I35" s="310">
        <f t="shared" si="11"/>
        <v>80000000</v>
      </c>
      <c r="J35" s="310"/>
      <c r="K35" s="310"/>
      <c r="L35" s="310"/>
      <c r="M35" s="310">
        <f t="shared" si="10"/>
        <v>80000000</v>
      </c>
      <c r="N35" s="310">
        <v>77000000</v>
      </c>
      <c r="O35" s="310">
        <v>3000000</v>
      </c>
      <c r="P35" s="166">
        <f t="shared" si="2"/>
        <v>100</v>
      </c>
      <c r="Q35" s="181"/>
      <c r="R35" s="180"/>
    </row>
    <row r="36" spans="1:29" s="59" customFormat="1" ht="21.75" customHeight="1">
      <c r="A36" s="320"/>
      <c r="B36" s="321" t="s">
        <v>186</v>
      </c>
      <c r="C36" s="310">
        <f t="shared" si="5"/>
        <v>80000000</v>
      </c>
      <c r="D36" s="310"/>
      <c r="E36" s="310"/>
      <c r="F36" s="310">
        <f t="shared" si="6"/>
        <v>80000000</v>
      </c>
      <c r="G36" s="310"/>
      <c r="H36" s="310">
        <v>80000000</v>
      </c>
      <c r="I36" s="310">
        <f t="shared" si="11"/>
        <v>80000000</v>
      </c>
      <c r="J36" s="310"/>
      <c r="K36" s="310"/>
      <c r="L36" s="310"/>
      <c r="M36" s="310">
        <f t="shared" si="10"/>
        <v>80000000</v>
      </c>
      <c r="N36" s="310">
        <v>76000000</v>
      </c>
      <c r="O36" s="310">
        <v>4000000</v>
      </c>
      <c r="P36" s="322">
        <f t="shared" si="2"/>
        <v>100</v>
      </c>
      <c r="Q36" s="323"/>
      <c r="R36" s="310"/>
      <c r="T36" s="240"/>
      <c r="W36" s="240"/>
      <c r="X36" s="240"/>
      <c r="Y36" s="240"/>
      <c r="Z36" s="240"/>
      <c r="AA36" s="240"/>
      <c r="AB36" s="240"/>
      <c r="AC36" s="240"/>
    </row>
    <row r="37" spans="1:29" ht="21.75" customHeight="1">
      <c r="A37" s="107"/>
      <c r="B37" s="108" t="s">
        <v>155</v>
      </c>
      <c r="C37" s="180">
        <f t="shared" si="5"/>
        <v>80000000</v>
      </c>
      <c r="D37" s="180"/>
      <c r="E37" s="180"/>
      <c r="F37" s="180">
        <f t="shared" si="6"/>
        <v>80000000</v>
      </c>
      <c r="G37" s="180"/>
      <c r="H37" s="180">
        <v>80000000</v>
      </c>
      <c r="I37" s="310">
        <f t="shared" si="11"/>
        <v>80000000</v>
      </c>
      <c r="J37" s="310"/>
      <c r="K37" s="310"/>
      <c r="L37" s="310"/>
      <c r="M37" s="310">
        <f t="shared" si="10"/>
        <v>80000000</v>
      </c>
      <c r="N37" s="316">
        <v>80000000</v>
      </c>
      <c r="O37" s="316">
        <v>0</v>
      </c>
      <c r="P37" s="166">
        <f t="shared" si="2"/>
        <v>100</v>
      </c>
      <c r="Q37" s="181"/>
      <c r="R37" s="180"/>
    </row>
    <row r="38" spans="1:29" ht="84" customHeight="1">
      <c r="A38" s="171" t="s">
        <v>22</v>
      </c>
      <c r="B38" s="172" t="s">
        <v>258</v>
      </c>
      <c r="C38" s="176">
        <f>+C39+C46+C47</f>
        <v>1380000000</v>
      </c>
      <c r="D38" s="176">
        <f t="shared" ref="D38:O38" si="12">+D39+D46+D47</f>
        <v>0</v>
      </c>
      <c r="E38" s="176">
        <f t="shared" si="12"/>
        <v>300000000</v>
      </c>
      <c r="F38" s="176">
        <f t="shared" si="12"/>
        <v>1080000000</v>
      </c>
      <c r="G38" s="176">
        <f t="shared" si="12"/>
        <v>0</v>
      </c>
      <c r="H38" s="176">
        <f t="shared" si="12"/>
        <v>1080000000</v>
      </c>
      <c r="I38" s="398">
        <f t="shared" si="12"/>
        <v>59963042</v>
      </c>
      <c r="J38" s="398">
        <f t="shared" si="12"/>
        <v>0</v>
      </c>
      <c r="K38" s="398">
        <f t="shared" si="12"/>
        <v>0</v>
      </c>
      <c r="L38" s="398">
        <f t="shared" si="12"/>
        <v>0</v>
      </c>
      <c r="M38" s="398">
        <f t="shared" si="12"/>
        <v>59963042</v>
      </c>
      <c r="N38" s="315">
        <f t="shared" si="12"/>
        <v>57163042</v>
      </c>
      <c r="O38" s="315">
        <f t="shared" si="12"/>
        <v>2800000</v>
      </c>
      <c r="P38" s="183">
        <f t="shared" si="2"/>
        <v>4.3451479710144927</v>
      </c>
      <c r="Q38" s="177"/>
      <c r="R38" s="176"/>
    </row>
    <row r="39" spans="1:29" ht="129.75" customHeight="1">
      <c r="A39" s="163">
        <v>1</v>
      </c>
      <c r="B39" s="179" t="s">
        <v>60</v>
      </c>
      <c r="C39" s="165">
        <f>SUM(C40:C45)</f>
        <v>1080000000</v>
      </c>
      <c r="D39" s="165">
        <f t="shared" ref="D39:O39" si="13">SUM(D40:D45)</f>
        <v>0</v>
      </c>
      <c r="E39" s="165">
        <f t="shared" si="13"/>
        <v>0</v>
      </c>
      <c r="F39" s="165">
        <f t="shared" si="13"/>
        <v>1080000000</v>
      </c>
      <c r="G39" s="165">
        <f t="shared" si="13"/>
        <v>0</v>
      </c>
      <c r="H39" s="165">
        <f t="shared" si="13"/>
        <v>1080000000</v>
      </c>
      <c r="I39" s="309">
        <f t="shared" si="13"/>
        <v>59963042</v>
      </c>
      <c r="J39" s="309">
        <f t="shared" si="13"/>
        <v>0</v>
      </c>
      <c r="K39" s="309">
        <f t="shared" si="13"/>
        <v>0</v>
      </c>
      <c r="L39" s="309">
        <f t="shared" si="13"/>
        <v>0</v>
      </c>
      <c r="M39" s="309">
        <f t="shared" si="13"/>
        <v>59963042</v>
      </c>
      <c r="N39" s="313">
        <f t="shared" si="13"/>
        <v>57163042</v>
      </c>
      <c r="O39" s="313">
        <f t="shared" si="13"/>
        <v>2800000</v>
      </c>
      <c r="P39" s="166">
        <f t="shared" si="2"/>
        <v>5.5521335185185183</v>
      </c>
      <c r="Q39" s="170"/>
      <c r="R39" s="165"/>
    </row>
    <row r="40" spans="1:29" ht="25.5" customHeight="1">
      <c r="A40" s="107"/>
      <c r="B40" s="108" t="s">
        <v>187</v>
      </c>
      <c r="C40" s="180">
        <f t="shared" si="5"/>
        <v>780000000</v>
      </c>
      <c r="D40" s="180"/>
      <c r="E40" s="180"/>
      <c r="F40" s="180">
        <f t="shared" si="6"/>
        <v>780000000</v>
      </c>
      <c r="G40" s="180"/>
      <c r="H40" s="180">
        <v>780000000</v>
      </c>
      <c r="I40" s="310">
        <f t="shared" ref="I40:I46" si="14">SUM(J40:M40)</f>
        <v>0</v>
      </c>
      <c r="J40" s="310"/>
      <c r="K40" s="310"/>
      <c r="L40" s="310"/>
      <c r="M40" s="310"/>
      <c r="N40" s="316"/>
      <c r="O40" s="316"/>
      <c r="P40" s="166">
        <f t="shared" si="2"/>
        <v>0</v>
      </c>
      <c r="Q40" s="181"/>
      <c r="R40" s="180"/>
    </row>
    <row r="41" spans="1:29" ht="25.5" customHeight="1">
      <c r="A41" s="107"/>
      <c r="B41" s="108" t="s">
        <v>181</v>
      </c>
      <c r="C41" s="180">
        <f t="shared" si="5"/>
        <v>60000000</v>
      </c>
      <c r="D41" s="180"/>
      <c r="E41" s="180"/>
      <c r="F41" s="180">
        <f t="shared" si="6"/>
        <v>60000000</v>
      </c>
      <c r="G41" s="180"/>
      <c r="H41" s="180">
        <v>60000000</v>
      </c>
      <c r="I41" s="310">
        <f t="shared" si="14"/>
        <v>59963042</v>
      </c>
      <c r="J41" s="310"/>
      <c r="K41" s="310"/>
      <c r="L41" s="310"/>
      <c r="M41" s="310">
        <f>SUM(N41:O41)</f>
        <v>59963042</v>
      </c>
      <c r="N41" s="316">
        <f>59963042-O41</f>
        <v>57163042</v>
      </c>
      <c r="O41" s="316">
        <v>2800000</v>
      </c>
      <c r="P41" s="166"/>
      <c r="Q41" s="181"/>
      <c r="R41" s="180"/>
    </row>
    <row r="42" spans="1:29" ht="25.5" customHeight="1">
      <c r="A42" s="107"/>
      <c r="B42" s="108" t="s">
        <v>151</v>
      </c>
      <c r="C42" s="180">
        <f t="shared" si="5"/>
        <v>60000000</v>
      </c>
      <c r="D42" s="180"/>
      <c r="E42" s="180"/>
      <c r="F42" s="180">
        <f t="shared" si="6"/>
        <v>60000000</v>
      </c>
      <c r="G42" s="180"/>
      <c r="H42" s="180">
        <v>60000000</v>
      </c>
      <c r="I42" s="310">
        <f t="shared" si="14"/>
        <v>0</v>
      </c>
      <c r="J42" s="310"/>
      <c r="K42" s="310"/>
      <c r="L42" s="310"/>
      <c r="M42" s="310"/>
      <c r="N42" s="316"/>
      <c r="O42" s="316"/>
      <c r="P42" s="166"/>
      <c r="Q42" s="181"/>
      <c r="R42" s="180"/>
    </row>
    <row r="43" spans="1:29" ht="25.5" customHeight="1">
      <c r="A43" s="107"/>
      <c r="B43" s="108" t="s">
        <v>163</v>
      </c>
      <c r="C43" s="180">
        <f t="shared" si="5"/>
        <v>60000000</v>
      </c>
      <c r="D43" s="180"/>
      <c r="E43" s="180"/>
      <c r="F43" s="180">
        <f t="shared" si="6"/>
        <v>60000000</v>
      </c>
      <c r="G43" s="180"/>
      <c r="H43" s="180">
        <v>60000000</v>
      </c>
      <c r="I43" s="310">
        <f t="shared" si="14"/>
        <v>0</v>
      </c>
      <c r="J43" s="310"/>
      <c r="K43" s="310"/>
      <c r="L43" s="310"/>
      <c r="M43" s="310"/>
      <c r="N43" s="316"/>
      <c r="O43" s="316"/>
      <c r="P43" s="166"/>
      <c r="Q43" s="181"/>
      <c r="R43" s="180"/>
    </row>
    <row r="44" spans="1:29" ht="25.5" customHeight="1">
      <c r="A44" s="107"/>
      <c r="B44" s="108" t="s">
        <v>237</v>
      </c>
      <c r="C44" s="180">
        <f t="shared" si="5"/>
        <v>60000000</v>
      </c>
      <c r="D44" s="180"/>
      <c r="E44" s="180"/>
      <c r="F44" s="180">
        <f t="shared" si="6"/>
        <v>60000000</v>
      </c>
      <c r="G44" s="180"/>
      <c r="H44" s="180">
        <v>60000000</v>
      </c>
      <c r="I44" s="310">
        <f t="shared" si="14"/>
        <v>0</v>
      </c>
      <c r="J44" s="310"/>
      <c r="K44" s="310"/>
      <c r="L44" s="310"/>
      <c r="M44" s="310"/>
      <c r="N44" s="316"/>
      <c r="O44" s="316"/>
      <c r="P44" s="166"/>
      <c r="Q44" s="181"/>
      <c r="R44" s="180"/>
    </row>
    <row r="45" spans="1:29" ht="25.5" customHeight="1">
      <c r="A45" s="107"/>
      <c r="B45" s="108" t="s">
        <v>161</v>
      </c>
      <c r="C45" s="180">
        <f t="shared" si="5"/>
        <v>60000000</v>
      </c>
      <c r="D45" s="180"/>
      <c r="E45" s="180"/>
      <c r="F45" s="180">
        <f t="shared" si="6"/>
        <v>60000000</v>
      </c>
      <c r="G45" s="180"/>
      <c r="H45" s="180">
        <v>60000000</v>
      </c>
      <c r="I45" s="310">
        <f t="shared" si="14"/>
        <v>0</v>
      </c>
      <c r="J45" s="310"/>
      <c r="K45" s="310"/>
      <c r="L45" s="310"/>
      <c r="M45" s="310"/>
      <c r="N45" s="316"/>
      <c r="O45" s="316"/>
      <c r="P45" s="166"/>
      <c r="Q45" s="181"/>
      <c r="R45" s="180"/>
    </row>
    <row r="46" spans="1:29" ht="33" customHeight="1">
      <c r="A46" s="163">
        <v>2</v>
      </c>
      <c r="B46" s="179" t="s">
        <v>61</v>
      </c>
      <c r="C46" s="180">
        <f>+D46+E46+F46</f>
        <v>0</v>
      </c>
      <c r="D46" s="165"/>
      <c r="E46" s="165"/>
      <c r="F46" s="180">
        <f t="shared" si="6"/>
        <v>0</v>
      </c>
      <c r="G46" s="165"/>
      <c r="H46" s="165"/>
      <c r="I46" s="310">
        <f t="shared" si="14"/>
        <v>0</v>
      </c>
      <c r="J46" s="309"/>
      <c r="K46" s="309"/>
      <c r="L46" s="309"/>
      <c r="M46" s="309"/>
      <c r="N46" s="313"/>
      <c r="O46" s="313"/>
      <c r="P46" s="166"/>
      <c r="Q46" s="170"/>
      <c r="R46" s="165"/>
    </row>
    <row r="47" spans="1:29" ht="75.75" customHeight="1">
      <c r="A47" s="163">
        <v>3</v>
      </c>
      <c r="B47" s="179" t="s">
        <v>62</v>
      </c>
      <c r="C47" s="165">
        <f>+D47+E47+F47</f>
        <v>300000000</v>
      </c>
      <c r="D47" s="165"/>
      <c r="E47" s="165">
        <v>300000000</v>
      </c>
      <c r="F47" s="180">
        <f t="shared" si="6"/>
        <v>0</v>
      </c>
      <c r="G47" s="165"/>
      <c r="H47" s="165"/>
      <c r="I47" s="309"/>
      <c r="J47" s="309"/>
      <c r="K47" s="309"/>
      <c r="L47" s="309"/>
      <c r="M47" s="309"/>
      <c r="N47" s="313"/>
      <c r="O47" s="313"/>
      <c r="P47" s="166"/>
      <c r="Q47" s="170"/>
      <c r="R47" s="165"/>
    </row>
    <row r="48" spans="1:29" ht="85.5" customHeight="1">
      <c r="A48" s="163">
        <v>4</v>
      </c>
      <c r="B48" s="179" t="s">
        <v>63</v>
      </c>
      <c r="C48" s="180">
        <f t="shared" si="5"/>
        <v>0</v>
      </c>
      <c r="D48" s="165"/>
      <c r="E48" s="165"/>
      <c r="F48" s="180">
        <f t="shared" si="6"/>
        <v>0</v>
      </c>
      <c r="G48" s="165"/>
      <c r="H48" s="165"/>
      <c r="I48" s="309"/>
      <c r="J48" s="309"/>
      <c r="K48" s="309"/>
      <c r="L48" s="309"/>
      <c r="M48" s="309"/>
      <c r="N48" s="313"/>
      <c r="O48" s="313"/>
      <c r="P48" s="166"/>
      <c r="Q48" s="170"/>
      <c r="R48" s="165"/>
    </row>
    <row r="49" spans="1:18" ht="54" customHeight="1">
      <c r="A49" s="163">
        <v>5</v>
      </c>
      <c r="B49" s="179" t="s">
        <v>64</v>
      </c>
      <c r="C49" s="180">
        <f t="shared" si="5"/>
        <v>0</v>
      </c>
      <c r="D49" s="165"/>
      <c r="E49" s="165"/>
      <c r="F49" s="180">
        <f t="shared" si="6"/>
        <v>0</v>
      </c>
      <c r="G49" s="165"/>
      <c r="H49" s="165"/>
      <c r="I49" s="309"/>
      <c r="J49" s="309"/>
      <c r="K49" s="309"/>
      <c r="L49" s="309"/>
      <c r="M49" s="309"/>
      <c r="N49" s="313"/>
      <c r="O49" s="313"/>
      <c r="P49" s="166"/>
      <c r="Q49" s="170"/>
      <c r="R49" s="165"/>
    </row>
    <row r="50" spans="1:18" ht="41.25" customHeight="1">
      <c r="A50" s="163">
        <v>6</v>
      </c>
      <c r="B50" s="179" t="s">
        <v>65</v>
      </c>
      <c r="C50" s="180">
        <f t="shared" si="5"/>
        <v>0</v>
      </c>
      <c r="D50" s="165"/>
      <c r="E50" s="165"/>
      <c r="F50" s="180">
        <f t="shared" si="6"/>
        <v>0</v>
      </c>
      <c r="G50" s="165"/>
      <c r="H50" s="165"/>
      <c r="I50" s="309"/>
      <c r="J50" s="309"/>
      <c r="K50" s="309"/>
      <c r="L50" s="309"/>
      <c r="M50" s="309"/>
      <c r="N50" s="313"/>
      <c r="O50" s="313"/>
      <c r="P50" s="166"/>
      <c r="Q50" s="170"/>
      <c r="R50" s="165"/>
    </row>
    <row r="51" spans="1:18" ht="153" customHeight="1">
      <c r="A51" s="171" t="s">
        <v>24</v>
      </c>
      <c r="B51" s="172" t="s">
        <v>259</v>
      </c>
      <c r="C51" s="174">
        <f t="shared" si="5"/>
        <v>0</v>
      </c>
      <c r="D51" s="176"/>
      <c r="E51" s="176"/>
      <c r="F51" s="174">
        <f t="shared" si="6"/>
        <v>0</v>
      </c>
      <c r="G51" s="176"/>
      <c r="H51" s="176"/>
      <c r="I51" s="398"/>
      <c r="J51" s="398"/>
      <c r="K51" s="398"/>
      <c r="L51" s="398"/>
      <c r="M51" s="398"/>
      <c r="N51" s="315"/>
      <c r="O51" s="315"/>
      <c r="P51" s="183"/>
      <c r="Q51" s="177"/>
      <c r="R51" s="176"/>
    </row>
    <row r="52" spans="1:18" ht="105" customHeight="1">
      <c r="A52" s="163">
        <v>1</v>
      </c>
      <c r="B52" s="179" t="s">
        <v>66</v>
      </c>
      <c r="C52" s="180">
        <f t="shared" si="5"/>
        <v>0</v>
      </c>
      <c r="D52" s="165"/>
      <c r="E52" s="165"/>
      <c r="F52" s="180">
        <f t="shared" si="6"/>
        <v>0</v>
      </c>
      <c r="G52" s="165"/>
      <c r="H52" s="165"/>
      <c r="I52" s="309"/>
      <c r="J52" s="309"/>
      <c r="K52" s="309"/>
      <c r="L52" s="309"/>
      <c r="M52" s="309"/>
      <c r="N52" s="313"/>
      <c r="O52" s="313"/>
      <c r="P52" s="166"/>
      <c r="Q52" s="170"/>
      <c r="R52" s="165"/>
    </row>
    <row r="53" spans="1:18" ht="66" customHeight="1">
      <c r="A53" s="163">
        <v>2</v>
      </c>
      <c r="B53" s="179" t="s">
        <v>67</v>
      </c>
      <c r="C53" s="180">
        <f t="shared" si="5"/>
        <v>0</v>
      </c>
      <c r="D53" s="165"/>
      <c r="E53" s="165"/>
      <c r="F53" s="180">
        <f t="shared" si="6"/>
        <v>0</v>
      </c>
      <c r="G53" s="165"/>
      <c r="H53" s="165"/>
      <c r="I53" s="309"/>
      <c r="J53" s="309"/>
      <c r="K53" s="309"/>
      <c r="L53" s="309"/>
      <c r="M53" s="309"/>
      <c r="N53" s="313"/>
      <c r="O53" s="313"/>
      <c r="P53" s="166"/>
      <c r="Q53" s="170"/>
      <c r="R53" s="165"/>
    </row>
    <row r="54" spans="1:18" ht="31.5">
      <c r="A54" s="163">
        <v>3</v>
      </c>
      <c r="B54" s="179" t="s">
        <v>68</v>
      </c>
      <c r="C54" s="180">
        <f t="shared" si="5"/>
        <v>0</v>
      </c>
      <c r="D54" s="165"/>
      <c r="E54" s="165"/>
      <c r="F54" s="180">
        <f t="shared" si="6"/>
        <v>0</v>
      </c>
      <c r="G54" s="165"/>
      <c r="H54" s="165"/>
      <c r="I54" s="309"/>
      <c r="J54" s="309"/>
      <c r="K54" s="309"/>
      <c r="L54" s="309"/>
      <c r="M54" s="309"/>
      <c r="N54" s="313"/>
      <c r="O54" s="313"/>
      <c r="P54" s="166"/>
      <c r="Q54" s="170"/>
      <c r="R54" s="165"/>
    </row>
    <row r="55" spans="1:18" ht="24" hidden="1" customHeight="1">
      <c r="A55" s="107"/>
      <c r="B55" s="108" t="s">
        <v>69</v>
      </c>
      <c r="C55" s="180">
        <f t="shared" si="5"/>
        <v>0</v>
      </c>
      <c r="D55" s="180"/>
      <c r="E55" s="180"/>
      <c r="F55" s="180">
        <f t="shared" si="6"/>
        <v>0</v>
      </c>
      <c r="G55" s="180"/>
      <c r="H55" s="180"/>
      <c r="I55" s="310"/>
      <c r="J55" s="310"/>
      <c r="K55" s="310"/>
      <c r="L55" s="310"/>
      <c r="M55" s="310"/>
      <c r="N55" s="316"/>
      <c r="O55" s="316"/>
      <c r="P55" s="166"/>
      <c r="Q55" s="181"/>
      <c r="R55" s="180"/>
    </row>
    <row r="56" spans="1:18" ht="59.25" customHeight="1">
      <c r="A56" s="163">
        <v>4</v>
      </c>
      <c r="B56" s="179" t="s">
        <v>70</v>
      </c>
      <c r="C56" s="180">
        <f t="shared" si="5"/>
        <v>0</v>
      </c>
      <c r="D56" s="165"/>
      <c r="E56" s="165"/>
      <c r="F56" s="180">
        <f t="shared" si="6"/>
        <v>0</v>
      </c>
      <c r="G56" s="165"/>
      <c r="H56" s="165"/>
      <c r="I56" s="309"/>
      <c r="J56" s="309"/>
      <c r="K56" s="309"/>
      <c r="L56" s="309"/>
      <c r="M56" s="309"/>
      <c r="N56" s="313"/>
      <c r="O56" s="313"/>
      <c r="P56" s="166"/>
      <c r="Q56" s="170"/>
      <c r="R56" s="165"/>
    </row>
    <row r="57" spans="1:18" ht="67.5" customHeight="1">
      <c r="A57" s="171" t="s">
        <v>26</v>
      </c>
      <c r="B57" s="172" t="s">
        <v>260</v>
      </c>
      <c r="C57" s="176">
        <f>+C58</f>
        <v>25000000</v>
      </c>
      <c r="D57" s="176">
        <f t="shared" ref="D57:M58" si="15">+D58</f>
        <v>0</v>
      </c>
      <c r="E57" s="176">
        <f t="shared" si="15"/>
        <v>0</v>
      </c>
      <c r="F57" s="176">
        <f t="shared" si="15"/>
        <v>25000000</v>
      </c>
      <c r="G57" s="176">
        <f t="shared" si="15"/>
        <v>0</v>
      </c>
      <c r="H57" s="176">
        <f t="shared" si="15"/>
        <v>25000000</v>
      </c>
      <c r="I57" s="398">
        <f t="shared" si="15"/>
        <v>0</v>
      </c>
      <c r="J57" s="398">
        <f t="shared" si="15"/>
        <v>0</v>
      </c>
      <c r="K57" s="398"/>
      <c r="L57" s="398"/>
      <c r="M57" s="398">
        <f t="shared" si="15"/>
        <v>0</v>
      </c>
      <c r="N57" s="315"/>
      <c r="O57" s="315"/>
      <c r="P57" s="183">
        <f t="shared" si="2"/>
        <v>0</v>
      </c>
      <c r="Q57" s="177"/>
      <c r="R57" s="176"/>
    </row>
    <row r="58" spans="1:18" ht="152.25" customHeight="1">
      <c r="A58" s="163">
        <v>1</v>
      </c>
      <c r="B58" s="179" t="s">
        <v>71</v>
      </c>
      <c r="C58" s="165">
        <f>+C59</f>
        <v>25000000</v>
      </c>
      <c r="D58" s="165">
        <f t="shared" si="15"/>
        <v>0</v>
      </c>
      <c r="E58" s="165">
        <f t="shared" si="15"/>
        <v>0</v>
      </c>
      <c r="F58" s="165">
        <f t="shared" si="15"/>
        <v>25000000</v>
      </c>
      <c r="G58" s="165">
        <f t="shared" si="15"/>
        <v>0</v>
      </c>
      <c r="H58" s="165">
        <f t="shared" si="15"/>
        <v>25000000</v>
      </c>
      <c r="I58" s="309">
        <f t="shared" si="15"/>
        <v>0</v>
      </c>
      <c r="J58" s="309">
        <f t="shared" si="15"/>
        <v>0</v>
      </c>
      <c r="K58" s="309"/>
      <c r="L58" s="309"/>
      <c r="M58" s="309">
        <f t="shared" si="15"/>
        <v>0</v>
      </c>
      <c r="N58" s="313"/>
      <c r="O58" s="313"/>
      <c r="P58" s="166">
        <f t="shared" si="2"/>
        <v>0</v>
      </c>
      <c r="Q58" s="170"/>
      <c r="R58" s="165"/>
    </row>
    <row r="59" spans="1:18" ht="15.75">
      <c r="A59" s="107"/>
      <c r="B59" s="108" t="s">
        <v>188</v>
      </c>
      <c r="C59" s="180">
        <f t="shared" si="5"/>
        <v>25000000</v>
      </c>
      <c r="D59" s="180"/>
      <c r="E59" s="180"/>
      <c r="F59" s="180">
        <f>SUM(G59:H59)</f>
        <v>25000000</v>
      </c>
      <c r="G59" s="180"/>
      <c r="H59" s="180">
        <v>25000000</v>
      </c>
      <c r="I59" s="310"/>
      <c r="J59" s="310"/>
      <c r="K59" s="310"/>
      <c r="L59" s="310"/>
      <c r="M59" s="310"/>
      <c r="N59" s="316"/>
      <c r="O59" s="316"/>
      <c r="P59" s="166">
        <f t="shared" si="2"/>
        <v>0</v>
      </c>
      <c r="Q59" s="181"/>
      <c r="R59" s="180"/>
    </row>
    <row r="60" spans="1:18" ht="111.75" customHeight="1">
      <c r="A60" s="163">
        <v>2</v>
      </c>
      <c r="B60" s="179" t="s">
        <v>72</v>
      </c>
      <c r="C60" s="180">
        <f t="shared" si="5"/>
        <v>0</v>
      </c>
      <c r="D60" s="165"/>
      <c r="E60" s="165"/>
      <c r="F60" s="180">
        <f t="shared" ref="F60:F79" si="16">SUM(G60:H60)</f>
        <v>0</v>
      </c>
      <c r="G60" s="165"/>
      <c r="H60" s="165"/>
      <c r="I60" s="309"/>
      <c r="J60" s="309"/>
      <c r="K60" s="309"/>
      <c r="L60" s="309"/>
      <c r="M60" s="309"/>
      <c r="N60" s="313"/>
      <c r="O60" s="313"/>
      <c r="P60" s="166"/>
      <c r="Q60" s="170"/>
      <c r="R60" s="165"/>
    </row>
    <row r="61" spans="1:18" ht="35.25" customHeight="1">
      <c r="A61" s="163">
        <v>3</v>
      </c>
      <c r="B61" s="179" t="s">
        <v>73</v>
      </c>
      <c r="C61" s="180">
        <f t="shared" si="5"/>
        <v>0</v>
      </c>
      <c r="D61" s="165"/>
      <c r="E61" s="165"/>
      <c r="F61" s="180">
        <f t="shared" si="16"/>
        <v>0</v>
      </c>
      <c r="G61" s="165"/>
      <c r="H61" s="165"/>
      <c r="I61" s="309"/>
      <c r="J61" s="309"/>
      <c r="K61" s="309"/>
      <c r="L61" s="309"/>
      <c r="M61" s="309"/>
      <c r="N61" s="313"/>
      <c r="O61" s="313"/>
      <c r="P61" s="166"/>
      <c r="Q61" s="170"/>
      <c r="R61" s="165"/>
    </row>
    <row r="62" spans="1:18" ht="69" customHeight="1">
      <c r="A62" s="163">
        <v>4</v>
      </c>
      <c r="B62" s="179" t="s">
        <v>74</v>
      </c>
      <c r="C62" s="180">
        <f t="shared" si="5"/>
        <v>0</v>
      </c>
      <c r="D62" s="165"/>
      <c r="E62" s="165"/>
      <c r="F62" s="180">
        <f t="shared" si="16"/>
        <v>0</v>
      </c>
      <c r="G62" s="165"/>
      <c r="H62" s="165"/>
      <c r="I62" s="309"/>
      <c r="J62" s="309"/>
      <c r="K62" s="309"/>
      <c r="L62" s="309"/>
      <c r="M62" s="309"/>
      <c r="N62" s="313"/>
      <c r="O62" s="313"/>
      <c r="P62" s="166"/>
      <c r="Q62" s="170"/>
      <c r="R62" s="165"/>
    </row>
    <row r="63" spans="1:18" ht="66.75" customHeight="1">
      <c r="A63" s="163">
        <v>5</v>
      </c>
      <c r="B63" s="179" t="s">
        <v>75</v>
      </c>
      <c r="C63" s="180">
        <f t="shared" si="5"/>
        <v>0</v>
      </c>
      <c r="D63" s="165"/>
      <c r="E63" s="165"/>
      <c r="F63" s="180">
        <f t="shared" si="16"/>
        <v>0</v>
      </c>
      <c r="G63" s="165"/>
      <c r="H63" s="165"/>
      <c r="I63" s="309"/>
      <c r="J63" s="309"/>
      <c r="K63" s="309"/>
      <c r="L63" s="309"/>
      <c r="M63" s="309"/>
      <c r="N63" s="313"/>
      <c r="O63" s="313"/>
      <c r="P63" s="166"/>
      <c r="Q63" s="170"/>
      <c r="R63" s="165"/>
    </row>
    <row r="64" spans="1:18" ht="39.75" customHeight="1">
      <c r="A64" s="171" t="s">
        <v>76</v>
      </c>
      <c r="B64" s="172" t="s">
        <v>261</v>
      </c>
      <c r="C64" s="174">
        <f t="shared" si="5"/>
        <v>0</v>
      </c>
      <c r="D64" s="176"/>
      <c r="E64" s="176"/>
      <c r="F64" s="174">
        <f t="shared" si="16"/>
        <v>0</v>
      </c>
      <c r="G64" s="176"/>
      <c r="H64" s="176"/>
      <c r="I64" s="398"/>
      <c r="J64" s="398"/>
      <c r="K64" s="398"/>
      <c r="L64" s="398"/>
      <c r="M64" s="398"/>
      <c r="N64" s="315"/>
      <c r="O64" s="315"/>
      <c r="P64" s="183"/>
      <c r="Q64" s="177"/>
      <c r="R64" s="176"/>
    </row>
    <row r="65" spans="1:28" ht="15.75">
      <c r="A65" s="107" t="s">
        <v>41</v>
      </c>
      <c r="B65" s="108" t="s">
        <v>77</v>
      </c>
      <c r="C65" s="180">
        <f t="shared" si="5"/>
        <v>0</v>
      </c>
      <c r="D65" s="180"/>
      <c r="E65" s="180"/>
      <c r="F65" s="180">
        <f t="shared" si="16"/>
        <v>0</v>
      </c>
      <c r="G65" s="180"/>
      <c r="H65" s="180"/>
      <c r="I65" s="310"/>
      <c r="J65" s="310"/>
      <c r="K65" s="310"/>
      <c r="L65" s="310"/>
      <c r="M65" s="310"/>
      <c r="N65" s="316"/>
      <c r="O65" s="316"/>
      <c r="P65" s="166"/>
      <c r="Q65" s="181"/>
      <c r="R65" s="180"/>
    </row>
    <row r="66" spans="1:28" ht="100.5" customHeight="1">
      <c r="A66" s="171" t="s">
        <v>78</v>
      </c>
      <c r="B66" s="185" t="s">
        <v>262</v>
      </c>
      <c r="C66" s="186">
        <f>+C67</f>
        <v>90000000</v>
      </c>
      <c r="D66" s="186">
        <f t="shared" ref="D66:O66" si="17">+D67</f>
        <v>0</v>
      </c>
      <c r="E66" s="186">
        <f t="shared" si="17"/>
        <v>0</v>
      </c>
      <c r="F66" s="186">
        <f t="shared" si="17"/>
        <v>90000000</v>
      </c>
      <c r="G66" s="186">
        <f t="shared" si="17"/>
        <v>0</v>
      </c>
      <c r="H66" s="186">
        <f t="shared" si="17"/>
        <v>90000000</v>
      </c>
      <c r="I66" s="399">
        <f t="shared" si="17"/>
        <v>30947000</v>
      </c>
      <c r="J66" s="399">
        <f t="shared" si="17"/>
        <v>0</v>
      </c>
      <c r="K66" s="399"/>
      <c r="L66" s="399"/>
      <c r="M66" s="399">
        <f t="shared" si="17"/>
        <v>30947000</v>
      </c>
      <c r="N66" s="317">
        <f t="shared" si="17"/>
        <v>30447000</v>
      </c>
      <c r="O66" s="317">
        <f t="shared" si="17"/>
        <v>500000</v>
      </c>
      <c r="P66" s="187">
        <f t="shared" si="2"/>
        <v>34.385555555555555</v>
      </c>
      <c r="Q66" s="177"/>
      <c r="R66" s="176"/>
      <c r="W66" s="165"/>
      <c r="X66" s="165"/>
      <c r="Y66" s="165"/>
      <c r="Z66" s="165"/>
      <c r="AA66" s="165"/>
      <c r="AB66" s="165"/>
    </row>
    <row r="67" spans="1:28" ht="78.75">
      <c r="A67" s="163">
        <v>1</v>
      </c>
      <c r="B67" s="179" t="s">
        <v>79</v>
      </c>
      <c r="C67" s="165">
        <f t="shared" si="5"/>
        <v>90000000</v>
      </c>
      <c r="D67" s="165"/>
      <c r="E67" s="165"/>
      <c r="F67" s="165">
        <f t="shared" ref="F67:O67" si="18">SUM(F68:F75)</f>
        <v>90000000</v>
      </c>
      <c r="G67" s="165">
        <f t="shared" si="18"/>
        <v>0</v>
      </c>
      <c r="H67" s="165">
        <f t="shared" si="18"/>
        <v>90000000</v>
      </c>
      <c r="I67" s="309">
        <f t="shared" si="18"/>
        <v>30947000</v>
      </c>
      <c r="J67" s="309">
        <f t="shared" si="18"/>
        <v>0</v>
      </c>
      <c r="K67" s="309"/>
      <c r="L67" s="309"/>
      <c r="M67" s="309">
        <f t="shared" si="18"/>
        <v>30947000</v>
      </c>
      <c r="N67" s="313">
        <f t="shared" si="18"/>
        <v>30447000</v>
      </c>
      <c r="O67" s="313">
        <f t="shared" si="18"/>
        <v>500000</v>
      </c>
      <c r="P67" s="166">
        <f t="shared" si="2"/>
        <v>34.385555555555555</v>
      </c>
      <c r="Q67" s="170"/>
      <c r="R67" s="165"/>
      <c r="W67" s="165"/>
      <c r="X67" s="165"/>
      <c r="Y67" s="165"/>
      <c r="Z67" s="165"/>
      <c r="AA67" s="165"/>
      <c r="AB67" s="165"/>
    </row>
    <row r="68" spans="1:28" ht="15.75">
      <c r="A68" s="107"/>
      <c r="B68" s="108" t="s">
        <v>184</v>
      </c>
      <c r="C68" s="180">
        <f t="shared" si="5"/>
        <v>55000000</v>
      </c>
      <c r="D68" s="180"/>
      <c r="E68" s="180"/>
      <c r="F68" s="180">
        <f t="shared" si="16"/>
        <v>55000000</v>
      </c>
      <c r="G68" s="180"/>
      <c r="H68" s="180">
        <v>55000000</v>
      </c>
      <c r="I68" s="310">
        <f>SUM(J68:M68)</f>
        <v>30947000</v>
      </c>
      <c r="J68" s="310"/>
      <c r="K68" s="310"/>
      <c r="L68" s="310"/>
      <c r="M68" s="310">
        <f>SUM(N68:O68)</f>
        <v>30947000</v>
      </c>
      <c r="N68" s="316">
        <v>30447000</v>
      </c>
      <c r="O68" s="316">
        <v>500000</v>
      </c>
      <c r="P68" s="166">
        <f t="shared" si="2"/>
        <v>56.267272727272733</v>
      </c>
      <c r="Q68" s="181"/>
      <c r="R68" s="180"/>
    </row>
    <row r="69" spans="1:28" ht="15.75">
      <c r="A69" s="107"/>
      <c r="B69" s="108" t="s">
        <v>155</v>
      </c>
      <c r="C69" s="180">
        <f t="shared" si="5"/>
        <v>5000000</v>
      </c>
      <c r="D69" s="180"/>
      <c r="E69" s="180"/>
      <c r="F69" s="180">
        <f t="shared" si="16"/>
        <v>5000000</v>
      </c>
      <c r="G69" s="180"/>
      <c r="H69" s="180">
        <v>5000000</v>
      </c>
      <c r="I69" s="310"/>
      <c r="J69" s="310"/>
      <c r="K69" s="310"/>
      <c r="L69" s="310"/>
      <c r="M69" s="310"/>
      <c r="N69" s="316"/>
      <c r="O69" s="316"/>
      <c r="P69" s="166">
        <f t="shared" si="2"/>
        <v>0</v>
      </c>
      <c r="Q69" s="181"/>
      <c r="R69" s="180"/>
    </row>
    <row r="70" spans="1:28" ht="15.75">
      <c r="A70" s="107"/>
      <c r="B70" s="108" t="s">
        <v>179</v>
      </c>
      <c r="C70" s="180">
        <f t="shared" si="5"/>
        <v>5000000</v>
      </c>
      <c r="D70" s="180"/>
      <c r="E70" s="180"/>
      <c r="F70" s="180">
        <f t="shared" si="16"/>
        <v>5000000</v>
      </c>
      <c r="G70" s="180"/>
      <c r="H70" s="180">
        <v>5000000</v>
      </c>
      <c r="I70" s="310"/>
      <c r="J70" s="310"/>
      <c r="K70" s="310"/>
      <c r="L70" s="310"/>
      <c r="M70" s="310"/>
      <c r="N70" s="316"/>
      <c r="O70" s="316"/>
      <c r="P70" s="166">
        <f t="shared" si="2"/>
        <v>0</v>
      </c>
      <c r="Q70" s="181"/>
      <c r="R70" s="180"/>
    </row>
    <row r="71" spans="1:28" ht="15.75">
      <c r="A71" s="107"/>
      <c r="B71" s="108" t="s">
        <v>181</v>
      </c>
      <c r="C71" s="180">
        <f t="shared" si="5"/>
        <v>5000000</v>
      </c>
      <c r="D71" s="180"/>
      <c r="E71" s="180"/>
      <c r="F71" s="180">
        <f t="shared" si="16"/>
        <v>5000000</v>
      </c>
      <c r="G71" s="180"/>
      <c r="H71" s="180">
        <v>5000000</v>
      </c>
      <c r="I71" s="310"/>
      <c r="J71" s="310"/>
      <c r="K71" s="310"/>
      <c r="L71" s="310"/>
      <c r="M71" s="310"/>
      <c r="N71" s="316"/>
      <c r="O71" s="316"/>
      <c r="P71" s="166">
        <f t="shared" si="2"/>
        <v>0</v>
      </c>
      <c r="Q71" s="181"/>
      <c r="R71" s="180"/>
    </row>
    <row r="72" spans="1:28" ht="15.75">
      <c r="A72" s="107"/>
      <c r="B72" s="108" t="s">
        <v>159</v>
      </c>
      <c r="C72" s="180">
        <f t="shared" si="5"/>
        <v>5000000</v>
      </c>
      <c r="D72" s="180"/>
      <c r="E72" s="180"/>
      <c r="F72" s="180">
        <f t="shared" si="16"/>
        <v>5000000</v>
      </c>
      <c r="G72" s="180"/>
      <c r="H72" s="180">
        <v>5000000</v>
      </c>
      <c r="I72" s="310"/>
      <c r="J72" s="310"/>
      <c r="K72" s="310"/>
      <c r="L72" s="310"/>
      <c r="M72" s="310"/>
      <c r="N72" s="316"/>
      <c r="O72" s="316"/>
      <c r="P72" s="166">
        <f t="shared" si="2"/>
        <v>0</v>
      </c>
      <c r="Q72" s="181"/>
      <c r="R72" s="180"/>
    </row>
    <row r="73" spans="1:28" ht="15.75">
      <c r="A73" s="107"/>
      <c r="B73" s="108" t="s">
        <v>162</v>
      </c>
      <c r="C73" s="180">
        <f t="shared" si="5"/>
        <v>5000000</v>
      </c>
      <c r="D73" s="180"/>
      <c r="E73" s="180"/>
      <c r="F73" s="180">
        <f t="shared" si="16"/>
        <v>5000000</v>
      </c>
      <c r="G73" s="180"/>
      <c r="H73" s="180">
        <v>5000000</v>
      </c>
      <c r="I73" s="310"/>
      <c r="J73" s="310"/>
      <c r="K73" s="310"/>
      <c r="L73" s="310"/>
      <c r="M73" s="310"/>
      <c r="N73" s="316"/>
      <c r="O73" s="316"/>
      <c r="P73" s="166">
        <f t="shared" si="2"/>
        <v>0</v>
      </c>
      <c r="Q73" s="181"/>
      <c r="R73" s="180"/>
    </row>
    <row r="74" spans="1:28" ht="15.75">
      <c r="A74" s="107"/>
      <c r="B74" s="108" t="s">
        <v>189</v>
      </c>
      <c r="C74" s="180">
        <f t="shared" si="5"/>
        <v>5000000</v>
      </c>
      <c r="D74" s="180"/>
      <c r="E74" s="180"/>
      <c r="F74" s="180">
        <f t="shared" si="16"/>
        <v>5000000</v>
      </c>
      <c r="G74" s="180"/>
      <c r="H74" s="180">
        <v>5000000</v>
      </c>
      <c r="I74" s="310"/>
      <c r="J74" s="310"/>
      <c r="K74" s="310"/>
      <c r="L74" s="310"/>
      <c r="M74" s="310"/>
      <c r="N74" s="316"/>
      <c r="O74" s="316"/>
      <c r="P74" s="166">
        <f t="shared" si="2"/>
        <v>0</v>
      </c>
      <c r="Q74" s="181"/>
      <c r="R74" s="180"/>
    </row>
    <row r="75" spans="1:28" ht="15.75">
      <c r="A75" s="107"/>
      <c r="B75" s="108" t="s">
        <v>186</v>
      </c>
      <c r="C75" s="180">
        <f t="shared" si="5"/>
        <v>5000000</v>
      </c>
      <c r="D75" s="180"/>
      <c r="E75" s="180"/>
      <c r="F75" s="180">
        <f t="shared" si="16"/>
        <v>5000000</v>
      </c>
      <c r="G75" s="180"/>
      <c r="H75" s="180">
        <v>5000000</v>
      </c>
      <c r="I75" s="310"/>
      <c r="J75" s="310"/>
      <c r="K75" s="310"/>
      <c r="L75" s="310"/>
      <c r="M75" s="310"/>
      <c r="N75" s="316"/>
      <c r="O75" s="316"/>
      <c r="P75" s="166">
        <f t="shared" si="2"/>
        <v>0</v>
      </c>
      <c r="Q75" s="181"/>
      <c r="R75" s="180"/>
    </row>
    <row r="76" spans="1:28" ht="47.25">
      <c r="A76" s="163">
        <v>2</v>
      </c>
      <c r="B76" s="179" t="s">
        <v>80</v>
      </c>
      <c r="C76" s="180">
        <f t="shared" si="5"/>
        <v>0</v>
      </c>
      <c r="D76" s="165"/>
      <c r="E76" s="165"/>
      <c r="F76" s="180">
        <f t="shared" si="16"/>
        <v>0</v>
      </c>
      <c r="G76" s="165"/>
      <c r="H76" s="165"/>
      <c r="I76" s="309"/>
      <c r="J76" s="309"/>
      <c r="K76" s="309"/>
      <c r="L76" s="309"/>
      <c r="M76" s="309"/>
      <c r="N76" s="313"/>
      <c r="O76" s="313"/>
      <c r="P76" s="166"/>
      <c r="Q76" s="170"/>
      <c r="R76" s="165"/>
    </row>
    <row r="77" spans="1:28" ht="47.25">
      <c r="A77" s="163">
        <v>3</v>
      </c>
      <c r="B77" s="179" t="s">
        <v>81</v>
      </c>
      <c r="C77" s="180">
        <f t="shared" si="5"/>
        <v>0</v>
      </c>
      <c r="D77" s="165"/>
      <c r="E77" s="165"/>
      <c r="F77" s="180">
        <f t="shared" si="16"/>
        <v>0</v>
      </c>
      <c r="G77" s="165"/>
      <c r="H77" s="165"/>
      <c r="I77" s="309"/>
      <c r="J77" s="309"/>
      <c r="K77" s="309"/>
      <c r="L77" s="309"/>
      <c r="M77" s="309"/>
      <c r="N77" s="313"/>
      <c r="O77" s="313"/>
      <c r="P77" s="166"/>
      <c r="Q77" s="170"/>
      <c r="R77" s="165"/>
    </row>
    <row r="78" spans="1:28" ht="39" hidden="1" customHeight="1">
      <c r="A78" s="171" t="s">
        <v>82</v>
      </c>
      <c r="B78" s="172" t="s">
        <v>83</v>
      </c>
      <c r="C78" s="180">
        <f t="shared" si="5"/>
        <v>0</v>
      </c>
      <c r="D78" s="173"/>
      <c r="E78" s="173"/>
      <c r="F78" s="180">
        <f t="shared" si="16"/>
        <v>0</v>
      </c>
      <c r="G78" s="173"/>
      <c r="H78" s="173"/>
      <c r="I78" s="397"/>
      <c r="J78" s="397"/>
      <c r="K78" s="397"/>
      <c r="L78" s="397"/>
      <c r="M78" s="397"/>
      <c r="N78" s="314"/>
      <c r="O78" s="314"/>
      <c r="P78" s="166"/>
      <c r="Q78" s="175"/>
      <c r="R78" s="173"/>
    </row>
    <row r="79" spans="1:28" ht="15.75" hidden="1">
      <c r="A79" s="163">
        <v>12</v>
      </c>
      <c r="B79" s="179" t="s">
        <v>84</v>
      </c>
      <c r="C79" s="180">
        <f t="shared" si="5"/>
        <v>0</v>
      </c>
      <c r="D79" s="165"/>
      <c r="E79" s="165"/>
      <c r="F79" s="180">
        <f t="shared" si="16"/>
        <v>0</v>
      </c>
      <c r="G79" s="165"/>
      <c r="H79" s="165"/>
      <c r="I79" s="309"/>
      <c r="J79" s="309"/>
      <c r="K79" s="309"/>
      <c r="L79" s="309"/>
      <c r="M79" s="309"/>
      <c r="N79" s="313"/>
      <c r="O79" s="313"/>
      <c r="P79" s="166"/>
      <c r="Q79" s="170"/>
      <c r="R79" s="165"/>
    </row>
    <row r="80" spans="1:28">
      <c r="A80" s="188"/>
      <c r="B80" s="188"/>
      <c r="C80" s="188"/>
      <c r="D80" s="188"/>
      <c r="E80" s="188"/>
      <c r="F80" s="188"/>
      <c r="G80" s="188"/>
      <c r="H80" s="188"/>
      <c r="I80" s="400"/>
      <c r="J80" s="400"/>
      <c r="K80" s="400"/>
      <c r="L80" s="400"/>
      <c r="M80" s="400"/>
      <c r="N80" s="318"/>
      <c r="O80" s="318"/>
      <c r="P80" s="188"/>
    </row>
    <row r="81" spans="1:29" s="80" customFormat="1" ht="15.75">
      <c r="A81" s="437"/>
      <c r="B81" s="437"/>
      <c r="C81" s="437"/>
      <c r="D81" s="437"/>
      <c r="E81" s="437"/>
      <c r="F81" s="324"/>
      <c r="G81" s="324"/>
      <c r="H81" s="324"/>
      <c r="I81" s="401"/>
      <c r="J81" s="401"/>
      <c r="K81" s="401"/>
      <c r="L81" s="401"/>
      <c r="M81" s="401"/>
      <c r="N81" s="319"/>
      <c r="O81" s="319"/>
      <c r="P81" s="324"/>
      <c r="Q81" s="324"/>
      <c r="R81" s="324"/>
      <c r="T81" s="79"/>
      <c r="W81" s="79"/>
      <c r="X81" s="79"/>
      <c r="Y81" s="79"/>
      <c r="Z81" s="79"/>
      <c r="AA81" s="79"/>
      <c r="AB81" s="79"/>
      <c r="AC81" s="79"/>
    </row>
  </sheetData>
  <mergeCells count="31">
    <mergeCell ref="A1:R1"/>
    <mergeCell ref="A2:R2"/>
    <mergeCell ref="A4:R4"/>
    <mergeCell ref="A6:A11"/>
    <mergeCell ref="B6:B11"/>
    <mergeCell ref="C6:H6"/>
    <mergeCell ref="I6:R6"/>
    <mergeCell ref="C7:C11"/>
    <mergeCell ref="D7:H7"/>
    <mergeCell ref="I7:P7"/>
    <mergeCell ref="Q7:Q11"/>
    <mergeCell ref="R7:R11"/>
    <mergeCell ref="D8:D11"/>
    <mergeCell ref="E8:E11"/>
    <mergeCell ref="F8:H9"/>
    <mergeCell ref="I8:I11"/>
    <mergeCell ref="J8:O8"/>
    <mergeCell ref="P8:P11"/>
    <mergeCell ref="J9:J11"/>
    <mergeCell ref="K9:L9"/>
    <mergeCell ref="A13:B13"/>
    <mergeCell ref="A81:E81"/>
    <mergeCell ref="A3:P3"/>
    <mergeCell ref="M9:M11"/>
    <mergeCell ref="N9:O9"/>
    <mergeCell ref="F10:F11"/>
    <mergeCell ref="G10:H10"/>
    <mergeCell ref="K10:K11"/>
    <mergeCell ref="L10:L11"/>
    <mergeCell ref="N10:N11"/>
    <mergeCell ref="O10:O11"/>
  </mergeCells>
  <pageMargins left="0.31" right="0.16" top="0.34" bottom="0.23" header="0.3" footer="0.2"/>
  <pageSetup paperSize="8" orientation="landscape" verticalDpi="0" r:id="rId1"/>
</worksheet>
</file>

<file path=xl/worksheets/sheet6.xml><?xml version="1.0" encoding="utf-8"?>
<worksheet xmlns="http://schemas.openxmlformats.org/spreadsheetml/2006/main" xmlns:r="http://schemas.openxmlformats.org/officeDocument/2006/relationships">
  <sheetPr>
    <tabColor rgb="FF00B050"/>
  </sheetPr>
  <dimension ref="A1:AW110"/>
  <sheetViews>
    <sheetView zoomScale="85" zoomScaleNormal="85" zoomScalePageLayoutView="85" workbookViewId="0">
      <selection activeCell="AK10" sqref="AK10:AN10"/>
    </sheetView>
  </sheetViews>
  <sheetFormatPr defaultColWidth="9.140625" defaultRowHeight="15"/>
  <cols>
    <col min="1" max="1" width="6.42578125" style="24" customWidth="1"/>
    <col min="2" max="2" width="48.7109375" style="85" customWidth="1"/>
    <col min="3" max="3" width="17.85546875" style="85" customWidth="1"/>
    <col min="4" max="4" width="18.7109375" style="85" customWidth="1"/>
    <col min="5" max="6" width="18.7109375" style="85" hidden="1" customWidth="1"/>
    <col min="7" max="7" width="21" style="85" hidden="1" customWidth="1"/>
    <col min="8" max="12" width="16" style="85" hidden="1" customWidth="1"/>
    <col min="13" max="13" width="17.85546875" style="85" customWidth="1"/>
    <col min="14" max="14" width="18.28515625" style="85" hidden="1" customWidth="1"/>
    <col min="15" max="15" width="16.85546875" style="85" hidden="1" customWidth="1"/>
    <col min="16" max="16" width="17.7109375" style="85" hidden="1" customWidth="1"/>
    <col min="17" max="17" width="16.85546875" style="85" hidden="1" customWidth="1"/>
    <col min="18" max="18" width="19.85546875" style="85" hidden="1" customWidth="1"/>
    <col min="19" max="19" width="16.85546875" style="85" hidden="1" customWidth="1"/>
    <col min="20" max="20" width="18.28515625" style="85" hidden="1" customWidth="1"/>
    <col min="21" max="21" width="16.85546875" style="85" hidden="1" customWidth="1"/>
    <col min="22" max="22" width="18" style="85" customWidth="1"/>
    <col min="23" max="23" width="1.42578125" style="85" hidden="1" customWidth="1"/>
    <col min="24" max="24" width="16.85546875" style="85" hidden="1" customWidth="1"/>
    <col min="25" max="25" width="18.5703125" style="85" hidden="1" customWidth="1"/>
    <col min="26" max="26" width="16.5703125" style="85" hidden="1" customWidth="1"/>
    <col min="27" max="27" width="18" style="85" hidden="1" customWidth="1"/>
    <col min="28" max="28" width="16.5703125" style="85" hidden="1" customWidth="1"/>
    <col min="29" max="29" width="18.28515625" style="85" hidden="1" customWidth="1"/>
    <col min="30" max="30" width="16.5703125" style="85" hidden="1" customWidth="1"/>
    <col min="31" max="31" width="19.42578125" style="85" hidden="1" customWidth="1"/>
    <col min="32" max="32" width="16.5703125" style="85" hidden="1" customWidth="1"/>
    <col min="33" max="33" width="17.140625" style="212" customWidth="1"/>
    <col min="34" max="34" width="15.85546875" style="85" customWidth="1"/>
    <col min="35" max="35" width="14.7109375" style="85" hidden="1" customWidth="1"/>
    <col min="36" max="36" width="13.7109375" style="85" hidden="1" customWidth="1"/>
    <col min="37" max="37" width="17.7109375" style="212" customWidth="1"/>
    <col min="38" max="38" width="17.28515625" style="212" hidden="1" customWidth="1"/>
    <col min="39" max="39" width="15.7109375" style="212" hidden="1" customWidth="1"/>
    <col min="40" max="40" width="11.5703125" style="85" customWidth="1"/>
    <col min="41" max="41" width="27.28515625" style="85" hidden="1" customWidth="1"/>
    <col min="42" max="42" width="27" style="85" hidden="1" customWidth="1"/>
    <col min="43" max="44" width="22.140625" style="24" hidden="1" customWidth="1"/>
    <col min="45" max="45" width="30" style="24" hidden="1" customWidth="1"/>
    <col min="46" max="46" width="17" style="24" hidden="1" customWidth="1"/>
    <col min="47" max="48" width="17" style="87" hidden="1" customWidth="1"/>
    <col min="49" max="49" width="17" style="24" hidden="1" customWidth="1"/>
    <col min="50" max="51" width="17" style="24" customWidth="1"/>
    <col min="52" max="16384" width="9.140625" style="24"/>
  </cols>
  <sheetData>
    <row r="1" spans="1:49">
      <c r="B1" s="90" t="s">
        <v>127</v>
      </c>
    </row>
    <row r="2" spans="1:49" ht="45" customHeight="1">
      <c r="A2" s="465" t="s">
        <v>149</v>
      </c>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c r="AN2" s="465"/>
    </row>
    <row r="3" spans="1:49" hidden="1">
      <c r="C3" s="88">
        <f>+C18-AT17</f>
        <v>0</v>
      </c>
      <c r="D3" s="88"/>
      <c r="E3" s="88"/>
      <c r="F3" s="88"/>
      <c r="G3" s="88"/>
      <c r="H3" s="88"/>
      <c r="I3" s="88"/>
      <c r="J3" s="88"/>
      <c r="K3" s="88"/>
      <c r="L3" s="88"/>
      <c r="M3" s="88"/>
      <c r="N3" s="88"/>
      <c r="O3" s="86"/>
      <c r="P3" s="88">
        <f>+N3-O3</f>
        <v>0</v>
      </c>
      <c r="R3" s="86"/>
      <c r="S3" s="88"/>
      <c r="T3" s="88"/>
      <c r="U3" s="88"/>
      <c r="V3" s="88"/>
      <c r="W3" s="88"/>
      <c r="X3" s="88"/>
      <c r="Y3" s="88"/>
      <c r="Z3" s="88"/>
      <c r="AA3" s="88"/>
      <c r="AB3" s="88"/>
      <c r="AC3" s="88"/>
      <c r="AD3" s="88"/>
      <c r="AE3" s="88"/>
      <c r="AF3" s="88"/>
      <c r="AO3" s="91"/>
      <c r="AP3" s="88"/>
    </row>
    <row r="4" spans="1:49" ht="15.75" hidden="1">
      <c r="A4" s="92"/>
      <c r="B4" s="92"/>
      <c r="C4" s="88"/>
      <c r="D4" s="88"/>
      <c r="E4" s="88"/>
      <c r="F4" s="88"/>
      <c r="G4" s="88"/>
      <c r="H4" s="88"/>
      <c r="I4" s="88"/>
      <c r="J4" s="88"/>
      <c r="K4" s="88"/>
      <c r="L4" s="88"/>
      <c r="M4" s="88"/>
      <c r="N4" s="88"/>
      <c r="O4" s="86"/>
      <c r="P4" s="88"/>
      <c r="R4" s="86"/>
      <c r="S4" s="88"/>
      <c r="T4" s="88"/>
      <c r="U4" s="88"/>
      <c r="V4" s="88"/>
      <c r="W4" s="88"/>
      <c r="X4" s="88"/>
      <c r="Y4" s="88"/>
      <c r="Z4" s="88"/>
      <c r="AA4" s="88"/>
      <c r="AB4" s="88"/>
      <c r="AC4" s="88"/>
      <c r="AD4" s="88"/>
      <c r="AE4" s="88"/>
      <c r="AF4" s="88"/>
      <c r="AO4" s="91"/>
      <c r="AP4" s="88"/>
    </row>
    <row r="5" spans="1:49" ht="15.75" hidden="1">
      <c r="A5" s="92"/>
      <c r="B5" s="92"/>
      <c r="C5" s="88"/>
      <c r="D5" s="88"/>
      <c r="E5" s="88"/>
      <c r="F5" s="88"/>
      <c r="G5" s="88"/>
      <c r="H5" s="88"/>
      <c r="I5" s="88"/>
      <c r="J5" s="88"/>
      <c r="K5" s="88"/>
      <c r="L5" s="88"/>
      <c r="M5" s="88"/>
      <c r="N5" s="88"/>
      <c r="O5" s="86"/>
      <c r="P5" s="88"/>
      <c r="R5" s="86"/>
      <c r="S5" s="88"/>
      <c r="T5" s="88"/>
      <c r="U5" s="88"/>
      <c r="V5" s="88"/>
      <c r="W5" s="88"/>
      <c r="X5" s="88"/>
      <c r="Y5" s="88"/>
      <c r="Z5" s="88"/>
      <c r="AA5" s="88"/>
      <c r="AB5" s="88"/>
      <c r="AC5" s="88"/>
      <c r="AD5" s="88"/>
      <c r="AE5" s="88"/>
      <c r="AF5" s="88"/>
      <c r="AO5" s="91"/>
      <c r="AP5" s="88"/>
    </row>
    <row r="6" spans="1:49" ht="15.75" hidden="1">
      <c r="A6" s="92"/>
      <c r="B6" s="92"/>
      <c r="C6" s="88"/>
      <c r="D6" s="88"/>
      <c r="E6" s="88"/>
      <c r="F6" s="88"/>
      <c r="G6" s="88"/>
      <c r="H6" s="88"/>
      <c r="I6" s="88"/>
      <c r="J6" s="88"/>
      <c r="K6" s="88"/>
      <c r="L6" s="88"/>
      <c r="M6" s="88"/>
      <c r="N6" s="88"/>
      <c r="O6" s="86"/>
      <c r="P6" s="88"/>
      <c r="R6" s="86"/>
      <c r="S6" s="88"/>
      <c r="T6" s="88"/>
      <c r="U6" s="88"/>
      <c r="V6" s="88"/>
      <c r="W6" s="88"/>
      <c r="X6" s="88"/>
      <c r="Y6" s="88"/>
      <c r="Z6" s="88"/>
      <c r="AA6" s="88"/>
      <c r="AB6" s="88"/>
      <c r="AC6" s="88"/>
      <c r="AD6" s="88"/>
      <c r="AE6" s="88"/>
      <c r="AF6" s="88"/>
      <c r="AO6" s="91"/>
      <c r="AP6" s="88"/>
    </row>
    <row r="7" spans="1:49" ht="15.75" hidden="1">
      <c r="A7" s="92"/>
      <c r="B7" s="92"/>
      <c r="C7" s="88"/>
      <c r="D7" s="88"/>
      <c r="E7" s="88"/>
      <c r="F7" s="88"/>
      <c r="G7" s="88"/>
      <c r="H7" s="88"/>
      <c r="I7" s="88"/>
      <c r="J7" s="88"/>
      <c r="K7" s="88"/>
      <c r="L7" s="88"/>
      <c r="M7" s="88"/>
      <c r="N7" s="88"/>
      <c r="O7" s="86"/>
      <c r="P7" s="88"/>
      <c r="R7" s="86"/>
      <c r="S7" s="88"/>
      <c r="T7" s="88"/>
      <c r="U7" s="88"/>
      <c r="V7" s="88"/>
      <c r="W7" s="88"/>
      <c r="X7" s="88"/>
      <c r="Y7" s="88"/>
      <c r="Z7" s="88"/>
      <c r="AA7" s="88"/>
      <c r="AB7" s="88"/>
      <c r="AC7" s="88"/>
      <c r="AD7" s="88"/>
      <c r="AE7" s="88"/>
      <c r="AF7" s="88"/>
      <c r="AO7" s="91"/>
      <c r="AP7" s="88"/>
    </row>
    <row r="8" spans="1:49" ht="15.75" hidden="1">
      <c r="A8" s="92"/>
      <c r="B8" s="92"/>
      <c r="C8" s="88"/>
      <c r="D8" s="88"/>
      <c r="E8" s="88"/>
      <c r="F8" s="88"/>
      <c r="G8" s="88"/>
      <c r="H8" s="88"/>
      <c r="I8" s="88"/>
      <c r="J8" s="88"/>
      <c r="K8" s="88"/>
      <c r="L8" s="88"/>
      <c r="M8" s="88"/>
      <c r="N8" s="88"/>
      <c r="O8" s="86"/>
      <c r="P8" s="88"/>
      <c r="R8" s="86"/>
      <c r="S8" s="88"/>
      <c r="T8" s="88"/>
      <c r="U8" s="88"/>
      <c r="V8" s="88"/>
      <c r="W8" s="88"/>
      <c r="X8" s="88"/>
      <c r="Y8" s="88"/>
      <c r="Z8" s="88"/>
      <c r="AA8" s="88"/>
      <c r="AB8" s="88"/>
      <c r="AC8" s="88">
        <f>+AE18+AT13+AT16</f>
        <v>3172012194</v>
      </c>
      <c r="AD8" s="88">
        <f>+AC18+AD18</f>
        <v>3228532194</v>
      </c>
      <c r="AE8" s="88"/>
      <c r="AF8" s="88"/>
      <c r="AO8" s="91"/>
      <c r="AP8" s="88"/>
    </row>
    <row r="9" spans="1:49" ht="25.5" customHeight="1">
      <c r="A9" s="476" t="str">
        <f>'B01.NTM_ĐT '!A2:P2</f>
        <v>(Kèm theo Báo cáo số 722/BC-UBND ngày 22/11/2024 của UBND huyện Na Rì)</v>
      </c>
      <c r="B9" s="476"/>
      <c r="C9" s="476"/>
      <c r="D9" s="476"/>
      <c r="E9" s="476"/>
      <c r="F9" s="476"/>
      <c r="G9" s="476"/>
      <c r="H9" s="476"/>
      <c r="I9" s="476"/>
      <c r="J9" s="476"/>
      <c r="K9" s="476"/>
      <c r="L9" s="476"/>
      <c r="M9" s="476"/>
      <c r="N9" s="476"/>
      <c r="O9" s="476"/>
      <c r="P9" s="476"/>
      <c r="Q9" s="476"/>
      <c r="R9" s="476"/>
      <c r="S9" s="476"/>
      <c r="T9" s="476"/>
      <c r="U9" s="476"/>
      <c r="V9" s="476"/>
      <c r="W9" s="476"/>
      <c r="X9" s="476"/>
      <c r="Y9" s="476"/>
      <c r="Z9" s="476"/>
      <c r="AA9" s="476"/>
      <c r="AB9" s="476"/>
      <c r="AC9" s="476"/>
      <c r="AD9" s="476"/>
      <c r="AE9" s="476"/>
      <c r="AF9" s="476"/>
      <c r="AG9" s="476"/>
      <c r="AH9" s="476"/>
      <c r="AI9" s="476"/>
      <c r="AJ9" s="476"/>
      <c r="AK9" s="476"/>
      <c r="AL9" s="476"/>
      <c r="AM9" s="476"/>
      <c r="AN9" s="476"/>
      <c r="AO9" s="91"/>
      <c r="AP9" s="88"/>
    </row>
    <row r="10" spans="1:49" ht="24.75" customHeight="1">
      <c r="A10" s="92"/>
      <c r="B10" s="92"/>
      <c r="C10" s="88"/>
      <c r="D10" s="88"/>
      <c r="E10" s="88"/>
      <c r="F10" s="88"/>
      <c r="G10" s="88"/>
      <c r="H10" s="88"/>
      <c r="I10" s="88"/>
      <c r="J10" s="88"/>
      <c r="K10" s="88"/>
      <c r="L10" s="88"/>
      <c r="M10" s="88"/>
      <c r="N10" s="88"/>
      <c r="O10" s="86"/>
      <c r="P10" s="88"/>
      <c r="R10" s="86"/>
      <c r="S10" s="88"/>
      <c r="T10" s="88"/>
      <c r="U10" s="88"/>
      <c r="V10" s="88"/>
      <c r="W10" s="88"/>
      <c r="X10" s="88"/>
      <c r="Y10" s="88"/>
      <c r="Z10" s="88"/>
      <c r="AA10" s="88"/>
      <c r="AB10" s="88"/>
      <c r="AC10" s="88"/>
      <c r="AD10" s="88"/>
      <c r="AE10" s="88"/>
      <c r="AF10" s="88"/>
      <c r="AK10" s="475" t="str">
        <f>[1]B04.NTM_SN!A3</f>
        <v>Đơn vị tính: Đồng.</v>
      </c>
      <c r="AL10" s="475"/>
      <c r="AM10" s="475"/>
      <c r="AN10" s="475"/>
      <c r="AO10" s="91"/>
      <c r="AP10" s="88"/>
    </row>
    <row r="11" spans="1:49" ht="27.75" customHeight="1">
      <c r="A11" s="463" t="s">
        <v>29</v>
      </c>
      <c r="B11" s="441" t="s">
        <v>125</v>
      </c>
      <c r="C11" s="442" t="s">
        <v>126</v>
      </c>
      <c r="D11" s="467"/>
      <c r="E11" s="467"/>
      <c r="F11" s="467"/>
      <c r="G11" s="467"/>
      <c r="H11" s="467"/>
      <c r="I11" s="467"/>
      <c r="J11" s="467"/>
      <c r="K11" s="467"/>
      <c r="L11" s="467"/>
      <c r="M11" s="467"/>
      <c r="N11" s="467"/>
      <c r="O11" s="467"/>
      <c r="P11" s="467"/>
      <c r="Q11" s="467"/>
      <c r="R11" s="467"/>
      <c r="S11" s="467"/>
      <c r="T11" s="467"/>
      <c r="U11" s="467"/>
      <c r="V11" s="467"/>
      <c r="W11" s="467"/>
      <c r="X11" s="467"/>
      <c r="Y11" s="327"/>
      <c r="Z11" s="327"/>
      <c r="AA11" s="327"/>
      <c r="AB11" s="327"/>
      <c r="AC11" s="327"/>
      <c r="AD11" s="327"/>
      <c r="AE11" s="327"/>
      <c r="AF11" s="327"/>
      <c r="AG11" s="417" t="s">
        <v>269</v>
      </c>
      <c r="AH11" s="417"/>
      <c r="AI11" s="417"/>
      <c r="AJ11" s="417"/>
      <c r="AK11" s="417"/>
      <c r="AL11" s="417"/>
      <c r="AM11" s="417"/>
      <c r="AN11" s="417"/>
      <c r="AO11" s="417"/>
      <c r="AP11" s="418"/>
      <c r="AS11" s="85" t="s">
        <v>251</v>
      </c>
      <c r="AT11" s="86">
        <f>SUM(AU11:AV11)</f>
        <v>5789388335</v>
      </c>
      <c r="AU11" s="87">
        <v>5576117842</v>
      </c>
      <c r="AV11" s="87">
        <v>213270493</v>
      </c>
      <c r="AW11" s="87"/>
    </row>
    <row r="12" spans="1:49" ht="25.5" customHeight="1">
      <c r="A12" s="463"/>
      <c r="B12" s="441"/>
      <c r="C12" s="452" t="s">
        <v>46</v>
      </c>
      <c r="D12" s="442" t="s">
        <v>30</v>
      </c>
      <c r="E12" s="467"/>
      <c r="F12" s="467"/>
      <c r="G12" s="467"/>
      <c r="H12" s="467"/>
      <c r="I12" s="467"/>
      <c r="J12" s="467"/>
      <c r="K12" s="467"/>
      <c r="L12" s="467"/>
      <c r="M12" s="467"/>
      <c r="N12" s="467"/>
      <c r="O12" s="467"/>
      <c r="P12" s="467"/>
      <c r="Q12" s="467"/>
      <c r="R12" s="467"/>
      <c r="S12" s="467"/>
      <c r="T12" s="467"/>
      <c r="U12" s="467"/>
      <c r="V12" s="467"/>
      <c r="W12" s="467"/>
      <c r="X12" s="467"/>
      <c r="Y12" s="467"/>
      <c r="Z12" s="443"/>
      <c r="AA12" s="325"/>
      <c r="AB12" s="325"/>
      <c r="AC12" s="325"/>
      <c r="AD12" s="325"/>
      <c r="AE12" s="325"/>
      <c r="AF12" s="325"/>
      <c r="AG12" s="468" t="s">
        <v>128</v>
      </c>
      <c r="AH12" s="468"/>
      <c r="AI12" s="468"/>
      <c r="AJ12" s="468"/>
      <c r="AK12" s="468"/>
      <c r="AL12" s="468"/>
      <c r="AM12" s="468"/>
      <c r="AN12" s="468"/>
      <c r="AO12" s="448" t="s">
        <v>132</v>
      </c>
      <c r="AP12" s="449" t="s">
        <v>133</v>
      </c>
      <c r="AS12" s="85" t="s">
        <v>236</v>
      </c>
      <c r="AT12" s="88">
        <f>SUM(AU12:AV12)</f>
        <v>12587000000</v>
      </c>
      <c r="AU12" s="87">
        <v>12220000000</v>
      </c>
      <c r="AV12" s="79">
        <v>367000000</v>
      </c>
    </row>
    <row r="13" spans="1:49" s="80" customFormat="1" ht="24" customHeight="1">
      <c r="A13" s="463"/>
      <c r="B13" s="441"/>
      <c r="C13" s="452"/>
      <c r="D13" s="452" t="s">
        <v>144</v>
      </c>
      <c r="E13" s="330"/>
      <c r="F13" s="330"/>
      <c r="G13" s="479" t="s">
        <v>244</v>
      </c>
      <c r="H13" s="480"/>
      <c r="I13" s="479" t="s">
        <v>249</v>
      </c>
      <c r="J13" s="480"/>
      <c r="K13" s="479" t="s">
        <v>250</v>
      </c>
      <c r="L13" s="480"/>
      <c r="M13" s="452" t="s">
        <v>145</v>
      </c>
      <c r="N13" s="330"/>
      <c r="O13" s="330"/>
      <c r="P13" s="479" t="s">
        <v>244</v>
      </c>
      <c r="Q13" s="480"/>
      <c r="R13" s="479" t="s">
        <v>249</v>
      </c>
      <c r="S13" s="480"/>
      <c r="T13" s="479" t="s">
        <v>250</v>
      </c>
      <c r="U13" s="480"/>
      <c r="V13" s="453" t="s">
        <v>143</v>
      </c>
      <c r="W13" s="454"/>
      <c r="X13" s="455"/>
      <c r="Y13" s="329"/>
      <c r="Z13" s="329"/>
      <c r="AA13" s="479" t="s">
        <v>236</v>
      </c>
      <c r="AB13" s="480"/>
      <c r="AC13" s="479" t="s">
        <v>249</v>
      </c>
      <c r="AD13" s="480"/>
      <c r="AE13" s="479" t="s">
        <v>250</v>
      </c>
      <c r="AF13" s="480"/>
      <c r="AG13" s="481" t="s">
        <v>42</v>
      </c>
      <c r="AH13" s="484" t="s">
        <v>30</v>
      </c>
      <c r="AI13" s="485"/>
      <c r="AJ13" s="485"/>
      <c r="AK13" s="485"/>
      <c r="AL13" s="485"/>
      <c r="AM13" s="486"/>
      <c r="AN13" s="463" t="s">
        <v>44</v>
      </c>
      <c r="AO13" s="448"/>
      <c r="AP13" s="450"/>
      <c r="AS13" s="85" t="s">
        <v>253</v>
      </c>
      <c r="AT13" s="88">
        <f>SUM(AU13:AV13)</f>
        <v>215491168.99999988</v>
      </c>
      <c r="AU13" s="83">
        <f>SUM('[2]Biểu 02 CTMTQGGN'!D13:D14)</f>
        <v>215491168.99999988</v>
      </c>
      <c r="AV13" s="82"/>
      <c r="AW13" s="79">
        <v>367000</v>
      </c>
    </row>
    <row r="14" spans="1:49" ht="19.5" customHeight="1">
      <c r="A14" s="463"/>
      <c r="B14" s="441"/>
      <c r="C14" s="452"/>
      <c r="D14" s="452"/>
      <c r="E14" s="93"/>
      <c r="F14" s="93"/>
      <c r="G14" s="93"/>
      <c r="H14" s="93"/>
      <c r="I14" s="93"/>
      <c r="J14" s="93"/>
      <c r="K14" s="93"/>
      <c r="L14" s="93"/>
      <c r="M14" s="452"/>
      <c r="N14" s="93"/>
      <c r="O14" s="93"/>
      <c r="P14" s="93"/>
      <c r="Q14" s="93"/>
      <c r="R14" s="93"/>
      <c r="S14" s="93"/>
      <c r="T14" s="93"/>
      <c r="U14" s="93"/>
      <c r="V14" s="472"/>
      <c r="W14" s="473"/>
      <c r="X14" s="474"/>
      <c r="Y14" s="94"/>
      <c r="Z14" s="94"/>
      <c r="AA14" s="93"/>
      <c r="AB14" s="93"/>
      <c r="AC14" s="93"/>
      <c r="AD14" s="93"/>
      <c r="AE14" s="93"/>
      <c r="AF14" s="93"/>
      <c r="AG14" s="482"/>
      <c r="AH14" s="463" t="s">
        <v>148</v>
      </c>
      <c r="AI14" s="488" t="s">
        <v>47</v>
      </c>
      <c r="AJ14" s="489"/>
      <c r="AK14" s="492" t="s">
        <v>267</v>
      </c>
      <c r="AL14" s="494" t="s">
        <v>47</v>
      </c>
      <c r="AM14" s="495"/>
      <c r="AN14" s="463"/>
      <c r="AO14" s="448"/>
      <c r="AP14" s="450"/>
      <c r="AS14" s="85" t="s">
        <v>250</v>
      </c>
      <c r="AT14" s="88">
        <f t="shared" ref="AT14" si="0">SUM(AU14:AV14)</f>
        <v>6562128530</v>
      </c>
      <c r="AU14" s="86">
        <v>6325108530</v>
      </c>
      <c r="AV14" s="86">
        <v>237020000</v>
      </c>
    </row>
    <row r="15" spans="1:49" ht="15.75" customHeight="1">
      <c r="A15" s="463"/>
      <c r="B15" s="441"/>
      <c r="C15" s="452"/>
      <c r="D15" s="452"/>
      <c r="E15" s="328"/>
      <c r="F15" s="328"/>
      <c r="G15" s="328"/>
      <c r="H15" s="328"/>
      <c r="I15" s="328"/>
      <c r="J15" s="328"/>
      <c r="K15" s="328"/>
      <c r="L15" s="328"/>
      <c r="M15" s="452"/>
      <c r="N15" s="328"/>
      <c r="O15" s="328"/>
      <c r="P15" s="328"/>
      <c r="Q15" s="328"/>
      <c r="R15" s="328"/>
      <c r="S15" s="328"/>
      <c r="T15" s="328"/>
      <c r="U15" s="328"/>
      <c r="V15" s="472"/>
      <c r="W15" s="473"/>
      <c r="X15" s="474"/>
      <c r="Y15" s="477" t="s">
        <v>243</v>
      </c>
      <c r="Z15" s="477" t="s">
        <v>242</v>
      </c>
      <c r="AA15" s="328"/>
      <c r="AB15" s="328"/>
      <c r="AC15" s="328"/>
      <c r="AD15" s="328"/>
      <c r="AE15" s="328"/>
      <c r="AF15" s="328"/>
      <c r="AG15" s="482"/>
      <c r="AH15" s="487"/>
      <c r="AI15" s="490"/>
      <c r="AJ15" s="491"/>
      <c r="AK15" s="493"/>
      <c r="AL15" s="496"/>
      <c r="AM15" s="497"/>
      <c r="AN15" s="463"/>
      <c r="AO15" s="448"/>
      <c r="AP15" s="450"/>
      <c r="AQ15" s="95">
        <f>+AQ16-AR16</f>
        <v>0</v>
      </c>
      <c r="AS15" s="85" t="s">
        <v>252</v>
      </c>
      <c r="AT15" s="88">
        <f>SUM(AU15:AV15)</f>
        <v>6562128530</v>
      </c>
      <c r="AU15" s="86">
        <v>6325108530</v>
      </c>
      <c r="AV15" s="86">
        <v>237020000</v>
      </c>
    </row>
    <row r="16" spans="1:49" ht="98.25" customHeight="1">
      <c r="A16" s="463"/>
      <c r="B16" s="441"/>
      <c r="C16" s="452"/>
      <c r="D16" s="452"/>
      <c r="E16" s="81" t="s">
        <v>243</v>
      </c>
      <c r="F16" s="81" t="s">
        <v>242</v>
      </c>
      <c r="G16" s="81" t="s">
        <v>243</v>
      </c>
      <c r="H16" s="81" t="s">
        <v>242</v>
      </c>
      <c r="I16" s="81" t="s">
        <v>243</v>
      </c>
      <c r="J16" s="81" t="s">
        <v>242</v>
      </c>
      <c r="K16" s="81" t="s">
        <v>243</v>
      </c>
      <c r="L16" s="81" t="s">
        <v>242</v>
      </c>
      <c r="M16" s="452"/>
      <c r="N16" s="81" t="s">
        <v>243</v>
      </c>
      <c r="O16" s="81" t="s">
        <v>242</v>
      </c>
      <c r="P16" s="81" t="s">
        <v>243</v>
      </c>
      <c r="Q16" s="81" t="s">
        <v>242</v>
      </c>
      <c r="R16" s="81" t="s">
        <v>243</v>
      </c>
      <c r="S16" s="81" t="s">
        <v>242</v>
      </c>
      <c r="T16" s="81" t="s">
        <v>243</v>
      </c>
      <c r="U16" s="81" t="s">
        <v>242</v>
      </c>
      <c r="V16" s="456"/>
      <c r="W16" s="457"/>
      <c r="X16" s="458"/>
      <c r="Y16" s="478"/>
      <c r="Z16" s="478"/>
      <c r="AA16" s="81" t="s">
        <v>243</v>
      </c>
      <c r="AB16" s="81" t="s">
        <v>242</v>
      </c>
      <c r="AC16" s="81" t="s">
        <v>243</v>
      </c>
      <c r="AD16" s="81" t="s">
        <v>242</v>
      </c>
      <c r="AE16" s="81" t="s">
        <v>243</v>
      </c>
      <c r="AF16" s="81" t="s">
        <v>242</v>
      </c>
      <c r="AG16" s="483"/>
      <c r="AH16" s="487"/>
      <c r="AI16" s="477" t="s">
        <v>243</v>
      </c>
      <c r="AJ16" s="477" t="s">
        <v>242</v>
      </c>
      <c r="AK16" s="493"/>
      <c r="AL16" s="469" t="s">
        <v>243</v>
      </c>
      <c r="AM16" s="469" t="s">
        <v>242</v>
      </c>
      <c r="AN16" s="463"/>
      <c r="AO16" s="448"/>
      <c r="AP16" s="451"/>
      <c r="AQ16" s="95"/>
      <c r="AR16" s="95"/>
      <c r="AS16" s="85" t="s">
        <v>254</v>
      </c>
      <c r="AT16" s="88">
        <f>SUM(AU16:AV16)</f>
        <v>1230000000</v>
      </c>
      <c r="AU16" s="86">
        <v>1173500000</v>
      </c>
      <c r="AV16" s="86">
        <v>56500000</v>
      </c>
    </row>
    <row r="17" spans="1:48" s="96" customFormat="1" ht="24" customHeight="1">
      <c r="A17" s="89" t="s">
        <v>39</v>
      </c>
      <c r="B17" s="89" t="s">
        <v>40</v>
      </c>
      <c r="C17" s="84" t="s">
        <v>48</v>
      </c>
      <c r="D17" s="84">
        <v>2</v>
      </c>
      <c r="E17" s="84"/>
      <c r="F17" s="84"/>
      <c r="G17" s="84"/>
      <c r="H17" s="84"/>
      <c r="I17" s="84"/>
      <c r="J17" s="84"/>
      <c r="K17" s="84"/>
      <c r="L17" s="84"/>
      <c r="M17" s="84">
        <v>3</v>
      </c>
      <c r="N17" s="84"/>
      <c r="O17" s="84"/>
      <c r="P17" s="84"/>
      <c r="Q17" s="84"/>
      <c r="R17" s="84"/>
      <c r="S17" s="84"/>
      <c r="T17" s="84"/>
      <c r="U17" s="84"/>
      <c r="V17" s="84">
        <v>4</v>
      </c>
      <c r="W17" s="84">
        <v>5</v>
      </c>
      <c r="X17" s="84">
        <v>6</v>
      </c>
      <c r="Y17" s="84"/>
      <c r="Z17" s="84"/>
      <c r="AA17" s="84"/>
      <c r="AB17" s="84"/>
      <c r="AC17" s="84"/>
      <c r="AD17" s="84"/>
      <c r="AE17" s="84"/>
      <c r="AF17" s="84"/>
      <c r="AG17" s="197">
        <v>7</v>
      </c>
      <c r="AH17" s="84">
        <v>8</v>
      </c>
      <c r="AI17" s="478"/>
      <c r="AJ17" s="478"/>
      <c r="AK17" s="197">
        <v>9</v>
      </c>
      <c r="AL17" s="470"/>
      <c r="AM17" s="470"/>
      <c r="AN17" s="84" t="s">
        <v>134</v>
      </c>
      <c r="AO17" s="84">
        <v>11</v>
      </c>
      <c r="AP17" s="84">
        <v>12</v>
      </c>
      <c r="AS17" s="85" t="s">
        <v>42</v>
      </c>
      <c r="AT17" s="88">
        <f>SUM(AU17:AV17)</f>
        <v>19821879504</v>
      </c>
      <c r="AU17" s="97">
        <f>+AU11+AU12+AU13-AU14+AU15+AU16</f>
        <v>19185109011</v>
      </c>
      <c r="AV17" s="97">
        <f>+AV11+AV12+AV13-AV14+AV15+AV16</f>
        <v>636770493</v>
      </c>
    </row>
    <row r="18" spans="1:48" s="390" customFormat="1" ht="37.5" customHeight="1">
      <c r="A18" s="471" t="s">
        <v>49</v>
      </c>
      <c r="B18" s="471"/>
      <c r="C18" s="385">
        <f>+D18+M18+V18</f>
        <v>19821879504</v>
      </c>
      <c r="D18" s="385">
        <f t="shared" ref="D18:AP18" si="1">D19</f>
        <v>192239740</v>
      </c>
      <c r="E18" s="385">
        <f t="shared" si="1"/>
        <v>179809740</v>
      </c>
      <c r="F18" s="385">
        <f t="shared" si="1"/>
        <v>12430000</v>
      </c>
      <c r="G18" s="385">
        <f>G19</f>
        <v>179809740</v>
      </c>
      <c r="H18" s="385">
        <f t="shared" si="1"/>
        <v>12430000</v>
      </c>
      <c r="I18" s="385">
        <f t="shared" si="1"/>
        <v>94843790</v>
      </c>
      <c r="J18" s="385">
        <f t="shared" si="1"/>
        <v>12430000</v>
      </c>
      <c r="K18" s="385">
        <f t="shared" si="1"/>
        <v>94843790</v>
      </c>
      <c r="L18" s="385">
        <f t="shared" si="1"/>
        <v>12430000</v>
      </c>
      <c r="M18" s="385">
        <f>SUM(N18:O18)</f>
        <v>5597148595</v>
      </c>
      <c r="N18" s="385">
        <f>+P18+R18-T18</f>
        <v>5396308102</v>
      </c>
      <c r="O18" s="385">
        <f>+Q18+S18-U18</f>
        <v>200840493</v>
      </c>
      <c r="P18" s="385">
        <f t="shared" si="1"/>
        <v>5396308102</v>
      </c>
      <c r="Q18" s="385">
        <f t="shared" si="1"/>
        <v>200840493</v>
      </c>
      <c r="R18" s="385">
        <f t="shared" si="1"/>
        <v>4503743715</v>
      </c>
      <c r="S18" s="385">
        <f t="shared" si="1"/>
        <v>168070000</v>
      </c>
      <c r="T18" s="385">
        <f>T19</f>
        <v>4503743715</v>
      </c>
      <c r="U18" s="385">
        <f t="shared" si="1"/>
        <v>168070000</v>
      </c>
      <c r="V18" s="386">
        <f t="shared" si="1"/>
        <v>14032491169</v>
      </c>
      <c r="W18" s="386">
        <f t="shared" si="1"/>
        <v>0</v>
      </c>
      <c r="X18" s="386">
        <f>X19</f>
        <v>14032491169</v>
      </c>
      <c r="Y18" s="386">
        <f t="shared" ref="Y18:AF18" si="2">Y19</f>
        <v>13608991169</v>
      </c>
      <c r="Z18" s="386">
        <f t="shared" si="2"/>
        <v>423500000</v>
      </c>
      <c r="AA18" s="386">
        <f t="shared" si="2"/>
        <v>12220000000</v>
      </c>
      <c r="AB18" s="386">
        <f t="shared" si="2"/>
        <v>367000000</v>
      </c>
      <c r="AC18" s="386">
        <f>AC19</f>
        <v>3115512194</v>
      </c>
      <c r="AD18" s="386">
        <f t="shared" si="2"/>
        <v>113020000</v>
      </c>
      <c r="AE18" s="386">
        <f t="shared" si="2"/>
        <v>1726521025</v>
      </c>
      <c r="AF18" s="386">
        <f t="shared" si="2"/>
        <v>56520000</v>
      </c>
      <c r="AG18" s="387">
        <f>AG19</f>
        <v>7648548033</v>
      </c>
      <c r="AH18" s="386">
        <f t="shared" ref="AH18:AM18" si="3">AH19</f>
        <v>155891720</v>
      </c>
      <c r="AI18" s="386">
        <f t="shared" si="3"/>
        <v>145401500</v>
      </c>
      <c r="AJ18" s="386">
        <f t="shared" si="3"/>
        <v>10490220</v>
      </c>
      <c r="AK18" s="387">
        <f t="shared" si="3"/>
        <v>7492656313</v>
      </c>
      <c r="AL18" s="387">
        <f t="shared" si="3"/>
        <v>7283335713</v>
      </c>
      <c r="AM18" s="387">
        <f t="shared" si="3"/>
        <v>209320600</v>
      </c>
      <c r="AN18" s="388">
        <f>+AG18/C18*100</f>
        <v>38.58639152486294</v>
      </c>
      <c r="AO18" s="385">
        <f t="shared" si="1"/>
        <v>0</v>
      </c>
      <c r="AP18" s="385">
        <f t="shared" si="1"/>
        <v>0</v>
      </c>
      <c r="AQ18" s="389"/>
      <c r="AR18" s="389"/>
      <c r="AT18" s="391">
        <f t="shared" ref="AT18" si="4">SUM(AU18:AV18)</f>
        <v>0</v>
      </c>
      <c r="AU18" s="392"/>
      <c r="AV18" s="392"/>
    </row>
    <row r="19" spans="1:48" ht="18.75">
      <c r="A19" s="126"/>
      <c r="B19" s="127" t="s">
        <v>121</v>
      </c>
      <c r="C19" s="128">
        <f>+D19+M19+V19</f>
        <v>19821879504</v>
      </c>
      <c r="D19" s="128">
        <f t="shared" ref="D19" si="5">+D20+D22+D39+D56+D65+D66+D72</f>
        <v>192239740</v>
      </c>
      <c r="E19" s="128">
        <f>+E20+E22+E39+E56+E65+E66+E72</f>
        <v>179809740</v>
      </c>
      <c r="F19" s="128">
        <f>+F20+F22+F39+F56+F65+F66+F72</f>
        <v>12430000</v>
      </c>
      <c r="G19" s="128">
        <f t="shared" ref="G19:AM19" si="6">+G20+G22+G39+G56+G65+G66+G72</f>
        <v>179809740</v>
      </c>
      <c r="H19" s="128">
        <f t="shared" si="6"/>
        <v>12430000</v>
      </c>
      <c r="I19" s="128">
        <f t="shared" si="6"/>
        <v>94843790</v>
      </c>
      <c r="J19" s="128">
        <f t="shared" si="6"/>
        <v>12430000</v>
      </c>
      <c r="K19" s="128">
        <f t="shared" si="6"/>
        <v>94843790</v>
      </c>
      <c r="L19" s="128">
        <f t="shared" si="6"/>
        <v>12430000</v>
      </c>
      <c r="M19" s="128">
        <f t="shared" si="6"/>
        <v>5597148595</v>
      </c>
      <c r="N19" s="128">
        <f t="shared" si="6"/>
        <v>5396308102</v>
      </c>
      <c r="O19" s="128">
        <f t="shared" si="6"/>
        <v>200840493</v>
      </c>
      <c r="P19" s="128">
        <f t="shared" si="6"/>
        <v>5396308102</v>
      </c>
      <c r="Q19" s="128">
        <f t="shared" si="6"/>
        <v>200840493</v>
      </c>
      <c r="R19" s="128">
        <f t="shared" si="6"/>
        <v>4503743715</v>
      </c>
      <c r="S19" s="128">
        <f t="shared" si="6"/>
        <v>168070000</v>
      </c>
      <c r="T19" s="128">
        <f t="shared" si="6"/>
        <v>4503743715</v>
      </c>
      <c r="U19" s="128">
        <f t="shared" si="6"/>
        <v>168070000</v>
      </c>
      <c r="V19" s="128">
        <f t="shared" si="6"/>
        <v>14032491169</v>
      </c>
      <c r="W19" s="128">
        <f t="shared" si="6"/>
        <v>0</v>
      </c>
      <c r="X19" s="128">
        <f t="shared" si="6"/>
        <v>14032491169</v>
      </c>
      <c r="Y19" s="128">
        <f t="shared" si="6"/>
        <v>13608991169</v>
      </c>
      <c r="Z19" s="128">
        <f t="shared" si="6"/>
        <v>423500000</v>
      </c>
      <c r="AA19" s="128">
        <f t="shared" si="6"/>
        <v>12220000000</v>
      </c>
      <c r="AB19" s="128">
        <f t="shared" si="6"/>
        <v>367000000</v>
      </c>
      <c r="AC19" s="128">
        <f t="shared" si="6"/>
        <v>3115512194</v>
      </c>
      <c r="AD19" s="128">
        <f t="shared" si="6"/>
        <v>113020000</v>
      </c>
      <c r="AE19" s="128">
        <f t="shared" si="6"/>
        <v>1726521025</v>
      </c>
      <c r="AF19" s="128">
        <f t="shared" si="6"/>
        <v>56520000</v>
      </c>
      <c r="AG19" s="213">
        <f t="shared" si="6"/>
        <v>7648548033</v>
      </c>
      <c r="AH19" s="128">
        <f t="shared" si="6"/>
        <v>155891720</v>
      </c>
      <c r="AI19" s="128">
        <f t="shared" si="6"/>
        <v>145401500</v>
      </c>
      <c r="AJ19" s="128">
        <f t="shared" si="6"/>
        <v>10490220</v>
      </c>
      <c r="AK19" s="213">
        <f t="shared" si="6"/>
        <v>7492656313</v>
      </c>
      <c r="AL19" s="213">
        <f t="shared" si="6"/>
        <v>7283335713</v>
      </c>
      <c r="AM19" s="213">
        <f t="shared" si="6"/>
        <v>209320600</v>
      </c>
      <c r="AN19" s="129">
        <f>+AG19/C19*100</f>
        <v>38.58639152486294</v>
      </c>
      <c r="AO19" s="98">
        <f>+AO20+AO22+AO39+AO56+AO65+AO66+AO72</f>
        <v>0</v>
      </c>
      <c r="AP19" s="98"/>
      <c r="AQ19" s="95"/>
      <c r="AR19" s="95"/>
    </row>
    <row r="20" spans="1:48" ht="71.25" customHeight="1">
      <c r="A20" s="102" t="s">
        <v>1</v>
      </c>
      <c r="B20" s="103" t="s">
        <v>86</v>
      </c>
      <c r="C20" s="130"/>
      <c r="D20" s="130">
        <f t="shared" ref="D20:D23" si="7">SUM(E20:F20)</f>
        <v>0</v>
      </c>
      <c r="E20" s="135">
        <f t="shared" ref="E20:F35" si="8">G20+I20-K20</f>
        <v>0</v>
      </c>
      <c r="F20" s="135">
        <f t="shared" si="8"/>
        <v>0</v>
      </c>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214"/>
      <c r="AH20" s="130"/>
      <c r="AI20" s="130"/>
      <c r="AJ20" s="130"/>
      <c r="AK20" s="214"/>
      <c r="AL20" s="214"/>
      <c r="AM20" s="214"/>
      <c r="AN20" s="131"/>
      <c r="AO20" s="104"/>
      <c r="AP20" s="104"/>
      <c r="AQ20" s="95"/>
      <c r="AR20" s="95"/>
    </row>
    <row r="21" spans="1:48" ht="71.25" customHeight="1">
      <c r="A21" s="105"/>
      <c r="B21" s="106" t="s">
        <v>87</v>
      </c>
      <c r="C21" s="132"/>
      <c r="D21" s="135">
        <f t="shared" si="7"/>
        <v>0</v>
      </c>
      <c r="E21" s="135">
        <f t="shared" si="8"/>
        <v>0</v>
      </c>
      <c r="F21" s="135">
        <f t="shared" si="8"/>
        <v>0</v>
      </c>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215"/>
      <c r="AH21" s="132"/>
      <c r="AI21" s="132"/>
      <c r="AJ21" s="132"/>
      <c r="AK21" s="215"/>
      <c r="AL21" s="215"/>
      <c r="AM21" s="215"/>
      <c r="AN21" s="131"/>
      <c r="AO21" s="18"/>
      <c r="AP21" s="18"/>
      <c r="AQ21" s="95"/>
      <c r="AR21" s="95"/>
    </row>
    <row r="22" spans="1:48" ht="45" customHeight="1">
      <c r="A22" s="143" t="s">
        <v>13</v>
      </c>
      <c r="B22" s="144" t="s">
        <v>88</v>
      </c>
      <c r="C22" s="134">
        <f>SUM(C23:C38)</f>
        <v>8187830099</v>
      </c>
      <c r="D22" s="134">
        <f t="shared" ref="D22:AM22" si="9">SUM(D23:D38)</f>
        <v>23852000</v>
      </c>
      <c r="E22" s="134">
        <f t="shared" si="9"/>
        <v>23852000</v>
      </c>
      <c r="F22" s="134">
        <f t="shared" si="9"/>
        <v>0</v>
      </c>
      <c r="G22" s="134">
        <f t="shared" si="9"/>
        <v>23852000</v>
      </c>
      <c r="H22" s="134">
        <f t="shared" si="9"/>
        <v>0</v>
      </c>
      <c r="I22" s="134">
        <f t="shared" si="9"/>
        <v>23852000</v>
      </c>
      <c r="J22" s="134">
        <f t="shared" si="9"/>
        <v>0</v>
      </c>
      <c r="K22" s="134">
        <f t="shared" si="9"/>
        <v>23852000</v>
      </c>
      <c r="L22" s="134">
        <f t="shared" si="9"/>
        <v>0</v>
      </c>
      <c r="M22" s="134">
        <f t="shared" si="9"/>
        <v>2645679230</v>
      </c>
      <c r="N22" s="134">
        <f t="shared" si="9"/>
        <v>2549509010</v>
      </c>
      <c r="O22" s="134">
        <f t="shared" si="9"/>
        <v>96170220</v>
      </c>
      <c r="P22" s="134">
        <f t="shared" si="9"/>
        <v>796486055</v>
      </c>
      <c r="Q22" s="134">
        <f t="shared" si="9"/>
        <v>39758220</v>
      </c>
      <c r="R22" s="134">
        <f t="shared" si="9"/>
        <v>2182573400</v>
      </c>
      <c r="S22" s="134">
        <f t="shared" si="9"/>
        <v>72400000</v>
      </c>
      <c r="T22" s="134">
        <f t="shared" si="9"/>
        <v>429550445</v>
      </c>
      <c r="U22" s="134">
        <f t="shared" si="9"/>
        <v>15988000</v>
      </c>
      <c r="V22" s="134">
        <f t="shared" si="9"/>
        <v>5518298869</v>
      </c>
      <c r="W22" s="134">
        <f t="shared" si="9"/>
        <v>0</v>
      </c>
      <c r="X22" s="134">
        <f t="shared" si="9"/>
        <v>5518298869</v>
      </c>
      <c r="Y22" s="134">
        <f t="shared" si="9"/>
        <v>5363298869</v>
      </c>
      <c r="Z22" s="134">
        <f t="shared" si="9"/>
        <v>155000000</v>
      </c>
      <c r="AA22" s="134">
        <f t="shared" si="9"/>
        <v>5151000000</v>
      </c>
      <c r="AB22" s="134">
        <f t="shared" si="9"/>
        <v>155000000</v>
      </c>
      <c r="AC22" s="134">
        <f t="shared" si="9"/>
        <v>215491168.99999988</v>
      </c>
      <c r="AD22" s="134">
        <f t="shared" si="9"/>
        <v>0</v>
      </c>
      <c r="AE22" s="134">
        <f t="shared" si="9"/>
        <v>3192300</v>
      </c>
      <c r="AF22" s="134">
        <f t="shared" si="9"/>
        <v>0</v>
      </c>
      <c r="AG22" s="216">
        <f>SUM(AG23:AG38)</f>
        <v>4329397470</v>
      </c>
      <c r="AH22" s="134">
        <f t="shared" si="9"/>
        <v>155891720</v>
      </c>
      <c r="AI22" s="134">
        <f t="shared" si="9"/>
        <v>145401500</v>
      </c>
      <c r="AJ22" s="134">
        <f t="shared" si="9"/>
        <v>10490220</v>
      </c>
      <c r="AK22" s="134">
        <f t="shared" si="9"/>
        <v>4173505750</v>
      </c>
      <c r="AL22" s="134">
        <f t="shared" si="9"/>
        <v>4048339150</v>
      </c>
      <c r="AM22" s="134">
        <f t="shared" si="9"/>
        <v>125166600</v>
      </c>
      <c r="AN22" s="131">
        <f t="shared" ref="AN22:AN41" si="10">+AG22/C22*100</f>
        <v>52.876005213258637</v>
      </c>
      <c r="AO22" s="112">
        <f>SUM(AO23:AO38)</f>
        <v>0</v>
      </c>
      <c r="AP22" s="112"/>
      <c r="AQ22" s="95"/>
      <c r="AR22" s="95"/>
    </row>
    <row r="23" spans="1:48" s="110" customFormat="1" ht="24" customHeight="1">
      <c r="A23" s="107"/>
      <c r="B23" s="108" t="s">
        <v>155</v>
      </c>
      <c r="C23" s="145">
        <f>+D23+M23+V23</f>
        <v>343000000</v>
      </c>
      <c r="D23" s="135">
        <f t="shared" si="7"/>
        <v>0</v>
      </c>
      <c r="E23" s="135">
        <f t="shared" si="8"/>
        <v>0</v>
      </c>
      <c r="F23" s="135">
        <f t="shared" si="8"/>
        <v>0</v>
      </c>
      <c r="G23" s="135"/>
      <c r="H23" s="135"/>
      <c r="I23" s="135"/>
      <c r="J23" s="135"/>
      <c r="K23" s="135"/>
      <c r="L23" s="135"/>
      <c r="M23" s="132">
        <f t="shared" ref="M23" si="11">SUM(N23:O23)</f>
        <v>0</v>
      </c>
      <c r="N23" s="132">
        <f t="shared" ref="N23:O38" si="12">+P23+R23-T23</f>
        <v>0</v>
      </c>
      <c r="O23" s="132">
        <f t="shared" si="12"/>
        <v>0</v>
      </c>
      <c r="P23" s="135">
        <v>3425045</v>
      </c>
      <c r="Q23" s="135">
        <v>6550000</v>
      </c>
      <c r="R23" s="135"/>
      <c r="S23" s="135"/>
      <c r="T23" s="135">
        <v>3425045</v>
      </c>
      <c r="U23" s="135">
        <v>6550000</v>
      </c>
      <c r="V23" s="135">
        <f>SUM(W23:X23)</f>
        <v>343000000</v>
      </c>
      <c r="W23" s="135"/>
      <c r="X23" s="135">
        <f>SUM(Y23:Z23)</f>
        <v>343000000</v>
      </c>
      <c r="Y23" s="135">
        <f>+AA23+AC23-AE23</f>
        <v>333000000</v>
      </c>
      <c r="Z23" s="135">
        <f>+AB23+AD23-AF23</f>
        <v>10000000</v>
      </c>
      <c r="AA23" s="135">
        <v>333000000</v>
      </c>
      <c r="AB23" s="135">
        <v>10000000</v>
      </c>
      <c r="AC23" s="135"/>
      <c r="AD23" s="135"/>
      <c r="AE23" s="135"/>
      <c r="AF23" s="135"/>
      <c r="AG23" s="217">
        <f t="shared" ref="AG23:AG38" si="13">+AH23+AK23</f>
        <v>324480000</v>
      </c>
      <c r="AH23" s="135">
        <f t="shared" ref="AH23:AH36" si="14">SUM(AI23:AJ23)</f>
        <v>0</v>
      </c>
      <c r="AI23" s="135"/>
      <c r="AJ23" s="135"/>
      <c r="AK23" s="217">
        <f t="shared" ref="AK23:AK35" si="15">SUM(AL23:AM23)</f>
        <v>324480000</v>
      </c>
      <c r="AL23" s="217">
        <v>314480000</v>
      </c>
      <c r="AM23" s="217">
        <v>10000000</v>
      </c>
      <c r="AN23" s="133">
        <f t="shared" si="10"/>
        <v>94.600583090379004</v>
      </c>
      <c r="AO23" s="109"/>
      <c r="AP23" s="109"/>
      <c r="AQ23" s="95"/>
      <c r="AR23" s="95"/>
      <c r="AU23" s="111"/>
      <c r="AV23" s="111"/>
    </row>
    <row r="24" spans="1:48" s="110" customFormat="1" ht="24" customHeight="1">
      <c r="A24" s="107"/>
      <c r="B24" s="108" t="s">
        <v>179</v>
      </c>
      <c r="C24" s="145">
        <f t="shared" ref="C24:C38" si="16">+D24+M24+V24</f>
        <v>616200000</v>
      </c>
      <c r="D24" s="135">
        <f t="shared" ref="D24:D87" si="17">SUM(E24:F24)</f>
        <v>23852000</v>
      </c>
      <c r="E24" s="135">
        <f t="shared" si="8"/>
        <v>23852000</v>
      </c>
      <c r="F24" s="135">
        <f t="shared" si="8"/>
        <v>0</v>
      </c>
      <c r="G24" s="135"/>
      <c r="H24" s="135"/>
      <c r="I24" s="135">
        <v>23852000</v>
      </c>
      <c r="J24" s="135"/>
      <c r="K24" s="135"/>
      <c r="L24" s="135"/>
      <c r="M24" s="132">
        <f t="shared" ref="M24:M38" si="18">SUM(N24:O24)</f>
        <v>442348000</v>
      </c>
      <c r="N24" s="132">
        <f t="shared" si="12"/>
        <v>429038000</v>
      </c>
      <c r="O24" s="132">
        <f t="shared" si="12"/>
        <v>13310000</v>
      </c>
      <c r="P24" s="135">
        <v>116298600</v>
      </c>
      <c r="Q24" s="135">
        <v>2900000</v>
      </c>
      <c r="R24" s="135">
        <f>336591400-I24</f>
        <v>312739400</v>
      </c>
      <c r="S24" s="135">
        <v>10410000</v>
      </c>
      <c r="T24" s="135"/>
      <c r="U24" s="135"/>
      <c r="V24" s="135">
        <f t="shared" ref="V24:V38" si="19">SUM(W24:X24)</f>
        <v>150000000</v>
      </c>
      <c r="W24" s="135"/>
      <c r="X24" s="135">
        <f t="shared" ref="X24:X87" si="20">SUM(Y24:Z24)</f>
        <v>150000000</v>
      </c>
      <c r="Y24" s="135">
        <f t="shared" ref="Y24:Z87" si="21">+AA24+AC24-AE24</f>
        <v>146000000</v>
      </c>
      <c r="Z24" s="135">
        <f t="shared" si="21"/>
        <v>4000000</v>
      </c>
      <c r="AA24" s="135">
        <v>146000000</v>
      </c>
      <c r="AB24" s="135">
        <v>4000000</v>
      </c>
      <c r="AC24" s="135"/>
      <c r="AD24" s="135"/>
      <c r="AE24" s="135"/>
      <c r="AF24" s="135"/>
      <c r="AG24" s="217">
        <f t="shared" si="13"/>
        <v>116200000</v>
      </c>
      <c r="AH24" s="135">
        <f t="shared" si="14"/>
        <v>0</v>
      </c>
      <c r="AI24" s="135"/>
      <c r="AJ24" s="135"/>
      <c r="AK24" s="217">
        <f t="shared" si="15"/>
        <v>116200000</v>
      </c>
      <c r="AL24" s="217">
        <v>112800000</v>
      </c>
      <c r="AM24" s="217">
        <v>3400000</v>
      </c>
      <c r="AN24" s="133">
        <f t="shared" si="10"/>
        <v>18.857513794222655</v>
      </c>
      <c r="AO24" s="109"/>
      <c r="AP24" s="109"/>
      <c r="AQ24" s="95"/>
      <c r="AR24" s="95"/>
      <c r="AU24" s="111"/>
      <c r="AV24" s="111"/>
    </row>
    <row r="25" spans="1:48" s="110" customFormat="1" ht="24" customHeight="1">
      <c r="A25" s="107"/>
      <c r="B25" s="108" t="s">
        <v>181</v>
      </c>
      <c r="C25" s="145">
        <f t="shared" si="16"/>
        <v>1306016500</v>
      </c>
      <c r="D25" s="135">
        <f t="shared" si="17"/>
        <v>0</v>
      </c>
      <c r="E25" s="135">
        <f t="shared" si="8"/>
        <v>0</v>
      </c>
      <c r="F25" s="135">
        <f t="shared" si="8"/>
        <v>0</v>
      </c>
      <c r="G25" s="135"/>
      <c r="H25" s="135"/>
      <c r="I25" s="135"/>
      <c r="J25" s="135"/>
      <c r="K25" s="135"/>
      <c r="L25" s="135"/>
      <c r="M25" s="132">
        <f t="shared" si="18"/>
        <v>491016500</v>
      </c>
      <c r="N25" s="132">
        <f t="shared" si="12"/>
        <v>491016500</v>
      </c>
      <c r="O25" s="132">
        <f t="shared" si="12"/>
        <v>0</v>
      </c>
      <c r="P25" s="135">
        <v>16500</v>
      </c>
      <c r="Q25" s="135"/>
      <c r="R25" s="135">
        <v>491000000</v>
      </c>
      <c r="S25" s="135"/>
      <c r="T25" s="135"/>
      <c r="U25" s="135"/>
      <c r="V25" s="135">
        <f t="shared" si="19"/>
        <v>815000000</v>
      </c>
      <c r="W25" s="135"/>
      <c r="X25" s="135">
        <f t="shared" si="20"/>
        <v>815000000</v>
      </c>
      <c r="Y25" s="135">
        <f t="shared" si="21"/>
        <v>791000000</v>
      </c>
      <c r="Z25" s="135">
        <f t="shared" si="21"/>
        <v>24000000</v>
      </c>
      <c r="AA25" s="135">
        <v>791000000</v>
      </c>
      <c r="AB25" s="135">
        <v>24000000</v>
      </c>
      <c r="AC25" s="135"/>
      <c r="AD25" s="135"/>
      <c r="AE25" s="135"/>
      <c r="AF25" s="135"/>
      <c r="AG25" s="217">
        <f t="shared" si="13"/>
        <v>812150000</v>
      </c>
      <c r="AH25" s="135">
        <f t="shared" si="14"/>
        <v>0</v>
      </c>
      <c r="AI25" s="135"/>
      <c r="AJ25" s="135"/>
      <c r="AK25" s="217">
        <f t="shared" si="15"/>
        <v>812150000</v>
      </c>
      <c r="AL25" s="217">
        <v>788150000</v>
      </c>
      <c r="AM25" s="217">
        <v>24000000</v>
      </c>
      <c r="AN25" s="133">
        <f t="shared" si="10"/>
        <v>62.185278669909607</v>
      </c>
      <c r="AO25" s="109"/>
      <c r="AP25" s="109"/>
      <c r="AQ25" s="95"/>
      <c r="AR25" s="95"/>
      <c r="AU25" s="111"/>
      <c r="AV25" s="111"/>
    </row>
    <row r="26" spans="1:48" s="110" customFormat="1" ht="24" customHeight="1">
      <c r="A26" s="107"/>
      <c r="B26" s="108" t="s">
        <v>159</v>
      </c>
      <c r="C26" s="145">
        <f t="shared" si="16"/>
        <v>0</v>
      </c>
      <c r="D26" s="135">
        <f t="shared" si="17"/>
        <v>0</v>
      </c>
      <c r="E26" s="135">
        <f t="shared" si="8"/>
        <v>0</v>
      </c>
      <c r="F26" s="135">
        <f t="shared" si="8"/>
        <v>0</v>
      </c>
      <c r="G26" s="135"/>
      <c r="H26" s="135"/>
      <c r="I26" s="135"/>
      <c r="J26" s="135"/>
      <c r="K26" s="135"/>
      <c r="L26" s="135"/>
      <c r="M26" s="132">
        <f t="shared" si="18"/>
        <v>0</v>
      </c>
      <c r="N26" s="132">
        <f t="shared" si="12"/>
        <v>0</v>
      </c>
      <c r="O26" s="132">
        <f t="shared" si="12"/>
        <v>0</v>
      </c>
      <c r="P26" s="135"/>
      <c r="Q26" s="135"/>
      <c r="R26" s="135"/>
      <c r="S26" s="135"/>
      <c r="T26" s="135"/>
      <c r="U26" s="135"/>
      <c r="V26" s="135">
        <f t="shared" si="19"/>
        <v>0</v>
      </c>
      <c r="W26" s="135"/>
      <c r="X26" s="135">
        <f t="shared" si="20"/>
        <v>0</v>
      </c>
      <c r="Y26" s="135">
        <f t="shared" si="21"/>
        <v>0</v>
      </c>
      <c r="Z26" s="135">
        <f t="shared" si="21"/>
        <v>0</v>
      </c>
      <c r="AA26" s="135"/>
      <c r="AB26" s="135"/>
      <c r="AC26" s="135"/>
      <c r="AD26" s="135"/>
      <c r="AE26" s="135"/>
      <c r="AF26" s="135"/>
      <c r="AG26" s="217">
        <f t="shared" si="13"/>
        <v>0</v>
      </c>
      <c r="AH26" s="135">
        <f t="shared" si="14"/>
        <v>0</v>
      </c>
      <c r="AI26" s="135"/>
      <c r="AJ26" s="135"/>
      <c r="AK26" s="135">
        <f t="shared" si="15"/>
        <v>0</v>
      </c>
      <c r="AL26" s="135"/>
      <c r="AM26" s="135"/>
      <c r="AN26" s="133"/>
      <c r="AO26" s="109"/>
      <c r="AP26" s="109"/>
      <c r="AQ26" s="95"/>
      <c r="AR26" s="95"/>
      <c r="AU26" s="111"/>
      <c r="AV26" s="111"/>
    </row>
    <row r="27" spans="1:48" s="110" customFormat="1" ht="24" customHeight="1">
      <c r="A27" s="107"/>
      <c r="B27" s="108" t="s">
        <v>157</v>
      </c>
      <c r="C27" s="145">
        <f t="shared" si="16"/>
        <v>392804250</v>
      </c>
      <c r="D27" s="135">
        <f t="shared" si="17"/>
        <v>0</v>
      </c>
      <c r="E27" s="135">
        <f t="shared" si="8"/>
        <v>0</v>
      </c>
      <c r="F27" s="135">
        <f t="shared" si="8"/>
        <v>0</v>
      </c>
      <c r="G27" s="135"/>
      <c r="H27" s="135"/>
      <c r="I27" s="135"/>
      <c r="J27" s="135"/>
      <c r="K27" s="135"/>
      <c r="L27" s="135"/>
      <c r="M27" s="132">
        <f t="shared" si="18"/>
        <v>67804250</v>
      </c>
      <c r="N27" s="132">
        <f t="shared" si="12"/>
        <v>59964250</v>
      </c>
      <c r="O27" s="132">
        <f t="shared" si="12"/>
        <v>7840000</v>
      </c>
      <c r="P27" s="135">
        <v>30964250</v>
      </c>
      <c r="Q27" s="135">
        <v>7840000</v>
      </c>
      <c r="R27" s="135">
        <v>29000000</v>
      </c>
      <c r="S27" s="135"/>
      <c r="T27" s="135"/>
      <c r="U27" s="135"/>
      <c r="V27" s="135">
        <f t="shared" si="19"/>
        <v>325000000</v>
      </c>
      <c r="W27" s="135"/>
      <c r="X27" s="135">
        <f t="shared" si="20"/>
        <v>325000000</v>
      </c>
      <c r="Y27" s="135">
        <f t="shared" si="21"/>
        <v>315000000</v>
      </c>
      <c r="Z27" s="135">
        <f t="shared" si="21"/>
        <v>10000000</v>
      </c>
      <c r="AA27" s="135">
        <v>315000000</v>
      </c>
      <c r="AB27" s="135">
        <v>10000000</v>
      </c>
      <c r="AC27" s="135"/>
      <c r="AD27" s="135"/>
      <c r="AE27" s="135"/>
      <c r="AF27" s="135"/>
      <c r="AG27" s="217">
        <f t="shared" si="13"/>
        <v>0</v>
      </c>
      <c r="AH27" s="135">
        <f t="shared" si="14"/>
        <v>0</v>
      </c>
      <c r="AI27" s="135"/>
      <c r="AJ27" s="135"/>
      <c r="AK27" s="135">
        <f t="shared" si="15"/>
        <v>0</v>
      </c>
      <c r="AL27" s="135"/>
      <c r="AM27" s="135"/>
      <c r="AN27" s="133">
        <f t="shared" si="10"/>
        <v>0</v>
      </c>
      <c r="AO27" s="109"/>
      <c r="AP27" s="109"/>
      <c r="AQ27" s="95"/>
      <c r="AR27" s="95"/>
      <c r="AU27" s="111"/>
      <c r="AV27" s="111"/>
    </row>
    <row r="28" spans="1:48" s="110" customFormat="1" ht="24" customHeight="1">
      <c r="A28" s="107"/>
      <c r="B28" s="108" t="s">
        <v>160</v>
      </c>
      <c r="C28" s="145">
        <f t="shared" si="16"/>
        <v>809982500</v>
      </c>
      <c r="D28" s="135">
        <f t="shared" si="17"/>
        <v>0</v>
      </c>
      <c r="E28" s="135">
        <f t="shared" si="8"/>
        <v>0</v>
      </c>
      <c r="F28" s="135">
        <f t="shared" si="8"/>
        <v>0</v>
      </c>
      <c r="G28" s="135"/>
      <c r="H28" s="135"/>
      <c r="I28" s="135"/>
      <c r="J28" s="135"/>
      <c r="K28" s="135"/>
      <c r="L28" s="135"/>
      <c r="M28" s="132">
        <f t="shared" si="18"/>
        <v>982500</v>
      </c>
      <c r="N28" s="132">
        <f t="shared" si="12"/>
        <v>982500</v>
      </c>
      <c r="O28" s="132">
        <f t="shared" si="12"/>
        <v>0</v>
      </c>
      <c r="P28" s="135">
        <v>982500</v>
      </c>
      <c r="Q28" s="135"/>
      <c r="R28" s="135"/>
      <c r="S28" s="135"/>
      <c r="T28" s="135"/>
      <c r="U28" s="135"/>
      <c r="V28" s="135">
        <f t="shared" si="19"/>
        <v>809000000</v>
      </c>
      <c r="W28" s="135"/>
      <c r="X28" s="135">
        <f t="shared" si="20"/>
        <v>809000000</v>
      </c>
      <c r="Y28" s="135">
        <f t="shared" si="21"/>
        <v>786000000</v>
      </c>
      <c r="Z28" s="135">
        <f t="shared" si="21"/>
        <v>23000000</v>
      </c>
      <c r="AA28" s="135">
        <v>786000000</v>
      </c>
      <c r="AB28" s="135">
        <v>23000000</v>
      </c>
      <c r="AC28" s="135"/>
      <c r="AD28" s="135"/>
      <c r="AE28" s="135"/>
      <c r="AF28" s="135"/>
      <c r="AG28" s="217">
        <f t="shared" si="13"/>
        <v>401110600</v>
      </c>
      <c r="AH28" s="135">
        <f t="shared" si="14"/>
        <v>0</v>
      </c>
      <c r="AI28" s="135"/>
      <c r="AJ28" s="135"/>
      <c r="AK28" s="217">
        <f t="shared" si="15"/>
        <v>401110600</v>
      </c>
      <c r="AL28" s="217">
        <v>389074000</v>
      </c>
      <c r="AM28" s="217">
        <v>12036600</v>
      </c>
      <c r="AN28" s="133">
        <f t="shared" si="10"/>
        <v>49.520897056417887</v>
      </c>
      <c r="AO28" s="109"/>
      <c r="AP28" s="109"/>
      <c r="AQ28" s="95"/>
      <c r="AR28" s="95"/>
      <c r="AU28" s="111"/>
      <c r="AV28" s="111"/>
    </row>
    <row r="29" spans="1:48" s="110" customFormat="1" ht="24" customHeight="1">
      <c r="A29" s="107"/>
      <c r="B29" s="108" t="s">
        <v>158</v>
      </c>
      <c r="C29" s="145">
        <f t="shared" si="16"/>
        <v>515000000</v>
      </c>
      <c r="D29" s="135">
        <f t="shared" si="17"/>
        <v>0</v>
      </c>
      <c r="E29" s="135">
        <f t="shared" si="8"/>
        <v>0</v>
      </c>
      <c r="F29" s="135">
        <f t="shared" si="8"/>
        <v>0</v>
      </c>
      <c r="G29" s="135"/>
      <c r="H29" s="135"/>
      <c r="I29" s="135"/>
      <c r="J29" s="135"/>
      <c r="K29" s="135"/>
      <c r="L29" s="135"/>
      <c r="M29" s="132">
        <f t="shared" si="18"/>
        <v>0</v>
      </c>
      <c r="N29" s="132">
        <f t="shared" si="12"/>
        <v>0</v>
      </c>
      <c r="O29" s="132">
        <f t="shared" si="12"/>
        <v>0</v>
      </c>
      <c r="P29" s="135">
        <v>23060000</v>
      </c>
      <c r="Q29" s="135"/>
      <c r="R29" s="135"/>
      <c r="S29" s="135"/>
      <c r="T29" s="135">
        <v>23060000</v>
      </c>
      <c r="U29" s="135"/>
      <c r="V29" s="135">
        <f t="shared" si="19"/>
        <v>515000000</v>
      </c>
      <c r="W29" s="135"/>
      <c r="X29" s="135">
        <f t="shared" si="20"/>
        <v>515000000</v>
      </c>
      <c r="Y29" s="135">
        <f t="shared" si="21"/>
        <v>500000000</v>
      </c>
      <c r="Z29" s="135">
        <f t="shared" si="21"/>
        <v>15000000</v>
      </c>
      <c r="AA29" s="135">
        <v>500000000</v>
      </c>
      <c r="AB29" s="135">
        <v>15000000</v>
      </c>
      <c r="AC29" s="135"/>
      <c r="AD29" s="135"/>
      <c r="AE29" s="135"/>
      <c r="AF29" s="135"/>
      <c r="AG29" s="217">
        <f t="shared" si="13"/>
        <v>505271000</v>
      </c>
      <c r="AH29" s="135">
        <f t="shared" si="14"/>
        <v>0</v>
      </c>
      <c r="AI29" s="135"/>
      <c r="AJ29" s="135"/>
      <c r="AK29" s="217">
        <f t="shared" si="15"/>
        <v>505271000</v>
      </c>
      <c r="AL29" s="217">
        <v>490271000</v>
      </c>
      <c r="AM29" s="217">
        <v>15000000</v>
      </c>
      <c r="AN29" s="133">
        <f t="shared" si="10"/>
        <v>98.110873786407765</v>
      </c>
      <c r="AO29" s="109"/>
      <c r="AP29" s="109"/>
      <c r="AQ29" s="95"/>
      <c r="AR29" s="95"/>
      <c r="AU29" s="111"/>
      <c r="AV29" s="111"/>
    </row>
    <row r="30" spans="1:48" s="110" customFormat="1" ht="24" customHeight="1">
      <c r="A30" s="107"/>
      <c r="B30" s="108" t="s">
        <v>164</v>
      </c>
      <c r="C30" s="145">
        <f t="shared" si="16"/>
        <v>519000000</v>
      </c>
      <c r="D30" s="135">
        <f t="shared" si="17"/>
        <v>0</v>
      </c>
      <c r="E30" s="135">
        <f t="shared" si="8"/>
        <v>0</v>
      </c>
      <c r="F30" s="135">
        <f t="shared" si="8"/>
        <v>0</v>
      </c>
      <c r="G30" s="135"/>
      <c r="H30" s="135"/>
      <c r="I30" s="135"/>
      <c r="J30" s="135"/>
      <c r="K30" s="135"/>
      <c r="L30" s="135"/>
      <c r="M30" s="132">
        <f t="shared" si="18"/>
        <v>0</v>
      </c>
      <c r="N30" s="132">
        <f t="shared" si="12"/>
        <v>0</v>
      </c>
      <c r="O30" s="132">
        <f t="shared" si="12"/>
        <v>0</v>
      </c>
      <c r="P30" s="135">
        <v>16569400</v>
      </c>
      <c r="Q30" s="135"/>
      <c r="R30" s="135"/>
      <c r="S30" s="135"/>
      <c r="T30" s="135">
        <v>16569400</v>
      </c>
      <c r="U30" s="135"/>
      <c r="V30" s="135">
        <f t="shared" si="19"/>
        <v>519000000</v>
      </c>
      <c r="W30" s="135"/>
      <c r="X30" s="135">
        <f t="shared" si="20"/>
        <v>519000000</v>
      </c>
      <c r="Y30" s="135">
        <f t="shared" si="21"/>
        <v>504000000</v>
      </c>
      <c r="Z30" s="135">
        <f t="shared" si="21"/>
        <v>15000000</v>
      </c>
      <c r="AA30" s="135">
        <v>504000000</v>
      </c>
      <c r="AB30" s="135">
        <v>15000000</v>
      </c>
      <c r="AC30" s="135"/>
      <c r="AD30" s="135"/>
      <c r="AE30" s="135"/>
      <c r="AF30" s="135"/>
      <c r="AG30" s="217">
        <f t="shared" si="13"/>
        <v>515574850</v>
      </c>
      <c r="AH30" s="135">
        <f t="shared" si="14"/>
        <v>0</v>
      </c>
      <c r="AI30" s="135"/>
      <c r="AJ30" s="135"/>
      <c r="AK30" s="217">
        <f t="shared" si="15"/>
        <v>515574850</v>
      </c>
      <c r="AL30" s="217">
        <v>500574850</v>
      </c>
      <c r="AM30" s="217">
        <v>15000000</v>
      </c>
      <c r="AN30" s="133">
        <f t="shared" si="10"/>
        <v>99.340048169556837</v>
      </c>
      <c r="AO30" s="109"/>
      <c r="AP30" s="109"/>
      <c r="AQ30" s="95"/>
      <c r="AR30" s="95"/>
      <c r="AU30" s="111"/>
      <c r="AV30" s="111"/>
    </row>
    <row r="31" spans="1:48" s="110" customFormat="1" ht="24" customHeight="1">
      <c r="A31" s="107"/>
      <c r="B31" s="108" t="s">
        <v>161</v>
      </c>
      <c r="C31" s="145">
        <f t="shared" si="16"/>
        <v>697570178.99999988</v>
      </c>
      <c r="D31" s="135">
        <f t="shared" si="17"/>
        <v>0</v>
      </c>
      <c r="E31" s="135">
        <f t="shared" si="8"/>
        <v>0</v>
      </c>
      <c r="F31" s="135">
        <f t="shared" si="8"/>
        <v>0</v>
      </c>
      <c r="G31" s="135"/>
      <c r="H31" s="135"/>
      <c r="I31" s="135"/>
      <c r="J31" s="135"/>
      <c r="K31" s="135"/>
      <c r="L31" s="135"/>
      <c r="M31" s="132">
        <f t="shared" si="18"/>
        <v>12730000</v>
      </c>
      <c r="N31" s="132">
        <f t="shared" si="12"/>
        <v>12000000</v>
      </c>
      <c r="O31" s="132">
        <f t="shared" si="12"/>
        <v>730000</v>
      </c>
      <c r="P31" s="135">
        <v>12000000</v>
      </c>
      <c r="Q31" s="135">
        <v>730000</v>
      </c>
      <c r="R31" s="135"/>
      <c r="S31" s="135"/>
      <c r="T31" s="135"/>
      <c r="U31" s="135"/>
      <c r="V31" s="135">
        <f t="shared" si="19"/>
        <v>684840178.99999988</v>
      </c>
      <c r="W31" s="135"/>
      <c r="X31" s="135">
        <f t="shared" si="20"/>
        <v>684840178.99999988</v>
      </c>
      <c r="Y31" s="135">
        <f t="shared" si="21"/>
        <v>670840178.99999988</v>
      </c>
      <c r="Z31" s="135">
        <f t="shared" si="21"/>
        <v>14000000</v>
      </c>
      <c r="AA31" s="135">
        <v>466000000</v>
      </c>
      <c r="AB31" s="135">
        <v>14000000</v>
      </c>
      <c r="AC31" s="135">
        <v>204840178.99999988</v>
      </c>
      <c r="AD31" s="135"/>
      <c r="AE31" s="135"/>
      <c r="AF31" s="135"/>
      <c r="AG31" s="217">
        <f t="shared" si="13"/>
        <v>490210000</v>
      </c>
      <c r="AH31" s="217">
        <f t="shared" si="14"/>
        <v>12730000</v>
      </c>
      <c r="AI31" s="217">
        <v>12730000</v>
      </c>
      <c r="AJ31" s="217"/>
      <c r="AK31" s="217">
        <f t="shared" si="15"/>
        <v>477480000</v>
      </c>
      <c r="AL31" s="217">
        <f>475480000-AI31</f>
        <v>462750000</v>
      </c>
      <c r="AM31" s="217">
        <v>14730000</v>
      </c>
      <c r="AN31" s="133">
        <f t="shared" si="10"/>
        <v>70.2739329686856</v>
      </c>
      <c r="AO31" s="109"/>
      <c r="AP31" s="109"/>
      <c r="AQ31" s="95"/>
      <c r="AR31" s="95"/>
      <c r="AU31" s="111"/>
      <c r="AV31" s="111"/>
    </row>
    <row r="32" spans="1:48" s="110" customFormat="1" ht="24" customHeight="1">
      <c r="A32" s="107"/>
      <c r="B32" s="108" t="s">
        <v>153</v>
      </c>
      <c r="C32" s="145">
        <f t="shared" si="16"/>
        <v>1123066950</v>
      </c>
      <c r="D32" s="135">
        <f t="shared" si="17"/>
        <v>0</v>
      </c>
      <c r="E32" s="135">
        <f t="shared" si="8"/>
        <v>0</v>
      </c>
      <c r="F32" s="135">
        <f t="shared" si="8"/>
        <v>0</v>
      </c>
      <c r="G32" s="135"/>
      <c r="H32" s="135"/>
      <c r="I32" s="135"/>
      <c r="J32" s="135"/>
      <c r="K32" s="135"/>
      <c r="L32" s="135"/>
      <c r="M32" s="132">
        <f t="shared" si="18"/>
        <v>811415960</v>
      </c>
      <c r="N32" s="132">
        <f t="shared" si="12"/>
        <v>787415960</v>
      </c>
      <c r="O32" s="132">
        <f t="shared" si="12"/>
        <v>24000000</v>
      </c>
      <c r="P32" s="135">
        <v>11415960</v>
      </c>
      <c r="Q32" s="135"/>
      <c r="R32" s="135">
        <v>776000000</v>
      </c>
      <c r="S32" s="135">
        <v>24000000</v>
      </c>
      <c r="T32" s="135"/>
      <c r="U32" s="135"/>
      <c r="V32" s="135">
        <f t="shared" si="19"/>
        <v>311650990</v>
      </c>
      <c r="W32" s="135"/>
      <c r="X32" s="135">
        <f t="shared" si="20"/>
        <v>311650990</v>
      </c>
      <c r="Y32" s="135">
        <f t="shared" si="21"/>
        <v>302650990</v>
      </c>
      <c r="Z32" s="135">
        <f t="shared" si="21"/>
        <v>9000000</v>
      </c>
      <c r="AA32" s="135">
        <v>292000000</v>
      </c>
      <c r="AB32" s="135">
        <v>9000000</v>
      </c>
      <c r="AC32" s="135">
        <v>10650990</v>
      </c>
      <c r="AD32" s="135"/>
      <c r="AE32" s="135"/>
      <c r="AF32" s="135"/>
      <c r="AG32" s="217">
        <f t="shared" si="13"/>
        <v>311040000</v>
      </c>
      <c r="AH32" s="135">
        <f t="shared" si="14"/>
        <v>0</v>
      </c>
      <c r="AI32" s="135"/>
      <c r="AJ32" s="135"/>
      <c r="AK32" s="217">
        <f t="shared" si="15"/>
        <v>311040000</v>
      </c>
      <c r="AL32" s="217">
        <v>302040000</v>
      </c>
      <c r="AM32" s="217">
        <v>9000000</v>
      </c>
      <c r="AN32" s="133">
        <f t="shared" si="10"/>
        <v>27.695588406372391</v>
      </c>
      <c r="AO32" s="109"/>
      <c r="AP32" s="109"/>
      <c r="AQ32" s="95"/>
      <c r="AR32" s="95"/>
      <c r="AU32" s="111"/>
      <c r="AV32" s="111"/>
    </row>
    <row r="33" spans="1:48" s="110" customFormat="1" ht="24" customHeight="1">
      <c r="A33" s="107"/>
      <c r="B33" s="108" t="s">
        <v>189</v>
      </c>
      <c r="C33" s="145">
        <f t="shared" si="16"/>
        <v>236807700</v>
      </c>
      <c r="D33" s="135">
        <f t="shared" si="17"/>
        <v>0</v>
      </c>
      <c r="E33" s="135">
        <f t="shared" si="8"/>
        <v>0</v>
      </c>
      <c r="F33" s="135">
        <f t="shared" si="8"/>
        <v>0</v>
      </c>
      <c r="G33" s="135"/>
      <c r="H33" s="135"/>
      <c r="I33" s="135"/>
      <c r="J33" s="135"/>
      <c r="K33" s="135"/>
      <c r="L33" s="135"/>
      <c r="M33" s="132">
        <f t="shared" si="18"/>
        <v>0</v>
      </c>
      <c r="N33" s="132">
        <f t="shared" si="12"/>
        <v>0</v>
      </c>
      <c r="O33" s="132">
        <f t="shared" si="12"/>
        <v>0</v>
      </c>
      <c r="P33" s="135"/>
      <c r="Q33" s="135"/>
      <c r="R33" s="135"/>
      <c r="S33" s="135"/>
      <c r="T33" s="135"/>
      <c r="U33" s="135"/>
      <c r="V33" s="135">
        <f t="shared" si="19"/>
        <v>236807700</v>
      </c>
      <c r="W33" s="135"/>
      <c r="X33" s="135">
        <f t="shared" si="20"/>
        <v>236807700</v>
      </c>
      <c r="Y33" s="135">
        <f t="shared" si="21"/>
        <v>229807700</v>
      </c>
      <c r="Z33" s="135">
        <f t="shared" si="21"/>
        <v>7000000</v>
      </c>
      <c r="AA33" s="135">
        <v>233000000</v>
      </c>
      <c r="AB33" s="135">
        <v>7000000</v>
      </c>
      <c r="AC33" s="135"/>
      <c r="AD33" s="135"/>
      <c r="AE33" s="135">
        <v>3192300</v>
      </c>
      <c r="AF33" s="135"/>
      <c r="AG33" s="217">
        <f t="shared" si="13"/>
        <v>236807700</v>
      </c>
      <c r="AH33" s="135">
        <f t="shared" si="14"/>
        <v>0</v>
      </c>
      <c r="AI33" s="135"/>
      <c r="AJ33" s="135"/>
      <c r="AK33" s="217">
        <f t="shared" si="15"/>
        <v>236807700</v>
      </c>
      <c r="AL33" s="217">
        <v>229807700</v>
      </c>
      <c r="AM33" s="217">
        <v>7000000</v>
      </c>
      <c r="AN33" s="133">
        <f t="shared" si="10"/>
        <v>100</v>
      </c>
      <c r="AO33" s="109"/>
      <c r="AP33" s="109"/>
      <c r="AQ33" s="95"/>
      <c r="AR33" s="95"/>
      <c r="AU33" s="111"/>
      <c r="AV33" s="111"/>
    </row>
    <row r="34" spans="1:48" s="110" customFormat="1" ht="24" customHeight="1">
      <c r="A34" s="107"/>
      <c r="B34" s="108" t="s">
        <v>233</v>
      </c>
      <c r="C34" s="145">
        <f t="shared" si="16"/>
        <v>0</v>
      </c>
      <c r="D34" s="135">
        <f t="shared" si="17"/>
        <v>0</v>
      </c>
      <c r="E34" s="135">
        <f t="shared" si="8"/>
        <v>0</v>
      </c>
      <c r="F34" s="135">
        <f t="shared" si="8"/>
        <v>0</v>
      </c>
      <c r="G34" s="135">
        <v>7567000</v>
      </c>
      <c r="H34" s="135"/>
      <c r="I34" s="135"/>
      <c r="J34" s="135"/>
      <c r="K34" s="135">
        <v>7567000</v>
      </c>
      <c r="L34" s="135"/>
      <c r="M34" s="132">
        <f t="shared" si="18"/>
        <v>0</v>
      </c>
      <c r="N34" s="132">
        <f t="shared" si="12"/>
        <v>0</v>
      </c>
      <c r="O34" s="132">
        <f t="shared" si="12"/>
        <v>0</v>
      </c>
      <c r="P34" s="135"/>
      <c r="Q34" s="135">
        <v>238000</v>
      </c>
      <c r="R34" s="135"/>
      <c r="S34" s="135"/>
      <c r="T34" s="135"/>
      <c r="U34" s="135">
        <v>238000</v>
      </c>
      <c r="V34" s="135">
        <f t="shared" si="19"/>
        <v>0</v>
      </c>
      <c r="W34" s="135"/>
      <c r="X34" s="135">
        <f t="shared" si="20"/>
        <v>0</v>
      </c>
      <c r="Y34" s="135">
        <f t="shared" si="21"/>
        <v>0</v>
      </c>
      <c r="Z34" s="135">
        <f t="shared" si="21"/>
        <v>0</v>
      </c>
      <c r="AA34" s="135"/>
      <c r="AB34" s="135"/>
      <c r="AC34" s="135"/>
      <c r="AD34" s="135"/>
      <c r="AE34" s="135"/>
      <c r="AF34" s="135"/>
      <c r="AG34" s="217">
        <f t="shared" si="13"/>
        <v>0</v>
      </c>
      <c r="AH34" s="135">
        <f t="shared" si="14"/>
        <v>0</v>
      </c>
      <c r="AI34" s="135"/>
      <c r="AJ34" s="135"/>
      <c r="AK34" s="135">
        <f t="shared" si="15"/>
        <v>0</v>
      </c>
      <c r="AL34" s="135"/>
      <c r="AM34" s="135"/>
      <c r="AN34" s="133"/>
      <c r="AO34" s="109"/>
      <c r="AP34" s="109"/>
      <c r="AQ34" s="95"/>
      <c r="AR34" s="95"/>
      <c r="AU34" s="111"/>
      <c r="AV34" s="111"/>
    </row>
    <row r="35" spans="1:48" s="110" customFormat="1" ht="24" customHeight="1">
      <c r="A35" s="107"/>
      <c r="B35" s="108" t="s">
        <v>163</v>
      </c>
      <c r="C35" s="145">
        <f t="shared" si="16"/>
        <v>511000000</v>
      </c>
      <c r="D35" s="135">
        <f t="shared" si="17"/>
        <v>0</v>
      </c>
      <c r="E35" s="135">
        <f t="shared" si="8"/>
        <v>0</v>
      </c>
      <c r="F35" s="135">
        <f t="shared" si="8"/>
        <v>0</v>
      </c>
      <c r="G35" s="135">
        <v>75000</v>
      </c>
      <c r="H35" s="135"/>
      <c r="I35" s="135"/>
      <c r="J35" s="135"/>
      <c r="K35" s="135">
        <v>75000</v>
      </c>
      <c r="L35" s="135"/>
      <c r="M35" s="132">
        <f t="shared" si="18"/>
        <v>0</v>
      </c>
      <c r="N35" s="132">
        <f t="shared" si="12"/>
        <v>0</v>
      </c>
      <c r="O35" s="132">
        <f t="shared" si="12"/>
        <v>0</v>
      </c>
      <c r="P35" s="135">
        <v>386496000</v>
      </c>
      <c r="Q35" s="135">
        <v>9200000</v>
      </c>
      <c r="R35" s="135"/>
      <c r="S35" s="135"/>
      <c r="T35" s="135">
        <v>386496000</v>
      </c>
      <c r="U35" s="135">
        <v>9200000</v>
      </c>
      <c r="V35" s="135">
        <f t="shared" si="19"/>
        <v>511000000</v>
      </c>
      <c r="W35" s="135"/>
      <c r="X35" s="135">
        <f t="shared" si="20"/>
        <v>511000000</v>
      </c>
      <c r="Y35" s="135">
        <f t="shared" si="21"/>
        <v>496000000</v>
      </c>
      <c r="Z35" s="135">
        <f t="shared" si="21"/>
        <v>15000000</v>
      </c>
      <c r="AA35" s="135">
        <v>496000000</v>
      </c>
      <c r="AB35" s="135">
        <v>15000000</v>
      </c>
      <c r="AC35" s="135"/>
      <c r="AD35" s="135"/>
      <c r="AE35" s="135"/>
      <c r="AF35" s="135"/>
      <c r="AG35" s="217">
        <f t="shared" si="13"/>
        <v>473391600</v>
      </c>
      <c r="AH35" s="135">
        <f t="shared" si="14"/>
        <v>0</v>
      </c>
      <c r="AI35" s="135"/>
      <c r="AJ35" s="135"/>
      <c r="AK35" s="217">
        <f t="shared" si="15"/>
        <v>473391600</v>
      </c>
      <c r="AL35" s="217">
        <v>458391600</v>
      </c>
      <c r="AM35" s="217">
        <v>15000000</v>
      </c>
      <c r="AN35" s="133">
        <f t="shared" si="10"/>
        <v>92.640234833659491</v>
      </c>
      <c r="AO35" s="109"/>
      <c r="AP35" s="109"/>
      <c r="AQ35" s="95"/>
      <c r="AR35" s="95"/>
      <c r="AU35" s="111"/>
      <c r="AV35" s="111"/>
    </row>
    <row r="36" spans="1:48" s="110" customFormat="1" ht="24" customHeight="1">
      <c r="A36" s="107"/>
      <c r="B36" s="108" t="s">
        <v>159</v>
      </c>
      <c r="C36" s="145">
        <f t="shared" si="16"/>
        <v>974220300</v>
      </c>
      <c r="D36" s="135">
        <f t="shared" si="17"/>
        <v>0</v>
      </c>
      <c r="E36" s="135">
        <f t="shared" ref="E36:F99" si="22">G36+I36-K36</f>
        <v>0</v>
      </c>
      <c r="F36" s="135">
        <f t="shared" si="22"/>
        <v>0</v>
      </c>
      <c r="G36" s="135"/>
      <c r="H36" s="135"/>
      <c r="I36" s="135"/>
      <c r="J36" s="135"/>
      <c r="K36" s="135"/>
      <c r="L36" s="135"/>
      <c r="M36" s="132">
        <f t="shared" si="18"/>
        <v>676220300</v>
      </c>
      <c r="N36" s="132">
        <f t="shared" si="12"/>
        <v>636420300</v>
      </c>
      <c r="O36" s="132">
        <f t="shared" si="12"/>
        <v>39800000</v>
      </c>
      <c r="P36" s="135">
        <v>62586300</v>
      </c>
      <c r="Q36" s="135">
        <v>1810000</v>
      </c>
      <c r="R36" s="135">
        <v>573834000</v>
      </c>
      <c r="S36" s="135">
        <v>37990000</v>
      </c>
      <c r="T36" s="135"/>
      <c r="U36" s="135"/>
      <c r="V36" s="135">
        <f t="shared" si="19"/>
        <v>298000000</v>
      </c>
      <c r="W36" s="135"/>
      <c r="X36" s="135">
        <f t="shared" si="20"/>
        <v>298000000</v>
      </c>
      <c r="Y36" s="135">
        <f t="shared" si="21"/>
        <v>289000000</v>
      </c>
      <c r="Z36" s="135">
        <f t="shared" si="21"/>
        <v>9000000</v>
      </c>
      <c r="AA36" s="135">
        <v>289000000</v>
      </c>
      <c r="AB36" s="135">
        <v>9000000</v>
      </c>
      <c r="AC36" s="135"/>
      <c r="AD36" s="135"/>
      <c r="AE36" s="135"/>
      <c r="AF36" s="135"/>
      <c r="AG36" s="217">
        <f t="shared" si="13"/>
        <v>0</v>
      </c>
      <c r="AH36" s="135">
        <f t="shared" si="14"/>
        <v>0</v>
      </c>
      <c r="AI36" s="135"/>
      <c r="AJ36" s="135"/>
      <c r="AK36" s="135"/>
      <c r="AL36" s="135"/>
      <c r="AM36" s="135"/>
      <c r="AN36" s="133">
        <f t="shared" si="10"/>
        <v>0</v>
      </c>
      <c r="AO36" s="109"/>
      <c r="AP36" s="109"/>
      <c r="AQ36" s="95"/>
      <c r="AR36" s="95"/>
      <c r="AU36" s="111"/>
      <c r="AV36" s="111"/>
    </row>
    <row r="37" spans="1:48" s="110" customFormat="1" ht="24" customHeight="1">
      <c r="A37" s="107"/>
      <c r="B37" s="108" t="s">
        <v>162</v>
      </c>
      <c r="C37" s="145">
        <f t="shared" si="16"/>
        <v>143161720</v>
      </c>
      <c r="D37" s="135">
        <f t="shared" si="17"/>
        <v>0</v>
      </c>
      <c r="E37" s="135">
        <f t="shared" si="22"/>
        <v>0</v>
      </c>
      <c r="F37" s="135">
        <f t="shared" si="22"/>
        <v>0</v>
      </c>
      <c r="G37" s="135"/>
      <c r="H37" s="135"/>
      <c r="I37" s="135"/>
      <c r="J37" s="135"/>
      <c r="K37" s="135"/>
      <c r="L37" s="135"/>
      <c r="M37" s="132">
        <f t="shared" si="18"/>
        <v>143161720</v>
      </c>
      <c r="N37" s="132">
        <f t="shared" si="12"/>
        <v>132671500</v>
      </c>
      <c r="O37" s="132">
        <f t="shared" si="12"/>
        <v>10490220</v>
      </c>
      <c r="P37" s="135">
        <v>132671500</v>
      </c>
      <c r="Q37" s="135">
        <v>10490220</v>
      </c>
      <c r="R37" s="135"/>
      <c r="S37" s="135"/>
      <c r="T37" s="135"/>
      <c r="U37" s="135"/>
      <c r="V37" s="135">
        <f t="shared" si="19"/>
        <v>0</v>
      </c>
      <c r="W37" s="135"/>
      <c r="X37" s="135">
        <f t="shared" si="20"/>
        <v>0</v>
      </c>
      <c r="Y37" s="135">
        <f t="shared" si="21"/>
        <v>0</v>
      </c>
      <c r="Z37" s="135">
        <f t="shared" si="21"/>
        <v>0</v>
      </c>
      <c r="AA37" s="135"/>
      <c r="AB37" s="135"/>
      <c r="AC37" s="135"/>
      <c r="AD37" s="135"/>
      <c r="AE37" s="135"/>
      <c r="AF37" s="135"/>
      <c r="AG37" s="217">
        <f t="shared" si="13"/>
        <v>143161720</v>
      </c>
      <c r="AH37" s="217">
        <f>SUM(AI37:AJ37)</f>
        <v>143161720</v>
      </c>
      <c r="AI37" s="217">
        <v>132671500</v>
      </c>
      <c r="AJ37" s="217">
        <v>10490220</v>
      </c>
      <c r="AK37" s="135"/>
      <c r="AL37" s="135"/>
      <c r="AM37" s="135"/>
      <c r="AN37" s="133">
        <f t="shared" si="10"/>
        <v>100</v>
      </c>
      <c r="AO37" s="109"/>
      <c r="AP37" s="109"/>
      <c r="AQ37" s="95"/>
      <c r="AR37" s="95"/>
      <c r="AU37" s="111"/>
      <c r="AV37" s="111"/>
    </row>
    <row r="38" spans="1:48" s="110" customFormat="1" ht="24" customHeight="1">
      <c r="A38" s="107"/>
      <c r="B38" s="108" t="s">
        <v>231</v>
      </c>
      <c r="C38" s="145">
        <f t="shared" si="16"/>
        <v>0</v>
      </c>
      <c r="D38" s="135">
        <f t="shared" si="17"/>
        <v>0</v>
      </c>
      <c r="E38" s="135">
        <f t="shared" si="22"/>
        <v>0</v>
      </c>
      <c r="F38" s="135">
        <f t="shared" si="22"/>
        <v>0</v>
      </c>
      <c r="G38" s="135">
        <v>16210000</v>
      </c>
      <c r="H38" s="135"/>
      <c r="I38" s="135"/>
      <c r="J38" s="135"/>
      <c r="K38" s="135">
        <v>16210000</v>
      </c>
      <c r="L38" s="135"/>
      <c r="M38" s="132">
        <f t="shared" si="18"/>
        <v>0</v>
      </c>
      <c r="N38" s="132">
        <f t="shared" si="12"/>
        <v>0</v>
      </c>
      <c r="O38" s="132">
        <f t="shared" si="12"/>
        <v>0</v>
      </c>
      <c r="P38" s="135"/>
      <c r="Q38" s="135"/>
      <c r="R38" s="135"/>
      <c r="S38" s="135"/>
      <c r="T38" s="135"/>
      <c r="U38" s="135"/>
      <c r="V38" s="135">
        <f t="shared" si="19"/>
        <v>0</v>
      </c>
      <c r="W38" s="135"/>
      <c r="X38" s="135">
        <f t="shared" si="20"/>
        <v>0</v>
      </c>
      <c r="Y38" s="135">
        <f t="shared" si="21"/>
        <v>0</v>
      </c>
      <c r="Z38" s="135">
        <f t="shared" si="21"/>
        <v>0</v>
      </c>
      <c r="AA38" s="135"/>
      <c r="AB38" s="135"/>
      <c r="AC38" s="135"/>
      <c r="AD38" s="135"/>
      <c r="AE38" s="135"/>
      <c r="AF38" s="135"/>
      <c r="AG38" s="217">
        <f t="shared" si="13"/>
        <v>0</v>
      </c>
      <c r="AH38" s="135"/>
      <c r="AI38" s="135"/>
      <c r="AJ38" s="135"/>
      <c r="AK38" s="135"/>
      <c r="AL38" s="135"/>
      <c r="AM38" s="135"/>
      <c r="AN38" s="131"/>
      <c r="AO38" s="109"/>
      <c r="AP38" s="109"/>
      <c r="AQ38" s="95"/>
      <c r="AR38" s="95"/>
      <c r="AU38" s="111"/>
      <c r="AV38" s="111"/>
    </row>
    <row r="39" spans="1:48" ht="40.5" customHeight="1">
      <c r="A39" s="102" t="s">
        <v>14</v>
      </c>
      <c r="B39" s="103" t="s">
        <v>89</v>
      </c>
      <c r="C39" s="134">
        <f>+C40+C54</f>
        <v>6310182465</v>
      </c>
      <c r="D39" s="130">
        <f t="shared" si="17"/>
        <v>168387740</v>
      </c>
      <c r="E39" s="135">
        <f t="shared" si="22"/>
        <v>155957740</v>
      </c>
      <c r="F39" s="135">
        <f t="shared" si="22"/>
        <v>12430000</v>
      </c>
      <c r="G39" s="134">
        <f t="shared" ref="G39:AM39" si="23">+G40+G54</f>
        <v>131359550</v>
      </c>
      <c r="H39" s="134">
        <f t="shared" si="23"/>
        <v>12430000</v>
      </c>
      <c r="I39" s="134">
        <f t="shared" si="23"/>
        <v>70991790</v>
      </c>
      <c r="J39" s="134">
        <f t="shared" si="23"/>
        <v>12430000</v>
      </c>
      <c r="K39" s="134">
        <f t="shared" si="23"/>
        <v>46393600</v>
      </c>
      <c r="L39" s="134">
        <f t="shared" si="23"/>
        <v>12430000</v>
      </c>
      <c r="M39" s="134">
        <f t="shared" si="23"/>
        <v>2755927175</v>
      </c>
      <c r="N39" s="134">
        <f t="shared" si="23"/>
        <v>2660256902</v>
      </c>
      <c r="O39" s="134">
        <f t="shared" si="23"/>
        <v>95670273</v>
      </c>
      <c r="P39" s="134">
        <f t="shared" si="23"/>
        <v>432346797</v>
      </c>
      <c r="Q39" s="134">
        <f t="shared" si="23"/>
        <v>10630273</v>
      </c>
      <c r="R39" s="134">
        <f t="shared" si="23"/>
        <v>2320991935</v>
      </c>
      <c r="S39" s="134">
        <f t="shared" si="23"/>
        <v>95670000</v>
      </c>
      <c r="T39" s="134">
        <f t="shared" si="23"/>
        <v>93081830</v>
      </c>
      <c r="U39" s="134">
        <f t="shared" si="23"/>
        <v>10630000</v>
      </c>
      <c r="V39" s="134">
        <f t="shared" si="23"/>
        <v>4525867550</v>
      </c>
      <c r="W39" s="134">
        <f t="shared" si="23"/>
        <v>0</v>
      </c>
      <c r="X39" s="130">
        <f t="shared" si="20"/>
        <v>4525867550</v>
      </c>
      <c r="Y39" s="130">
        <f t="shared" si="21"/>
        <v>4368520550</v>
      </c>
      <c r="Z39" s="130">
        <f t="shared" si="21"/>
        <v>157347000</v>
      </c>
      <c r="AA39" s="134">
        <f t="shared" si="23"/>
        <v>2602000000</v>
      </c>
      <c r="AB39" s="134">
        <f t="shared" si="23"/>
        <v>78000000</v>
      </c>
      <c r="AC39" s="134">
        <f t="shared" si="23"/>
        <v>1775869275</v>
      </c>
      <c r="AD39" s="134">
        <f t="shared" si="23"/>
        <v>82847000</v>
      </c>
      <c r="AE39" s="134">
        <f t="shared" si="23"/>
        <v>9348725</v>
      </c>
      <c r="AF39" s="134">
        <f t="shared" si="23"/>
        <v>3500000</v>
      </c>
      <c r="AG39" s="216">
        <f t="shared" si="23"/>
        <v>2295870755</v>
      </c>
      <c r="AH39" s="336">
        <f t="shared" si="23"/>
        <v>0</v>
      </c>
      <c r="AI39" s="336">
        <f t="shared" si="23"/>
        <v>0</v>
      </c>
      <c r="AJ39" s="336">
        <f t="shared" si="23"/>
        <v>0</v>
      </c>
      <c r="AK39" s="336">
        <f t="shared" si="23"/>
        <v>2295870755</v>
      </c>
      <c r="AL39" s="336">
        <f t="shared" si="23"/>
        <v>2240016755</v>
      </c>
      <c r="AM39" s="336">
        <f t="shared" si="23"/>
        <v>55854000</v>
      </c>
      <c r="AN39" s="131">
        <f t="shared" si="10"/>
        <v>36.383587443536783</v>
      </c>
      <c r="AO39" s="112">
        <f t="shared" ref="AO39" si="24">+AO40+AO54</f>
        <v>0</v>
      </c>
      <c r="AP39" s="112"/>
      <c r="AQ39" s="95"/>
      <c r="AR39" s="95"/>
    </row>
    <row r="40" spans="1:48" s="80" customFormat="1" ht="36" customHeight="1">
      <c r="A40" s="113"/>
      <c r="B40" s="114" t="s">
        <v>90</v>
      </c>
      <c r="C40" s="146">
        <f>SUM(C41:C53)</f>
        <v>5952182465</v>
      </c>
      <c r="D40" s="135">
        <f>SUM(E40:F40)</f>
        <v>168387740</v>
      </c>
      <c r="E40" s="135">
        <f t="shared" si="22"/>
        <v>155957740</v>
      </c>
      <c r="F40" s="135">
        <f t="shared" si="22"/>
        <v>12430000</v>
      </c>
      <c r="G40" s="146">
        <f t="shared" ref="G40:AM40" si="25">SUM(G41:G53)</f>
        <v>131359550</v>
      </c>
      <c r="H40" s="146">
        <f t="shared" si="25"/>
        <v>12430000</v>
      </c>
      <c r="I40" s="146">
        <f t="shared" si="25"/>
        <v>70991790</v>
      </c>
      <c r="J40" s="146">
        <f t="shared" si="25"/>
        <v>12430000</v>
      </c>
      <c r="K40" s="146">
        <f t="shared" si="25"/>
        <v>46393600</v>
      </c>
      <c r="L40" s="146">
        <f t="shared" si="25"/>
        <v>12430000</v>
      </c>
      <c r="M40" s="146">
        <f t="shared" si="25"/>
        <v>2755927175</v>
      </c>
      <c r="N40" s="146">
        <f t="shared" si="25"/>
        <v>2660256902</v>
      </c>
      <c r="O40" s="146">
        <f t="shared" si="25"/>
        <v>95670273</v>
      </c>
      <c r="P40" s="146">
        <f t="shared" si="25"/>
        <v>432168417</v>
      </c>
      <c r="Q40" s="146">
        <f t="shared" si="25"/>
        <v>10630273</v>
      </c>
      <c r="R40" s="146">
        <f t="shared" si="25"/>
        <v>2320991935</v>
      </c>
      <c r="S40" s="146">
        <f t="shared" si="25"/>
        <v>95670000</v>
      </c>
      <c r="T40" s="146">
        <f t="shared" si="25"/>
        <v>92903450</v>
      </c>
      <c r="U40" s="146">
        <f t="shared" si="25"/>
        <v>10630000</v>
      </c>
      <c r="V40" s="146">
        <f t="shared" si="25"/>
        <v>4167867550</v>
      </c>
      <c r="W40" s="146">
        <f t="shared" si="25"/>
        <v>0</v>
      </c>
      <c r="X40" s="135">
        <f t="shared" si="20"/>
        <v>4167867550</v>
      </c>
      <c r="Y40" s="135">
        <f t="shared" si="21"/>
        <v>4020520550</v>
      </c>
      <c r="Z40" s="135">
        <f t="shared" si="21"/>
        <v>147347000</v>
      </c>
      <c r="AA40" s="146">
        <f t="shared" si="25"/>
        <v>2254000000</v>
      </c>
      <c r="AB40" s="146">
        <f t="shared" si="25"/>
        <v>68000000</v>
      </c>
      <c r="AC40" s="146">
        <f t="shared" si="25"/>
        <v>1775869275</v>
      </c>
      <c r="AD40" s="146">
        <f t="shared" si="25"/>
        <v>82847000</v>
      </c>
      <c r="AE40" s="146">
        <f t="shared" si="25"/>
        <v>9348725</v>
      </c>
      <c r="AF40" s="146">
        <f t="shared" si="25"/>
        <v>3500000</v>
      </c>
      <c r="AG40" s="382">
        <f t="shared" si="25"/>
        <v>2215446755</v>
      </c>
      <c r="AH40" s="337">
        <f t="shared" si="25"/>
        <v>0</v>
      </c>
      <c r="AI40" s="337">
        <f t="shared" si="25"/>
        <v>0</v>
      </c>
      <c r="AJ40" s="337">
        <f t="shared" si="25"/>
        <v>0</v>
      </c>
      <c r="AK40" s="337">
        <f t="shared" si="25"/>
        <v>2215446755</v>
      </c>
      <c r="AL40" s="337">
        <f t="shared" si="25"/>
        <v>2162336755</v>
      </c>
      <c r="AM40" s="337">
        <f t="shared" si="25"/>
        <v>53110000</v>
      </c>
      <c r="AN40" s="133">
        <f>+AG40/C40*100</f>
        <v>37.220746642551049</v>
      </c>
      <c r="AO40" s="115">
        <f>SUM(AO41:AO51)</f>
        <v>0</v>
      </c>
      <c r="AP40" s="115"/>
      <c r="AQ40" s="95"/>
      <c r="AR40" s="95"/>
      <c r="AU40" s="79"/>
      <c r="AV40" s="79"/>
    </row>
    <row r="41" spans="1:48" s="80" customFormat="1" ht="27" customHeight="1">
      <c r="A41" s="75"/>
      <c r="B41" s="76" t="s">
        <v>190</v>
      </c>
      <c r="C41" s="145">
        <f>+D41+M41+V41</f>
        <v>200000000</v>
      </c>
      <c r="D41" s="135">
        <f t="shared" si="17"/>
        <v>0</v>
      </c>
      <c r="E41" s="135">
        <f t="shared" si="22"/>
        <v>0</v>
      </c>
      <c r="F41" s="135">
        <f t="shared" si="22"/>
        <v>0</v>
      </c>
      <c r="G41" s="132"/>
      <c r="H41" s="132"/>
      <c r="I41" s="132"/>
      <c r="J41" s="132"/>
      <c r="K41" s="132"/>
      <c r="L41" s="132"/>
      <c r="M41" s="132">
        <f t="shared" ref="M41:M42" si="26">SUM(N41:O41)</f>
        <v>0</v>
      </c>
      <c r="N41" s="132">
        <f t="shared" ref="N41:O55" si="27">+P41+R41-T41</f>
        <v>0</v>
      </c>
      <c r="O41" s="132">
        <f t="shared" si="27"/>
        <v>0</v>
      </c>
      <c r="P41" s="132"/>
      <c r="Q41" s="132"/>
      <c r="R41" s="132"/>
      <c r="S41" s="132"/>
      <c r="T41" s="132"/>
      <c r="U41" s="132"/>
      <c r="V41" s="135">
        <f>SUM(W41:X41)</f>
        <v>200000000</v>
      </c>
      <c r="W41" s="132"/>
      <c r="X41" s="135">
        <f t="shared" si="20"/>
        <v>200000000</v>
      </c>
      <c r="Y41" s="135">
        <f t="shared" si="21"/>
        <v>194000000</v>
      </c>
      <c r="Z41" s="135">
        <f t="shared" si="21"/>
        <v>6000000</v>
      </c>
      <c r="AA41" s="132">
        <v>194000000</v>
      </c>
      <c r="AB41" s="132">
        <v>6000000</v>
      </c>
      <c r="AC41" s="132"/>
      <c r="AD41" s="132"/>
      <c r="AE41" s="132"/>
      <c r="AF41" s="132"/>
      <c r="AG41" s="217">
        <f t="shared" ref="AG41:AG53" si="28">+AH41+AK41</f>
        <v>190320000</v>
      </c>
      <c r="AH41" s="338">
        <f>SUM(AI41:AJ41)</f>
        <v>0</v>
      </c>
      <c r="AI41" s="339"/>
      <c r="AJ41" s="339"/>
      <c r="AK41" s="338">
        <f>SUM(AL41:AM41)</f>
        <v>190320000</v>
      </c>
      <c r="AL41" s="338">
        <v>184710000</v>
      </c>
      <c r="AM41" s="338">
        <v>5610000</v>
      </c>
      <c r="AN41" s="133">
        <f t="shared" si="10"/>
        <v>95.16</v>
      </c>
      <c r="AO41" s="78"/>
      <c r="AP41" s="78"/>
      <c r="AQ41" s="95"/>
      <c r="AR41" s="95"/>
      <c r="AU41" s="79"/>
      <c r="AV41" s="79"/>
    </row>
    <row r="42" spans="1:48" s="80" customFormat="1" ht="27" customHeight="1">
      <c r="A42" s="75"/>
      <c r="B42" s="108" t="s">
        <v>179</v>
      </c>
      <c r="C42" s="145">
        <f t="shared" ref="C42:C53" si="29">+D42+M42+V42</f>
        <v>850010000</v>
      </c>
      <c r="D42" s="135">
        <f t="shared" si="17"/>
        <v>10000</v>
      </c>
      <c r="E42" s="135">
        <f t="shared" si="22"/>
        <v>10000</v>
      </c>
      <c r="F42" s="135">
        <f t="shared" si="22"/>
        <v>0</v>
      </c>
      <c r="G42" s="132">
        <v>38038600</v>
      </c>
      <c r="H42" s="132"/>
      <c r="I42" s="132"/>
      <c r="J42" s="132"/>
      <c r="K42" s="132">
        <v>38028600</v>
      </c>
      <c r="L42" s="132"/>
      <c r="M42" s="132">
        <f t="shared" si="26"/>
        <v>0</v>
      </c>
      <c r="N42" s="132">
        <f t="shared" si="27"/>
        <v>0</v>
      </c>
      <c r="O42" s="132">
        <f t="shared" si="27"/>
        <v>0</v>
      </c>
      <c r="P42" s="132"/>
      <c r="Q42" s="132"/>
      <c r="R42" s="132"/>
      <c r="S42" s="132"/>
      <c r="T42" s="132"/>
      <c r="U42" s="132"/>
      <c r="V42" s="135">
        <f t="shared" ref="V42:V50" si="30">SUM(W42:X42)</f>
        <v>850000000</v>
      </c>
      <c r="W42" s="132"/>
      <c r="X42" s="135">
        <f t="shared" si="20"/>
        <v>850000000</v>
      </c>
      <c r="Y42" s="135">
        <f t="shared" si="21"/>
        <v>807500000</v>
      </c>
      <c r="Z42" s="135">
        <f t="shared" si="21"/>
        <v>42500000</v>
      </c>
      <c r="AA42" s="132"/>
      <c r="AB42" s="132"/>
      <c r="AC42" s="132">
        <v>807500000</v>
      </c>
      <c r="AD42" s="132">
        <v>42500000</v>
      </c>
      <c r="AE42" s="132"/>
      <c r="AF42" s="132"/>
      <c r="AG42" s="217">
        <f t="shared" si="28"/>
        <v>0</v>
      </c>
      <c r="AH42" s="338">
        <f t="shared" ref="AH42:AH53" si="31">SUM(AI42:AJ42)</f>
        <v>0</v>
      </c>
      <c r="AI42" s="339"/>
      <c r="AJ42" s="339"/>
      <c r="AK42" s="338">
        <f>SUM(AL42:AM42)</f>
        <v>0</v>
      </c>
      <c r="AL42" s="339"/>
      <c r="AM42" s="339"/>
      <c r="AN42" s="133"/>
      <c r="AO42" s="78"/>
      <c r="AP42" s="78"/>
      <c r="AQ42" s="95"/>
      <c r="AR42" s="95"/>
      <c r="AU42" s="79"/>
      <c r="AV42" s="79"/>
    </row>
    <row r="43" spans="1:48" s="117" customFormat="1" ht="27" customHeight="1">
      <c r="A43" s="107"/>
      <c r="B43" s="116" t="s">
        <v>186</v>
      </c>
      <c r="C43" s="145">
        <f t="shared" si="29"/>
        <v>501540400</v>
      </c>
      <c r="D43" s="135">
        <f t="shared" si="17"/>
        <v>0</v>
      </c>
      <c r="E43" s="135">
        <f t="shared" si="22"/>
        <v>0</v>
      </c>
      <c r="F43" s="135">
        <f t="shared" si="22"/>
        <v>0</v>
      </c>
      <c r="G43" s="135"/>
      <c r="H43" s="135"/>
      <c r="I43" s="135"/>
      <c r="J43" s="135"/>
      <c r="K43" s="135"/>
      <c r="L43" s="135"/>
      <c r="M43" s="132">
        <f>SUM(N43:O43)</f>
        <v>151540400</v>
      </c>
      <c r="N43" s="132">
        <f t="shared" si="27"/>
        <v>151540127</v>
      </c>
      <c r="O43" s="132">
        <f t="shared" si="27"/>
        <v>273</v>
      </c>
      <c r="P43" s="135">
        <v>151540127</v>
      </c>
      <c r="Q43" s="135">
        <v>273</v>
      </c>
      <c r="R43" s="135"/>
      <c r="S43" s="135"/>
      <c r="T43" s="135"/>
      <c r="U43" s="135"/>
      <c r="V43" s="135">
        <f t="shared" si="30"/>
        <v>350000000</v>
      </c>
      <c r="W43" s="135"/>
      <c r="X43" s="135">
        <f t="shared" si="20"/>
        <v>350000000</v>
      </c>
      <c r="Y43" s="135">
        <f t="shared" si="21"/>
        <v>340000000</v>
      </c>
      <c r="Z43" s="135">
        <f t="shared" si="21"/>
        <v>10000000</v>
      </c>
      <c r="AA43" s="135">
        <v>340000000</v>
      </c>
      <c r="AB43" s="135">
        <v>10000000</v>
      </c>
      <c r="AC43" s="135"/>
      <c r="AD43" s="135"/>
      <c r="AE43" s="135"/>
      <c r="AF43" s="135"/>
      <c r="AG43" s="217">
        <f t="shared" si="28"/>
        <v>398696000</v>
      </c>
      <c r="AH43" s="338">
        <f t="shared" si="31"/>
        <v>0</v>
      </c>
      <c r="AI43" s="338"/>
      <c r="AJ43" s="338"/>
      <c r="AK43" s="338">
        <f>SUM(AL43:AM43)</f>
        <v>398696000</v>
      </c>
      <c r="AL43" s="339">
        <v>388696000</v>
      </c>
      <c r="AM43" s="339">
        <v>10000000</v>
      </c>
      <c r="AN43" s="133">
        <f>+AG43/C43*100</f>
        <v>79.494293979109159</v>
      </c>
      <c r="AO43" s="109"/>
      <c r="AP43" s="109"/>
      <c r="AQ43" s="95"/>
      <c r="AR43" s="95"/>
      <c r="AU43" s="118"/>
      <c r="AV43" s="118"/>
    </row>
    <row r="44" spans="1:48" s="117" customFormat="1" ht="27" customHeight="1">
      <c r="A44" s="107"/>
      <c r="B44" s="108" t="s">
        <v>163</v>
      </c>
      <c r="C44" s="145">
        <f t="shared" si="29"/>
        <v>405000000</v>
      </c>
      <c r="D44" s="135">
        <f t="shared" si="17"/>
        <v>0</v>
      </c>
      <c r="E44" s="135">
        <f t="shared" si="22"/>
        <v>0</v>
      </c>
      <c r="F44" s="135">
        <f t="shared" si="22"/>
        <v>0</v>
      </c>
      <c r="G44" s="135"/>
      <c r="H44" s="135"/>
      <c r="I44" s="135"/>
      <c r="J44" s="135"/>
      <c r="K44" s="135"/>
      <c r="L44" s="135"/>
      <c r="M44" s="132">
        <f t="shared" ref="M44:M52" si="32">SUM(N44:O44)</f>
        <v>0</v>
      </c>
      <c r="N44" s="132">
        <f t="shared" si="27"/>
        <v>0</v>
      </c>
      <c r="O44" s="132">
        <f t="shared" si="27"/>
        <v>0</v>
      </c>
      <c r="P44" s="135"/>
      <c r="Q44" s="135"/>
      <c r="R44" s="135"/>
      <c r="S44" s="135"/>
      <c r="T44" s="135"/>
      <c r="U44" s="135"/>
      <c r="V44" s="135">
        <f t="shared" si="30"/>
        <v>405000000</v>
      </c>
      <c r="W44" s="135"/>
      <c r="X44" s="135">
        <f t="shared" si="20"/>
        <v>405000000</v>
      </c>
      <c r="Y44" s="135">
        <f t="shared" si="21"/>
        <v>393000000</v>
      </c>
      <c r="Z44" s="135">
        <f t="shared" si="21"/>
        <v>12000000</v>
      </c>
      <c r="AA44" s="135">
        <v>393000000</v>
      </c>
      <c r="AB44" s="135">
        <v>12000000</v>
      </c>
      <c r="AC44" s="135"/>
      <c r="AD44" s="135"/>
      <c r="AE44" s="135"/>
      <c r="AF44" s="135"/>
      <c r="AG44" s="217">
        <f t="shared" si="28"/>
        <v>372088000</v>
      </c>
      <c r="AH44" s="135">
        <f t="shared" si="31"/>
        <v>0</v>
      </c>
      <c r="AI44" s="135"/>
      <c r="AJ44" s="135"/>
      <c r="AK44" s="135">
        <f t="shared" ref="AK44:AK45" si="33">SUM(AL44:AM44)</f>
        <v>372088000</v>
      </c>
      <c r="AL44" s="135">
        <v>360088000</v>
      </c>
      <c r="AM44" s="135">
        <v>12000000</v>
      </c>
      <c r="AN44" s="133">
        <f>+AG44/C44*100</f>
        <v>91.873580246913576</v>
      </c>
      <c r="AO44" s="119"/>
      <c r="AP44" s="77"/>
      <c r="AQ44" s="95"/>
      <c r="AR44" s="95"/>
      <c r="AU44" s="118"/>
      <c r="AV44" s="118"/>
    </row>
    <row r="45" spans="1:48" s="117" customFormat="1" ht="27" customHeight="1">
      <c r="A45" s="107"/>
      <c r="B45" s="108" t="s">
        <v>156</v>
      </c>
      <c r="C45" s="145">
        <f t="shared" si="29"/>
        <v>476990190</v>
      </c>
      <c r="D45" s="135">
        <f t="shared" si="17"/>
        <v>84955950</v>
      </c>
      <c r="E45" s="135">
        <f t="shared" si="22"/>
        <v>84955950</v>
      </c>
      <c r="F45" s="135">
        <f t="shared" si="22"/>
        <v>0</v>
      </c>
      <c r="G45" s="135">
        <v>84955950</v>
      </c>
      <c r="H45" s="135"/>
      <c r="I45" s="135"/>
      <c r="J45" s="135"/>
      <c r="K45" s="135"/>
      <c r="L45" s="135"/>
      <c r="M45" s="132">
        <f t="shared" si="32"/>
        <v>76034240</v>
      </c>
      <c r="N45" s="132">
        <f t="shared" si="27"/>
        <v>76034240</v>
      </c>
      <c r="O45" s="132">
        <f t="shared" si="27"/>
        <v>0</v>
      </c>
      <c r="P45" s="135">
        <v>76034240</v>
      </c>
      <c r="Q45" s="135"/>
      <c r="R45" s="135"/>
      <c r="S45" s="135"/>
      <c r="T45" s="135"/>
      <c r="U45" s="135"/>
      <c r="V45" s="135">
        <f t="shared" si="30"/>
        <v>316000000</v>
      </c>
      <c r="W45" s="135"/>
      <c r="X45" s="135">
        <f t="shared" si="20"/>
        <v>316000000</v>
      </c>
      <c r="Y45" s="135">
        <f t="shared" si="21"/>
        <v>307000000</v>
      </c>
      <c r="Z45" s="135">
        <f t="shared" si="21"/>
        <v>9000000</v>
      </c>
      <c r="AA45" s="135">
        <v>307000000</v>
      </c>
      <c r="AB45" s="135">
        <v>9000000</v>
      </c>
      <c r="AC45" s="135"/>
      <c r="AD45" s="135"/>
      <c r="AE45" s="135"/>
      <c r="AF45" s="135"/>
      <c r="AG45" s="217">
        <f t="shared" si="28"/>
        <v>475500880</v>
      </c>
      <c r="AH45" s="135">
        <f t="shared" si="31"/>
        <v>0</v>
      </c>
      <c r="AI45" s="135"/>
      <c r="AJ45" s="135"/>
      <c r="AK45" s="135">
        <f t="shared" si="33"/>
        <v>475500880</v>
      </c>
      <c r="AL45" s="135">
        <v>466500880</v>
      </c>
      <c r="AM45" s="135">
        <v>9000000</v>
      </c>
      <c r="AN45" s="133">
        <f>+AG45/C45*100</f>
        <v>99.687769259992535</v>
      </c>
      <c r="AO45" s="109"/>
      <c r="AP45" s="109"/>
      <c r="AQ45" s="95"/>
      <c r="AR45" s="95"/>
      <c r="AU45" s="118"/>
      <c r="AV45" s="118"/>
    </row>
    <row r="46" spans="1:48" s="117" customFormat="1" ht="27" customHeight="1">
      <c r="A46" s="107"/>
      <c r="B46" s="108" t="s">
        <v>157</v>
      </c>
      <c r="C46" s="145">
        <f t="shared" si="29"/>
        <v>409800000</v>
      </c>
      <c r="D46" s="135">
        <f t="shared" si="17"/>
        <v>38800000</v>
      </c>
      <c r="E46" s="135">
        <f t="shared" si="22"/>
        <v>38800000</v>
      </c>
      <c r="F46" s="135">
        <f t="shared" si="22"/>
        <v>0</v>
      </c>
      <c r="G46" s="135"/>
      <c r="H46" s="135"/>
      <c r="I46" s="135">
        <v>38800000</v>
      </c>
      <c r="J46" s="135"/>
      <c r="K46" s="135"/>
      <c r="L46" s="135"/>
      <c r="M46" s="132">
        <f t="shared" si="32"/>
        <v>0</v>
      </c>
      <c r="N46" s="132">
        <f t="shared" si="27"/>
        <v>0</v>
      </c>
      <c r="O46" s="132">
        <f t="shared" si="27"/>
        <v>0</v>
      </c>
      <c r="P46" s="135"/>
      <c r="Q46" s="135"/>
      <c r="R46" s="135"/>
      <c r="S46" s="135"/>
      <c r="T46" s="135"/>
      <c r="U46" s="135"/>
      <c r="V46" s="135">
        <f t="shared" si="30"/>
        <v>371000000</v>
      </c>
      <c r="W46" s="135"/>
      <c r="X46" s="135">
        <f t="shared" si="20"/>
        <v>371000000</v>
      </c>
      <c r="Y46" s="135">
        <f t="shared" si="21"/>
        <v>360000000</v>
      </c>
      <c r="Z46" s="135">
        <f t="shared" si="21"/>
        <v>11000000</v>
      </c>
      <c r="AA46" s="135">
        <v>360000000</v>
      </c>
      <c r="AB46" s="135">
        <v>11000000</v>
      </c>
      <c r="AC46" s="135"/>
      <c r="AD46" s="135"/>
      <c r="AE46" s="135"/>
      <c r="AF46" s="135"/>
      <c r="AG46" s="217">
        <f t="shared" si="28"/>
        <v>0</v>
      </c>
      <c r="AH46" s="135">
        <f t="shared" si="31"/>
        <v>0</v>
      </c>
      <c r="AI46" s="135"/>
      <c r="AJ46" s="135"/>
      <c r="AK46" s="217">
        <f t="shared" ref="AK46:AK51" si="34">SUM(AL46:AM46)</f>
        <v>0</v>
      </c>
      <c r="AL46" s="217"/>
      <c r="AM46" s="217"/>
      <c r="AN46" s="133">
        <f>+AG46/C46*100</f>
        <v>0</v>
      </c>
      <c r="AO46" s="109"/>
      <c r="AP46" s="109"/>
      <c r="AQ46" s="95"/>
      <c r="AR46" s="95"/>
      <c r="AU46" s="118"/>
      <c r="AV46" s="118"/>
    </row>
    <row r="47" spans="1:48" s="117" customFormat="1" ht="27" customHeight="1">
      <c r="A47" s="107"/>
      <c r="B47" s="108" t="s">
        <v>158</v>
      </c>
      <c r="C47" s="145"/>
      <c r="D47" s="135">
        <f t="shared" si="17"/>
        <v>0</v>
      </c>
      <c r="E47" s="135">
        <f t="shared" si="22"/>
        <v>0</v>
      </c>
      <c r="F47" s="135">
        <f t="shared" si="22"/>
        <v>0</v>
      </c>
      <c r="G47" s="135"/>
      <c r="H47" s="135"/>
      <c r="I47" s="135"/>
      <c r="J47" s="135"/>
      <c r="K47" s="135"/>
      <c r="L47" s="135"/>
      <c r="M47" s="132">
        <f t="shared" si="32"/>
        <v>1140000000</v>
      </c>
      <c r="N47" s="132">
        <f t="shared" si="27"/>
        <v>1105800000</v>
      </c>
      <c r="O47" s="132">
        <f t="shared" si="27"/>
        <v>34200000</v>
      </c>
      <c r="P47" s="135"/>
      <c r="Q47" s="135"/>
      <c r="R47" s="135">
        <v>1105800000</v>
      </c>
      <c r="S47" s="135">
        <v>34200000</v>
      </c>
      <c r="T47" s="135"/>
      <c r="U47" s="135"/>
      <c r="V47" s="135"/>
      <c r="W47" s="135"/>
      <c r="X47" s="135">
        <f t="shared" si="20"/>
        <v>0</v>
      </c>
      <c r="Y47" s="135">
        <f t="shared" si="21"/>
        <v>0</v>
      </c>
      <c r="Z47" s="135">
        <f t="shared" si="21"/>
        <v>0</v>
      </c>
      <c r="AA47" s="135"/>
      <c r="AB47" s="135"/>
      <c r="AC47" s="135"/>
      <c r="AD47" s="135"/>
      <c r="AE47" s="135"/>
      <c r="AF47" s="135"/>
      <c r="AG47" s="217"/>
      <c r="AH47" s="135"/>
      <c r="AI47" s="135"/>
      <c r="AJ47" s="135"/>
      <c r="AK47" s="217"/>
      <c r="AL47" s="217"/>
      <c r="AM47" s="217"/>
      <c r="AN47" s="133"/>
      <c r="AO47" s="109"/>
      <c r="AP47" s="109"/>
      <c r="AQ47" s="95"/>
      <c r="AR47" s="95"/>
      <c r="AU47" s="118"/>
      <c r="AV47" s="118"/>
    </row>
    <row r="48" spans="1:48" s="117" customFormat="1" ht="27" customHeight="1">
      <c r="A48" s="107"/>
      <c r="B48" s="108" t="s">
        <v>185</v>
      </c>
      <c r="C48" s="145">
        <f t="shared" si="29"/>
        <v>545180600</v>
      </c>
      <c r="D48" s="135">
        <f t="shared" si="17"/>
        <v>0</v>
      </c>
      <c r="E48" s="135">
        <f t="shared" si="22"/>
        <v>0</v>
      </c>
      <c r="F48" s="135">
        <f t="shared" si="22"/>
        <v>0</v>
      </c>
      <c r="G48" s="135"/>
      <c r="H48" s="135"/>
      <c r="I48" s="135"/>
      <c r="J48" s="135"/>
      <c r="K48" s="135"/>
      <c r="L48" s="135"/>
      <c r="M48" s="132">
        <f t="shared" si="32"/>
        <v>111690600</v>
      </c>
      <c r="N48" s="132">
        <f t="shared" si="27"/>
        <v>111690600</v>
      </c>
      <c r="O48" s="132">
        <f t="shared" si="27"/>
        <v>0</v>
      </c>
      <c r="P48" s="135">
        <v>111835600</v>
      </c>
      <c r="Q48" s="135"/>
      <c r="R48" s="135"/>
      <c r="S48" s="135"/>
      <c r="T48" s="135">
        <v>145000</v>
      </c>
      <c r="U48" s="135"/>
      <c r="V48" s="135">
        <f t="shared" si="30"/>
        <v>433490000</v>
      </c>
      <c r="W48" s="135"/>
      <c r="X48" s="135">
        <f t="shared" si="20"/>
        <v>433490000</v>
      </c>
      <c r="Y48" s="135">
        <f t="shared" si="21"/>
        <v>420490000</v>
      </c>
      <c r="Z48" s="135">
        <f t="shared" si="21"/>
        <v>13000000</v>
      </c>
      <c r="AA48" s="135">
        <v>422000000</v>
      </c>
      <c r="AB48" s="135">
        <v>13000000</v>
      </c>
      <c r="AC48" s="135"/>
      <c r="AD48" s="135"/>
      <c r="AE48" s="135">
        <v>1510000</v>
      </c>
      <c r="AF48" s="135"/>
      <c r="AG48" s="217">
        <f t="shared" si="28"/>
        <v>545180600</v>
      </c>
      <c r="AH48" s="135">
        <f t="shared" si="31"/>
        <v>0</v>
      </c>
      <c r="AI48" s="135"/>
      <c r="AJ48" s="135"/>
      <c r="AK48" s="135">
        <f t="shared" si="34"/>
        <v>545180600</v>
      </c>
      <c r="AL48" s="135">
        <v>532180600</v>
      </c>
      <c r="AM48" s="135">
        <v>13000000</v>
      </c>
      <c r="AN48" s="136">
        <f>+AG48/C48*100</f>
        <v>100</v>
      </c>
      <c r="AO48" s="109"/>
      <c r="AP48" s="109"/>
      <c r="AQ48" s="95"/>
      <c r="AR48" s="95"/>
      <c r="AU48" s="118"/>
      <c r="AV48" s="118"/>
    </row>
    <row r="49" spans="1:48" s="117" customFormat="1" ht="27" customHeight="1">
      <c r="A49" s="107"/>
      <c r="B49" s="108" t="s">
        <v>159</v>
      </c>
      <c r="C49" s="145">
        <f t="shared" si="29"/>
        <v>0</v>
      </c>
      <c r="D49" s="135">
        <f t="shared" si="17"/>
        <v>0</v>
      </c>
      <c r="E49" s="135">
        <f t="shared" si="22"/>
        <v>0</v>
      </c>
      <c r="F49" s="135">
        <f t="shared" si="22"/>
        <v>0</v>
      </c>
      <c r="G49" s="135"/>
      <c r="H49" s="135"/>
      <c r="I49" s="135"/>
      <c r="J49" s="135"/>
      <c r="K49" s="135"/>
      <c r="L49" s="135"/>
      <c r="M49" s="132">
        <f t="shared" si="32"/>
        <v>0</v>
      </c>
      <c r="N49" s="132">
        <f t="shared" si="27"/>
        <v>0</v>
      </c>
      <c r="O49" s="132">
        <f t="shared" si="27"/>
        <v>0</v>
      </c>
      <c r="P49" s="135">
        <v>60382000</v>
      </c>
      <c r="Q49" s="135"/>
      <c r="R49" s="135"/>
      <c r="S49" s="135"/>
      <c r="T49" s="135">
        <v>60382000</v>
      </c>
      <c r="U49" s="135"/>
      <c r="V49" s="135">
        <f t="shared" si="30"/>
        <v>0</v>
      </c>
      <c r="W49" s="135"/>
      <c r="X49" s="135">
        <f t="shared" si="20"/>
        <v>0</v>
      </c>
      <c r="Y49" s="135">
        <f t="shared" si="21"/>
        <v>0</v>
      </c>
      <c r="Z49" s="135">
        <f t="shared" si="21"/>
        <v>0</v>
      </c>
      <c r="AA49" s="135"/>
      <c r="AB49" s="135"/>
      <c r="AC49" s="135"/>
      <c r="AD49" s="135"/>
      <c r="AE49" s="135"/>
      <c r="AF49" s="135"/>
      <c r="AG49" s="217">
        <f t="shared" si="28"/>
        <v>0</v>
      </c>
      <c r="AH49" s="135">
        <f t="shared" si="31"/>
        <v>0</v>
      </c>
      <c r="AI49" s="135"/>
      <c r="AJ49" s="135"/>
      <c r="AK49" s="217">
        <f t="shared" si="34"/>
        <v>0</v>
      </c>
      <c r="AL49" s="217"/>
      <c r="AM49" s="217"/>
      <c r="AN49" s="133"/>
      <c r="AO49" s="109"/>
      <c r="AP49" s="109"/>
      <c r="AQ49" s="95"/>
      <c r="AR49" s="95"/>
      <c r="AU49" s="118"/>
      <c r="AV49" s="118"/>
    </row>
    <row r="50" spans="1:48" s="117" customFormat="1" ht="27" customHeight="1">
      <c r="A50" s="107"/>
      <c r="B50" s="108" t="s">
        <v>162</v>
      </c>
      <c r="C50" s="145">
        <f t="shared" si="29"/>
        <v>1930000000</v>
      </c>
      <c r="D50" s="135">
        <f t="shared" si="17"/>
        <v>20023600</v>
      </c>
      <c r="E50" s="135">
        <f t="shared" si="22"/>
        <v>7593600</v>
      </c>
      <c r="F50" s="135">
        <f t="shared" si="22"/>
        <v>12430000</v>
      </c>
      <c r="G50" s="135">
        <v>8365000</v>
      </c>
      <c r="H50" s="135">
        <v>12430000</v>
      </c>
      <c r="I50" s="135">
        <f>+K40-I46</f>
        <v>7593600</v>
      </c>
      <c r="J50" s="135">
        <v>12430000</v>
      </c>
      <c r="K50" s="135">
        <v>8365000</v>
      </c>
      <c r="L50" s="135">
        <v>12430000</v>
      </c>
      <c r="M50" s="132">
        <f t="shared" si="32"/>
        <v>901260125</v>
      </c>
      <c r="N50" s="132">
        <f t="shared" si="27"/>
        <v>855790125</v>
      </c>
      <c r="O50" s="132">
        <f t="shared" si="27"/>
        <v>45470000</v>
      </c>
      <c r="P50" s="135"/>
      <c r="Q50" s="135"/>
      <c r="R50" s="135">
        <f>863383725-I50</f>
        <v>855790125</v>
      </c>
      <c r="S50" s="135">
        <f>57900000-J50</f>
        <v>45470000</v>
      </c>
      <c r="T50" s="135"/>
      <c r="U50" s="135"/>
      <c r="V50" s="135">
        <f t="shared" si="30"/>
        <v>1008716275</v>
      </c>
      <c r="W50" s="135"/>
      <c r="X50" s="135">
        <f t="shared" si="20"/>
        <v>1008716275</v>
      </c>
      <c r="Y50" s="135">
        <f t="shared" si="21"/>
        <v>968369275</v>
      </c>
      <c r="Z50" s="135">
        <f t="shared" si="21"/>
        <v>40347000</v>
      </c>
      <c r="AA50" s="135"/>
      <c r="AB50" s="135"/>
      <c r="AC50" s="135">
        <v>968369275</v>
      </c>
      <c r="AD50" s="135">
        <v>40347000</v>
      </c>
      <c r="AE50" s="135"/>
      <c r="AF50" s="135"/>
      <c r="AG50" s="217">
        <f t="shared" si="28"/>
        <v>0</v>
      </c>
      <c r="AH50" s="135">
        <f t="shared" si="31"/>
        <v>0</v>
      </c>
      <c r="AI50" s="135"/>
      <c r="AJ50" s="135"/>
      <c r="AK50" s="217">
        <f t="shared" si="34"/>
        <v>0</v>
      </c>
      <c r="AL50" s="217"/>
      <c r="AM50" s="217"/>
      <c r="AN50" s="133">
        <f>+AG50/C50*100</f>
        <v>0</v>
      </c>
      <c r="AO50" s="109"/>
      <c r="AP50" s="109"/>
      <c r="AQ50" s="95"/>
      <c r="AR50" s="95"/>
      <c r="AU50" s="118"/>
      <c r="AV50" s="118"/>
    </row>
    <row r="51" spans="1:48" s="117" customFormat="1" ht="27" customHeight="1">
      <c r="A51" s="107"/>
      <c r="B51" s="108" t="s">
        <v>154</v>
      </c>
      <c r="C51" s="145">
        <f t="shared" si="29"/>
        <v>233661275</v>
      </c>
      <c r="D51" s="135">
        <f t="shared" si="17"/>
        <v>0</v>
      </c>
      <c r="E51" s="135">
        <f t="shared" si="22"/>
        <v>0</v>
      </c>
      <c r="F51" s="135">
        <f t="shared" si="22"/>
        <v>0</v>
      </c>
      <c r="G51" s="135"/>
      <c r="H51" s="135"/>
      <c r="I51" s="135"/>
      <c r="J51" s="135"/>
      <c r="K51" s="135"/>
      <c r="L51" s="135"/>
      <c r="M51" s="132">
        <f t="shared" si="32"/>
        <v>0</v>
      </c>
      <c r="N51" s="132">
        <f t="shared" si="27"/>
        <v>0</v>
      </c>
      <c r="O51" s="132">
        <f t="shared" si="27"/>
        <v>0</v>
      </c>
      <c r="P51" s="135">
        <v>32376450</v>
      </c>
      <c r="Q51" s="135">
        <v>10000</v>
      </c>
      <c r="R51" s="135"/>
      <c r="S51" s="135"/>
      <c r="T51" s="135">
        <v>32376450</v>
      </c>
      <c r="U51" s="135">
        <v>10000</v>
      </c>
      <c r="V51" s="135">
        <f t="shared" ref="V51:V53" si="35">SUM(W51:X51)</f>
        <v>233661275</v>
      </c>
      <c r="W51" s="135"/>
      <c r="X51" s="135">
        <f t="shared" si="20"/>
        <v>233661275</v>
      </c>
      <c r="Y51" s="135">
        <f t="shared" si="21"/>
        <v>230161275</v>
      </c>
      <c r="Z51" s="135">
        <f t="shared" si="21"/>
        <v>3500000</v>
      </c>
      <c r="AA51" s="135">
        <v>238000000</v>
      </c>
      <c r="AB51" s="135">
        <v>7000000</v>
      </c>
      <c r="AC51" s="135"/>
      <c r="AD51" s="135"/>
      <c r="AE51" s="135">
        <v>7838725</v>
      </c>
      <c r="AF51" s="135">
        <v>3500000</v>
      </c>
      <c r="AG51" s="217">
        <f t="shared" si="28"/>
        <v>233661275</v>
      </c>
      <c r="AH51" s="135">
        <f t="shared" si="31"/>
        <v>0</v>
      </c>
      <c r="AI51" s="135"/>
      <c r="AJ51" s="135"/>
      <c r="AK51" s="135">
        <f t="shared" si="34"/>
        <v>233661275</v>
      </c>
      <c r="AL51" s="135">
        <v>230161275</v>
      </c>
      <c r="AM51" s="135">
        <v>3500000</v>
      </c>
      <c r="AN51" s="133">
        <f>+AG51/C51*100</f>
        <v>100</v>
      </c>
      <c r="AO51" s="109"/>
      <c r="AP51" s="109"/>
      <c r="AQ51" s="95"/>
      <c r="AR51" s="95"/>
      <c r="AU51" s="118"/>
      <c r="AV51" s="118"/>
    </row>
    <row r="52" spans="1:48" s="117" customFormat="1" ht="27" customHeight="1">
      <c r="A52" s="107"/>
      <c r="B52" s="108" t="s">
        <v>161</v>
      </c>
      <c r="C52" s="145">
        <f t="shared" si="29"/>
        <v>400000000</v>
      </c>
      <c r="D52" s="135">
        <f t="shared" si="17"/>
        <v>24598190</v>
      </c>
      <c r="E52" s="135">
        <f t="shared" si="22"/>
        <v>24598190</v>
      </c>
      <c r="F52" s="135">
        <f t="shared" si="22"/>
        <v>0</v>
      </c>
      <c r="G52" s="135"/>
      <c r="H52" s="135"/>
      <c r="I52" s="132">
        <f>1764000+22834190</f>
        <v>24598190</v>
      </c>
      <c r="J52" s="135"/>
      <c r="K52" s="135"/>
      <c r="L52" s="135"/>
      <c r="M52" s="132">
        <f t="shared" si="32"/>
        <v>375401810</v>
      </c>
      <c r="N52" s="132">
        <f t="shared" si="27"/>
        <v>359401810</v>
      </c>
      <c r="O52" s="132">
        <f t="shared" si="27"/>
        <v>16000000</v>
      </c>
      <c r="P52" s="135"/>
      <c r="Q52" s="135"/>
      <c r="R52" s="135">
        <f>384000000-I52</f>
        <v>359401810</v>
      </c>
      <c r="S52" s="135">
        <v>16000000</v>
      </c>
      <c r="T52" s="135"/>
      <c r="U52" s="135"/>
      <c r="V52" s="135">
        <f t="shared" si="35"/>
        <v>0</v>
      </c>
      <c r="W52" s="135"/>
      <c r="X52" s="135">
        <f t="shared" si="20"/>
        <v>0</v>
      </c>
      <c r="Y52" s="135">
        <f t="shared" si="21"/>
        <v>0</v>
      </c>
      <c r="Z52" s="135">
        <f t="shared" si="21"/>
        <v>0</v>
      </c>
      <c r="AA52" s="135"/>
      <c r="AB52" s="135"/>
      <c r="AC52" s="135"/>
      <c r="AD52" s="135"/>
      <c r="AE52" s="135"/>
      <c r="AF52" s="135"/>
      <c r="AG52" s="217">
        <f t="shared" si="28"/>
        <v>0</v>
      </c>
      <c r="AH52" s="135">
        <f t="shared" si="31"/>
        <v>0</v>
      </c>
      <c r="AI52" s="135"/>
      <c r="AJ52" s="135"/>
      <c r="AK52" s="217"/>
      <c r="AL52" s="217"/>
      <c r="AM52" s="217"/>
      <c r="AN52" s="133"/>
      <c r="AO52" s="109"/>
      <c r="AP52" s="109"/>
      <c r="AQ52" s="95"/>
      <c r="AR52" s="95"/>
      <c r="AU52" s="118"/>
      <c r="AV52" s="118"/>
    </row>
    <row r="53" spans="1:48" s="117" customFormat="1" ht="27" customHeight="1">
      <c r="A53" s="107"/>
      <c r="B53" s="108" t="s">
        <v>231</v>
      </c>
      <c r="C53" s="145">
        <f t="shared" si="29"/>
        <v>0</v>
      </c>
      <c r="D53" s="135">
        <f t="shared" si="17"/>
        <v>0</v>
      </c>
      <c r="E53" s="135">
        <f t="shared" si="22"/>
        <v>0</v>
      </c>
      <c r="F53" s="135">
        <f t="shared" si="22"/>
        <v>0</v>
      </c>
      <c r="G53" s="135"/>
      <c r="H53" s="135"/>
      <c r="I53" s="135"/>
      <c r="J53" s="135"/>
      <c r="K53" s="135"/>
      <c r="L53" s="135"/>
      <c r="M53" s="132">
        <f t="shared" ref="M53:M110" si="36">SUM(N53:O53)</f>
        <v>0</v>
      </c>
      <c r="N53" s="132">
        <f t="shared" si="27"/>
        <v>0</v>
      </c>
      <c r="O53" s="132">
        <f t="shared" si="27"/>
        <v>0</v>
      </c>
      <c r="P53" s="135"/>
      <c r="Q53" s="135">
        <v>10620000</v>
      </c>
      <c r="R53" s="135"/>
      <c r="S53" s="135"/>
      <c r="T53" s="135"/>
      <c r="U53" s="135">
        <v>10620000</v>
      </c>
      <c r="V53" s="135">
        <f t="shared" si="35"/>
        <v>0</v>
      </c>
      <c r="W53" s="135"/>
      <c r="X53" s="135">
        <f t="shared" si="20"/>
        <v>0</v>
      </c>
      <c r="Y53" s="135">
        <f t="shared" si="21"/>
        <v>0</v>
      </c>
      <c r="Z53" s="135">
        <f t="shared" si="21"/>
        <v>0</v>
      </c>
      <c r="AA53" s="135"/>
      <c r="AB53" s="135"/>
      <c r="AC53" s="135"/>
      <c r="AD53" s="135"/>
      <c r="AE53" s="135"/>
      <c r="AF53" s="135"/>
      <c r="AG53" s="217">
        <f t="shared" si="28"/>
        <v>0</v>
      </c>
      <c r="AH53" s="135">
        <f t="shared" si="31"/>
        <v>0</v>
      </c>
      <c r="AI53" s="135"/>
      <c r="AJ53" s="135"/>
      <c r="AK53" s="217"/>
      <c r="AL53" s="217"/>
      <c r="AM53" s="217"/>
      <c r="AN53" s="133"/>
      <c r="AO53" s="109"/>
      <c r="AP53" s="109"/>
      <c r="AQ53" s="95"/>
      <c r="AR53" s="95"/>
      <c r="AU53" s="118"/>
      <c r="AV53" s="118"/>
    </row>
    <row r="54" spans="1:48" ht="27" customHeight="1">
      <c r="A54" s="113"/>
      <c r="B54" s="114" t="s">
        <v>91</v>
      </c>
      <c r="C54" s="146">
        <f>+C55</f>
        <v>358000000</v>
      </c>
      <c r="D54" s="135">
        <f t="shared" si="17"/>
        <v>0</v>
      </c>
      <c r="E54" s="135">
        <f t="shared" si="22"/>
        <v>0</v>
      </c>
      <c r="F54" s="135">
        <f t="shared" si="22"/>
        <v>0</v>
      </c>
      <c r="G54" s="146">
        <f t="shared" ref="G54:AM54" si="37">+G55</f>
        <v>0</v>
      </c>
      <c r="H54" s="146">
        <f t="shared" si="37"/>
        <v>0</v>
      </c>
      <c r="I54" s="146">
        <f t="shared" si="37"/>
        <v>0</v>
      </c>
      <c r="J54" s="146">
        <f t="shared" si="37"/>
        <v>0</v>
      </c>
      <c r="K54" s="146">
        <f t="shared" si="37"/>
        <v>0</v>
      </c>
      <c r="L54" s="146">
        <f t="shared" si="37"/>
        <v>0</v>
      </c>
      <c r="M54" s="132">
        <f t="shared" si="36"/>
        <v>0</v>
      </c>
      <c r="N54" s="132">
        <f t="shared" si="27"/>
        <v>0</v>
      </c>
      <c r="O54" s="132">
        <f t="shared" si="27"/>
        <v>0</v>
      </c>
      <c r="P54" s="146">
        <f t="shared" si="37"/>
        <v>178380</v>
      </c>
      <c r="Q54" s="146">
        <f t="shared" si="37"/>
        <v>0</v>
      </c>
      <c r="R54" s="146">
        <f t="shared" si="37"/>
        <v>0</v>
      </c>
      <c r="S54" s="146">
        <f t="shared" si="37"/>
        <v>0</v>
      </c>
      <c r="T54" s="146">
        <f t="shared" si="37"/>
        <v>178380</v>
      </c>
      <c r="U54" s="146">
        <f t="shared" si="37"/>
        <v>0</v>
      </c>
      <c r="V54" s="146">
        <f t="shared" si="37"/>
        <v>358000000</v>
      </c>
      <c r="W54" s="146">
        <f t="shared" si="37"/>
        <v>0</v>
      </c>
      <c r="X54" s="135">
        <f t="shared" si="20"/>
        <v>358000000</v>
      </c>
      <c r="Y54" s="135">
        <f t="shared" si="21"/>
        <v>348000000</v>
      </c>
      <c r="Z54" s="135">
        <f t="shared" si="21"/>
        <v>10000000</v>
      </c>
      <c r="AA54" s="146">
        <f t="shared" si="37"/>
        <v>348000000</v>
      </c>
      <c r="AB54" s="146">
        <f t="shared" si="37"/>
        <v>10000000</v>
      </c>
      <c r="AC54" s="146">
        <f t="shared" si="37"/>
        <v>0</v>
      </c>
      <c r="AD54" s="146">
        <f t="shared" si="37"/>
        <v>0</v>
      </c>
      <c r="AE54" s="146">
        <f t="shared" si="37"/>
        <v>0</v>
      </c>
      <c r="AF54" s="146">
        <f t="shared" si="37"/>
        <v>0</v>
      </c>
      <c r="AG54" s="382">
        <f t="shared" si="37"/>
        <v>80424000</v>
      </c>
      <c r="AH54" s="146">
        <f t="shared" si="37"/>
        <v>0</v>
      </c>
      <c r="AI54" s="146"/>
      <c r="AJ54" s="146"/>
      <c r="AK54" s="147">
        <f t="shared" si="37"/>
        <v>80424000</v>
      </c>
      <c r="AL54" s="147">
        <f t="shared" si="37"/>
        <v>77680000</v>
      </c>
      <c r="AM54" s="147">
        <f t="shared" si="37"/>
        <v>2744000</v>
      </c>
      <c r="AN54" s="133">
        <f>+AG54/C54*100</f>
        <v>22.464804469273744</v>
      </c>
      <c r="AO54" s="18"/>
      <c r="AP54" s="120"/>
      <c r="AQ54" s="95"/>
      <c r="AR54" s="95"/>
    </row>
    <row r="55" spans="1:48" ht="24" customHeight="1">
      <c r="A55" s="75">
        <v>6</v>
      </c>
      <c r="B55" s="76" t="s">
        <v>191</v>
      </c>
      <c r="C55" s="145">
        <f t="shared" ref="C55" si="38">+D55+M55+V55</f>
        <v>358000000</v>
      </c>
      <c r="D55" s="135">
        <f t="shared" si="17"/>
        <v>0</v>
      </c>
      <c r="E55" s="135">
        <f t="shared" si="22"/>
        <v>0</v>
      </c>
      <c r="F55" s="135">
        <f t="shared" si="22"/>
        <v>0</v>
      </c>
      <c r="G55" s="132"/>
      <c r="H55" s="132"/>
      <c r="I55" s="132"/>
      <c r="J55" s="132"/>
      <c r="K55" s="132"/>
      <c r="L55" s="132"/>
      <c r="M55" s="132">
        <f t="shared" si="36"/>
        <v>0</v>
      </c>
      <c r="N55" s="132">
        <f t="shared" si="27"/>
        <v>0</v>
      </c>
      <c r="O55" s="132">
        <f t="shared" si="27"/>
        <v>0</v>
      </c>
      <c r="P55" s="132">
        <v>178380</v>
      </c>
      <c r="Q55" s="132"/>
      <c r="R55" s="132"/>
      <c r="S55" s="132"/>
      <c r="T55" s="132">
        <v>178380</v>
      </c>
      <c r="U55" s="132"/>
      <c r="V55" s="135">
        <f>SUM(W55:X55)</f>
        <v>358000000</v>
      </c>
      <c r="W55" s="132"/>
      <c r="X55" s="135">
        <f t="shared" si="20"/>
        <v>358000000</v>
      </c>
      <c r="Y55" s="135">
        <f t="shared" si="21"/>
        <v>348000000</v>
      </c>
      <c r="Z55" s="135">
        <f t="shared" si="21"/>
        <v>10000000</v>
      </c>
      <c r="AA55" s="132">
        <v>348000000</v>
      </c>
      <c r="AB55" s="132">
        <v>10000000</v>
      </c>
      <c r="AC55" s="132"/>
      <c r="AD55" s="132"/>
      <c r="AE55" s="132"/>
      <c r="AF55" s="132"/>
      <c r="AG55" s="217">
        <f t="shared" ref="AG55" si="39">+AH55+AK55</f>
        <v>80424000</v>
      </c>
      <c r="AH55" s="135">
        <f>SUM(AI55:AJ55)</f>
        <v>0</v>
      </c>
      <c r="AI55" s="132"/>
      <c r="AJ55" s="132"/>
      <c r="AK55" s="135">
        <f>SUM(AL55:AM55)</f>
        <v>80424000</v>
      </c>
      <c r="AL55" s="147">
        <v>77680000</v>
      </c>
      <c r="AM55" s="147">
        <v>2744000</v>
      </c>
      <c r="AN55" s="131">
        <f>+AG55/C55*100</f>
        <v>22.464804469273744</v>
      </c>
      <c r="AO55" s="18"/>
      <c r="AP55" s="18"/>
      <c r="AQ55" s="95"/>
      <c r="AR55" s="95"/>
    </row>
    <row r="56" spans="1:48" ht="31.5">
      <c r="A56" s="102" t="s">
        <v>16</v>
      </c>
      <c r="B56" s="103" t="s">
        <v>92</v>
      </c>
      <c r="C56" s="134">
        <f>+C57+C63</f>
        <v>1300000000</v>
      </c>
      <c r="D56" s="130">
        <f t="shared" si="17"/>
        <v>0</v>
      </c>
      <c r="E56" s="135">
        <f t="shared" si="22"/>
        <v>0</v>
      </c>
      <c r="F56" s="135">
        <f t="shared" si="22"/>
        <v>0</v>
      </c>
      <c r="G56" s="134">
        <f t="shared" ref="G56:W56" si="40">+G57+G63</f>
        <v>24598190</v>
      </c>
      <c r="H56" s="134">
        <f t="shared" si="40"/>
        <v>0</v>
      </c>
      <c r="I56" s="134">
        <f t="shared" si="40"/>
        <v>0</v>
      </c>
      <c r="J56" s="134">
        <f t="shared" si="40"/>
        <v>0</v>
      </c>
      <c r="K56" s="134">
        <f t="shared" si="40"/>
        <v>24598190</v>
      </c>
      <c r="L56" s="134">
        <f t="shared" si="40"/>
        <v>0</v>
      </c>
      <c r="M56" s="134">
        <f t="shared" si="40"/>
        <v>0</v>
      </c>
      <c r="N56" s="134">
        <f t="shared" si="40"/>
        <v>0</v>
      </c>
      <c r="O56" s="134">
        <f t="shared" si="40"/>
        <v>0</v>
      </c>
      <c r="P56" s="134">
        <f t="shared" si="40"/>
        <v>3981111440</v>
      </c>
      <c r="Q56" s="134">
        <f t="shared" si="40"/>
        <v>141452000</v>
      </c>
      <c r="R56" s="134">
        <f t="shared" si="40"/>
        <v>0</v>
      </c>
      <c r="S56" s="134">
        <f t="shared" si="40"/>
        <v>0</v>
      </c>
      <c r="T56" s="134">
        <f t="shared" si="40"/>
        <v>3981111440</v>
      </c>
      <c r="U56" s="134">
        <f t="shared" si="40"/>
        <v>141452000</v>
      </c>
      <c r="V56" s="134">
        <f t="shared" si="40"/>
        <v>1300000000</v>
      </c>
      <c r="W56" s="134">
        <f t="shared" si="40"/>
        <v>0</v>
      </c>
      <c r="X56" s="130">
        <f t="shared" si="20"/>
        <v>1300000000</v>
      </c>
      <c r="Y56" s="130">
        <f t="shared" si="21"/>
        <v>1264020000</v>
      </c>
      <c r="Z56" s="130">
        <f t="shared" si="21"/>
        <v>35980000</v>
      </c>
      <c r="AA56" s="134">
        <f t="shared" ref="AA56:AN56" si="41">+AA57+AA63</f>
        <v>2978000000</v>
      </c>
      <c r="AB56" s="134">
        <f t="shared" si="41"/>
        <v>89000000</v>
      </c>
      <c r="AC56" s="134">
        <f t="shared" si="41"/>
        <v>0</v>
      </c>
      <c r="AD56" s="134">
        <f t="shared" si="41"/>
        <v>0</v>
      </c>
      <c r="AE56" s="134">
        <f t="shared" si="41"/>
        <v>1713980000</v>
      </c>
      <c r="AF56" s="134">
        <f t="shared" si="41"/>
        <v>53020000</v>
      </c>
      <c r="AG56" s="216">
        <f t="shared" si="41"/>
        <v>553825000</v>
      </c>
      <c r="AH56" s="134">
        <f t="shared" si="41"/>
        <v>0</v>
      </c>
      <c r="AI56" s="134">
        <f t="shared" si="41"/>
        <v>0</v>
      </c>
      <c r="AJ56" s="134">
        <f t="shared" si="41"/>
        <v>0</v>
      </c>
      <c r="AK56" s="134">
        <f t="shared" si="41"/>
        <v>553825000</v>
      </c>
      <c r="AL56" s="134">
        <f t="shared" si="41"/>
        <v>537825000</v>
      </c>
      <c r="AM56" s="134">
        <f t="shared" si="41"/>
        <v>16000000</v>
      </c>
      <c r="AN56" s="189">
        <f t="shared" si="41"/>
        <v>55.3825</v>
      </c>
      <c r="AO56" s="104"/>
      <c r="AP56" s="104"/>
      <c r="AQ56" s="95"/>
      <c r="AR56" s="95"/>
    </row>
    <row r="57" spans="1:48" s="122" customFormat="1" ht="54" customHeight="1">
      <c r="A57" s="113" t="s">
        <v>93</v>
      </c>
      <c r="B57" s="114" t="s">
        <v>94</v>
      </c>
      <c r="C57" s="146">
        <f>+C58+C59</f>
        <v>1000000000</v>
      </c>
      <c r="D57" s="135">
        <f t="shared" si="17"/>
        <v>0</v>
      </c>
      <c r="E57" s="135">
        <f t="shared" si="22"/>
        <v>0</v>
      </c>
      <c r="F57" s="135">
        <f t="shared" si="22"/>
        <v>0</v>
      </c>
      <c r="G57" s="146">
        <f t="shared" ref="G57:W57" si="42">+G58+G59</f>
        <v>22834190</v>
      </c>
      <c r="H57" s="146">
        <f t="shared" si="42"/>
        <v>0</v>
      </c>
      <c r="I57" s="146">
        <f t="shared" si="42"/>
        <v>0</v>
      </c>
      <c r="J57" s="146">
        <f t="shared" si="42"/>
        <v>0</v>
      </c>
      <c r="K57" s="146">
        <f t="shared" si="42"/>
        <v>22834190</v>
      </c>
      <c r="L57" s="146">
        <f t="shared" si="42"/>
        <v>0</v>
      </c>
      <c r="M57" s="146">
        <f t="shared" si="42"/>
        <v>0</v>
      </c>
      <c r="N57" s="146">
        <f t="shared" si="42"/>
        <v>0</v>
      </c>
      <c r="O57" s="146">
        <f t="shared" si="42"/>
        <v>0</v>
      </c>
      <c r="P57" s="146">
        <f t="shared" si="42"/>
        <v>3464000000</v>
      </c>
      <c r="Q57" s="146">
        <f t="shared" si="42"/>
        <v>125362000</v>
      </c>
      <c r="R57" s="146">
        <f t="shared" si="42"/>
        <v>0</v>
      </c>
      <c r="S57" s="146">
        <f t="shared" si="42"/>
        <v>0</v>
      </c>
      <c r="T57" s="146">
        <f t="shared" si="42"/>
        <v>3464000000</v>
      </c>
      <c r="U57" s="146">
        <f t="shared" si="42"/>
        <v>125362000</v>
      </c>
      <c r="V57" s="146">
        <f t="shared" si="42"/>
        <v>1000000000</v>
      </c>
      <c r="W57" s="146">
        <f t="shared" si="42"/>
        <v>0</v>
      </c>
      <c r="X57" s="135">
        <f t="shared" si="20"/>
        <v>1000000000</v>
      </c>
      <c r="Y57" s="135">
        <f t="shared" si="21"/>
        <v>972000000</v>
      </c>
      <c r="Z57" s="135">
        <f t="shared" si="21"/>
        <v>28000000</v>
      </c>
      <c r="AA57" s="146">
        <f t="shared" ref="AA57:AM57" si="43">+AA58+AA59</f>
        <v>2265000000</v>
      </c>
      <c r="AB57" s="146">
        <f t="shared" si="43"/>
        <v>68000000</v>
      </c>
      <c r="AC57" s="146">
        <f t="shared" si="43"/>
        <v>0</v>
      </c>
      <c r="AD57" s="146">
        <f t="shared" si="43"/>
        <v>0</v>
      </c>
      <c r="AE57" s="146">
        <f t="shared" si="43"/>
        <v>1293000000</v>
      </c>
      <c r="AF57" s="146">
        <f t="shared" si="43"/>
        <v>40000000</v>
      </c>
      <c r="AG57" s="382">
        <f t="shared" si="43"/>
        <v>553825000</v>
      </c>
      <c r="AH57" s="146">
        <f t="shared" si="43"/>
        <v>0</v>
      </c>
      <c r="AI57" s="146">
        <f t="shared" si="43"/>
        <v>0</v>
      </c>
      <c r="AJ57" s="146">
        <f t="shared" si="43"/>
        <v>0</v>
      </c>
      <c r="AK57" s="146">
        <f t="shared" si="43"/>
        <v>553825000</v>
      </c>
      <c r="AL57" s="146">
        <f t="shared" si="43"/>
        <v>537825000</v>
      </c>
      <c r="AM57" s="146">
        <f t="shared" si="43"/>
        <v>16000000</v>
      </c>
      <c r="AN57" s="133">
        <f>+AG57/C57*100</f>
        <v>55.3825</v>
      </c>
      <c r="AO57" s="121"/>
      <c r="AP57" s="121"/>
      <c r="AQ57" s="95"/>
      <c r="AR57" s="95"/>
      <c r="AU57" s="123"/>
      <c r="AV57" s="123"/>
    </row>
    <row r="58" spans="1:48" s="122" customFormat="1" ht="54" customHeight="1">
      <c r="A58" s="113" t="s">
        <v>95</v>
      </c>
      <c r="B58" s="114" t="s">
        <v>96</v>
      </c>
      <c r="C58" s="148">
        <f>+D58+M58+V58</f>
        <v>0</v>
      </c>
      <c r="D58" s="135">
        <f t="shared" si="17"/>
        <v>0</v>
      </c>
      <c r="E58" s="135">
        <f t="shared" si="22"/>
        <v>0</v>
      </c>
      <c r="F58" s="135">
        <f t="shared" si="22"/>
        <v>0</v>
      </c>
      <c r="G58" s="146"/>
      <c r="H58" s="146"/>
      <c r="I58" s="146"/>
      <c r="J58" s="146"/>
      <c r="K58" s="146"/>
      <c r="L58" s="146"/>
      <c r="M58" s="132">
        <f t="shared" si="36"/>
        <v>0</v>
      </c>
      <c r="N58" s="132">
        <f t="shared" ref="N58:O110" si="44">+P58+R58-T58</f>
        <v>0</v>
      </c>
      <c r="O58" s="132">
        <f t="shared" si="44"/>
        <v>0</v>
      </c>
      <c r="P58" s="146">
        <v>1334000000</v>
      </c>
      <c r="Q58" s="146">
        <v>40000000</v>
      </c>
      <c r="R58" s="146"/>
      <c r="S58" s="146"/>
      <c r="T58" s="146">
        <v>1334000000</v>
      </c>
      <c r="U58" s="146">
        <v>40000000</v>
      </c>
      <c r="V58" s="146"/>
      <c r="W58" s="146"/>
      <c r="X58" s="135">
        <f t="shared" si="20"/>
        <v>0</v>
      </c>
      <c r="Y58" s="135">
        <f t="shared" si="21"/>
        <v>0</v>
      </c>
      <c r="Z58" s="135">
        <f t="shared" si="21"/>
        <v>0</v>
      </c>
      <c r="AA58" s="146"/>
      <c r="AB58" s="146"/>
      <c r="AC58" s="146"/>
      <c r="AD58" s="146"/>
      <c r="AE58" s="146"/>
      <c r="AF58" s="146"/>
      <c r="AG58" s="217">
        <f t="shared" ref="AG58" si="45">+AH58+AK58</f>
        <v>0</v>
      </c>
      <c r="AH58" s="135">
        <f t="shared" ref="AH58" si="46">SUM(AI58:AJ58)</f>
        <v>0</v>
      </c>
      <c r="AI58" s="146"/>
      <c r="AJ58" s="146"/>
      <c r="AK58" s="146"/>
      <c r="AL58" s="146"/>
      <c r="AM58" s="146"/>
      <c r="AN58" s="133"/>
      <c r="AO58" s="121"/>
      <c r="AP58" s="121"/>
      <c r="AQ58" s="95"/>
      <c r="AR58" s="95"/>
      <c r="AU58" s="123"/>
      <c r="AV58" s="123"/>
    </row>
    <row r="59" spans="1:48" s="122" customFormat="1" ht="47.25">
      <c r="A59" s="113" t="s">
        <v>95</v>
      </c>
      <c r="B59" s="114" t="s">
        <v>97</v>
      </c>
      <c r="C59" s="146">
        <f>+C60+C61</f>
        <v>1000000000</v>
      </c>
      <c r="D59" s="135">
        <f t="shared" si="17"/>
        <v>0</v>
      </c>
      <c r="E59" s="135">
        <f t="shared" si="22"/>
        <v>0</v>
      </c>
      <c r="F59" s="135">
        <f t="shared" si="22"/>
        <v>0</v>
      </c>
      <c r="G59" s="146">
        <f t="shared" ref="G59:AM59" si="47">+G60+G61</f>
        <v>22834190</v>
      </c>
      <c r="H59" s="146">
        <f t="shared" si="47"/>
        <v>0</v>
      </c>
      <c r="I59" s="146">
        <f t="shared" si="47"/>
        <v>0</v>
      </c>
      <c r="J59" s="146">
        <f t="shared" si="47"/>
        <v>0</v>
      </c>
      <c r="K59" s="146">
        <f t="shared" si="47"/>
        <v>22834190</v>
      </c>
      <c r="L59" s="146">
        <f t="shared" si="47"/>
        <v>0</v>
      </c>
      <c r="M59" s="146">
        <f t="shared" si="47"/>
        <v>0</v>
      </c>
      <c r="N59" s="146">
        <f t="shared" si="47"/>
        <v>0</v>
      </c>
      <c r="O59" s="146">
        <f t="shared" si="47"/>
        <v>0</v>
      </c>
      <c r="P59" s="146">
        <f t="shared" si="47"/>
        <v>2130000000</v>
      </c>
      <c r="Q59" s="146">
        <f t="shared" si="47"/>
        <v>85362000</v>
      </c>
      <c r="R59" s="146">
        <f t="shared" si="47"/>
        <v>0</v>
      </c>
      <c r="S59" s="146">
        <f t="shared" si="47"/>
        <v>0</v>
      </c>
      <c r="T59" s="146">
        <f t="shared" si="47"/>
        <v>2130000000</v>
      </c>
      <c r="U59" s="146">
        <f t="shared" si="47"/>
        <v>85362000</v>
      </c>
      <c r="V59" s="146">
        <f t="shared" si="47"/>
        <v>1000000000</v>
      </c>
      <c r="W59" s="146">
        <f t="shared" si="47"/>
        <v>0</v>
      </c>
      <c r="X59" s="135">
        <f t="shared" si="20"/>
        <v>1000000000</v>
      </c>
      <c r="Y59" s="135">
        <f t="shared" si="21"/>
        <v>972000000</v>
      </c>
      <c r="Z59" s="135">
        <f t="shared" si="21"/>
        <v>28000000</v>
      </c>
      <c r="AA59" s="146">
        <f t="shared" si="47"/>
        <v>2265000000</v>
      </c>
      <c r="AB59" s="146">
        <f t="shared" si="47"/>
        <v>68000000</v>
      </c>
      <c r="AC59" s="146">
        <f t="shared" si="47"/>
        <v>0</v>
      </c>
      <c r="AD59" s="146">
        <f t="shared" si="47"/>
        <v>0</v>
      </c>
      <c r="AE59" s="146">
        <f t="shared" si="47"/>
        <v>1293000000</v>
      </c>
      <c r="AF59" s="146">
        <f t="shared" si="47"/>
        <v>40000000</v>
      </c>
      <c r="AG59" s="382">
        <f t="shared" si="47"/>
        <v>553825000</v>
      </c>
      <c r="AH59" s="146">
        <f t="shared" si="47"/>
        <v>0</v>
      </c>
      <c r="AI59" s="146">
        <f t="shared" si="47"/>
        <v>0</v>
      </c>
      <c r="AJ59" s="146">
        <f t="shared" si="47"/>
        <v>0</v>
      </c>
      <c r="AK59" s="146">
        <f t="shared" si="47"/>
        <v>553825000</v>
      </c>
      <c r="AL59" s="146">
        <f t="shared" si="47"/>
        <v>537825000</v>
      </c>
      <c r="AM59" s="146">
        <f t="shared" si="47"/>
        <v>16000000</v>
      </c>
      <c r="AN59" s="133">
        <f>+AG59/C59*100</f>
        <v>55.3825</v>
      </c>
      <c r="AO59" s="121"/>
      <c r="AP59" s="121"/>
      <c r="AQ59" s="95"/>
      <c r="AR59" s="95"/>
      <c r="AU59" s="123"/>
      <c r="AV59" s="123"/>
    </row>
    <row r="60" spans="1:48" ht="23.25" customHeight="1">
      <c r="A60" s="75" t="s">
        <v>192</v>
      </c>
      <c r="B60" s="76" t="s">
        <v>193</v>
      </c>
      <c r="C60" s="145">
        <f>+D60+M60+V60</f>
        <v>1000000000</v>
      </c>
      <c r="D60" s="135">
        <f t="shared" si="17"/>
        <v>0</v>
      </c>
      <c r="E60" s="135">
        <f t="shared" si="22"/>
        <v>0</v>
      </c>
      <c r="F60" s="135">
        <f t="shared" si="22"/>
        <v>0</v>
      </c>
      <c r="G60" s="132">
        <v>22834190</v>
      </c>
      <c r="H60" s="132"/>
      <c r="I60" s="132"/>
      <c r="J60" s="132"/>
      <c r="K60" s="132">
        <v>22834190</v>
      </c>
      <c r="L60" s="132"/>
      <c r="M60" s="132">
        <f t="shared" si="36"/>
        <v>0</v>
      </c>
      <c r="N60" s="132">
        <f t="shared" si="44"/>
        <v>0</v>
      </c>
      <c r="O60" s="132">
        <f t="shared" si="44"/>
        <v>0</v>
      </c>
      <c r="P60" s="132"/>
      <c r="Q60" s="132">
        <v>21362000</v>
      </c>
      <c r="R60" s="132"/>
      <c r="S60" s="132"/>
      <c r="T60" s="132"/>
      <c r="U60" s="132">
        <v>21362000</v>
      </c>
      <c r="V60" s="135">
        <f>SUM(W60:X60)</f>
        <v>1000000000</v>
      </c>
      <c r="W60" s="132"/>
      <c r="X60" s="135">
        <f t="shared" si="20"/>
        <v>1000000000</v>
      </c>
      <c r="Y60" s="135">
        <f t="shared" si="21"/>
        <v>972000000</v>
      </c>
      <c r="Z60" s="135">
        <f t="shared" si="21"/>
        <v>28000000</v>
      </c>
      <c r="AA60" s="132">
        <v>2265000000</v>
      </c>
      <c r="AB60" s="132">
        <v>68000000</v>
      </c>
      <c r="AC60" s="132"/>
      <c r="AD60" s="132"/>
      <c r="AE60" s="132">
        <v>1293000000</v>
      </c>
      <c r="AF60" s="132">
        <v>40000000</v>
      </c>
      <c r="AG60" s="217">
        <f t="shared" ref="AG60:AG63" si="48">+AH60+AK60</f>
        <v>553825000</v>
      </c>
      <c r="AH60" s="135">
        <f>SUM(AI60:AJ60)</f>
        <v>0</v>
      </c>
      <c r="AI60" s="132"/>
      <c r="AJ60" s="132"/>
      <c r="AK60" s="132">
        <f>SUM(AL60:AM60)</f>
        <v>553825000</v>
      </c>
      <c r="AL60" s="132">
        <v>537825000</v>
      </c>
      <c r="AM60" s="132">
        <v>16000000</v>
      </c>
      <c r="AN60" s="133">
        <f>+AG60/C60*100</f>
        <v>55.3825</v>
      </c>
      <c r="AO60" s="18"/>
      <c r="AP60" s="18"/>
      <c r="AQ60" s="95"/>
      <c r="AR60" s="95"/>
    </row>
    <row r="61" spans="1:48" ht="23.25" customHeight="1">
      <c r="A61" s="75"/>
      <c r="B61" s="76" t="s">
        <v>234</v>
      </c>
      <c r="C61" s="145">
        <f>+D61+M61+V61</f>
        <v>0</v>
      </c>
      <c r="D61" s="135">
        <f t="shared" si="17"/>
        <v>0</v>
      </c>
      <c r="E61" s="135">
        <f t="shared" si="22"/>
        <v>0</v>
      </c>
      <c r="F61" s="135">
        <f t="shared" si="22"/>
        <v>0</v>
      </c>
      <c r="G61" s="132"/>
      <c r="H61" s="132"/>
      <c r="I61" s="132"/>
      <c r="J61" s="132"/>
      <c r="K61" s="132"/>
      <c r="L61" s="132"/>
      <c r="M61" s="132">
        <f t="shared" si="36"/>
        <v>0</v>
      </c>
      <c r="N61" s="132">
        <f t="shared" si="44"/>
        <v>0</v>
      </c>
      <c r="O61" s="132">
        <f t="shared" si="44"/>
        <v>0</v>
      </c>
      <c r="P61" s="132">
        <v>2130000000</v>
      </c>
      <c r="Q61" s="132">
        <v>64000000</v>
      </c>
      <c r="R61" s="132"/>
      <c r="S61" s="132"/>
      <c r="T61" s="132">
        <v>2130000000</v>
      </c>
      <c r="U61" s="132">
        <v>64000000</v>
      </c>
      <c r="V61" s="135"/>
      <c r="W61" s="132"/>
      <c r="X61" s="135">
        <f t="shared" si="20"/>
        <v>0</v>
      </c>
      <c r="Y61" s="135">
        <f t="shared" si="21"/>
        <v>0</v>
      </c>
      <c r="Z61" s="135">
        <f t="shared" si="21"/>
        <v>0</v>
      </c>
      <c r="AA61" s="132"/>
      <c r="AB61" s="132"/>
      <c r="AC61" s="132"/>
      <c r="AD61" s="132"/>
      <c r="AE61" s="132"/>
      <c r="AF61" s="132"/>
      <c r="AG61" s="217">
        <f t="shared" si="48"/>
        <v>0</v>
      </c>
      <c r="AH61" s="135">
        <f t="shared" ref="AH61:AH62" si="49">SUM(AI61:AJ61)</f>
        <v>0</v>
      </c>
      <c r="AI61" s="132"/>
      <c r="AJ61" s="132"/>
      <c r="AK61" s="132"/>
      <c r="AL61" s="132"/>
      <c r="AM61" s="132"/>
      <c r="AN61" s="133"/>
      <c r="AO61" s="18"/>
      <c r="AP61" s="18"/>
      <c r="AQ61" s="95"/>
      <c r="AR61" s="95"/>
    </row>
    <row r="62" spans="1:48" ht="39.75" customHeight="1">
      <c r="A62" s="113" t="s">
        <v>93</v>
      </c>
      <c r="B62" s="114" t="s">
        <v>98</v>
      </c>
      <c r="C62" s="132"/>
      <c r="D62" s="135">
        <f t="shared" si="17"/>
        <v>0</v>
      </c>
      <c r="E62" s="135">
        <f t="shared" si="22"/>
        <v>0</v>
      </c>
      <c r="F62" s="135">
        <f t="shared" si="22"/>
        <v>0</v>
      </c>
      <c r="G62" s="132"/>
      <c r="H62" s="132"/>
      <c r="I62" s="132"/>
      <c r="J62" s="132"/>
      <c r="K62" s="132"/>
      <c r="L62" s="132"/>
      <c r="M62" s="132">
        <f t="shared" si="36"/>
        <v>0</v>
      </c>
      <c r="N62" s="132">
        <f t="shared" si="44"/>
        <v>0</v>
      </c>
      <c r="O62" s="132">
        <f t="shared" si="44"/>
        <v>0</v>
      </c>
      <c r="P62" s="132"/>
      <c r="Q62" s="132"/>
      <c r="R62" s="132"/>
      <c r="S62" s="132"/>
      <c r="T62" s="132"/>
      <c r="U62" s="132"/>
      <c r="V62" s="132"/>
      <c r="W62" s="132"/>
      <c r="X62" s="135">
        <f t="shared" si="20"/>
        <v>0</v>
      </c>
      <c r="Y62" s="135">
        <f t="shared" si="21"/>
        <v>0</v>
      </c>
      <c r="Z62" s="135">
        <f t="shared" si="21"/>
        <v>0</v>
      </c>
      <c r="AA62" s="132"/>
      <c r="AB62" s="132"/>
      <c r="AC62" s="132"/>
      <c r="AD62" s="132"/>
      <c r="AE62" s="132"/>
      <c r="AF62" s="132"/>
      <c r="AG62" s="217">
        <f t="shared" si="48"/>
        <v>0</v>
      </c>
      <c r="AH62" s="135">
        <f t="shared" si="49"/>
        <v>0</v>
      </c>
      <c r="AI62" s="132"/>
      <c r="AJ62" s="132"/>
      <c r="AK62" s="215"/>
      <c r="AL62" s="215"/>
      <c r="AM62" s="215"/>
      <c r="AN62" s="133"/>
      <c r="AO62" s="18"/>
      <c r="AP62" s="18"/>
      <c r="AQ62" s="95"/>
      <c r="AR62" s="95"/>
    </row>
    <row r="63" spans="1:48" ht="39.75" customHeight="1">
      <c r="A63" s="113" t="s">
        <v>93</v>
      </c>
      <c r="B63" s="114" t="s">
        <v>99</v>
      </c>
      <c r="C63" s="146">
        <f t="shared" ref="C63:AF63" si="50">+C64</f>
        <v>300000000</v>
      </c>
      <c r="D63" s="135">
        <f t="shared" si="17"/>
        <v>0</v>
      </c>
      <c r="E63" s="135">
        <f t="shared" si="22"/>
        <v>0</v>
      </c>
      <c r="F63" s="135">
        <f t="shared" si="22"/>
        <v>0</v>
      </c>
      <c r="G63" s="146">
        <f t="shared" si="50"/>
        <v>1764000</v>
      </c>
      <c r="H63" s="146">
        <f t="shared" si="50"/>
        <v>0</v>
      </c>
      <c r="I63" s="146">
        <f t="shared" si="50"/>
        <v>0</v>
      </c>
      <c r="J63" s="146">
        <f t="shared" si="50"/>
        <v>0</v>
      </c>
      <c r="K63" s="146">
        <f t="shared" si="50"/>
        <v>1764000</v>
      </c>
      <c r="L63" s="146">
        <f t="shared" si="50"/>
        <v>0</v>
      </c>
      <c r="M63" s="132">
        <f t="shared" si="36"/>
        <v>0</v>
      </c>
      <c r="N63" s="132">
        <f t="shared" si="44"/>
        <v>0</v>
      </c>
      <c r="O63" s="132">
        <f t="shared" si="44"/>
        <v>0</v>
      </c>
      <c r="P63" s="146">
        <f t="shared" si="50"/>
        <v>517111440</v>
      </c>
      <c r="Q63" s="146">
        <f t="shared" si="50"/>
        <v>16090000</v>
      </c>
      <c r="R63" s="146">
        <f t="shared" si="50"/>
        <v>0</v>
      </c>
      <c r="S63" s="146">
        <f t="shared" si="50"/>
        <v>0</v>
      </c>
      <c r="T63" s="146">
        <f t="shared" si="50"/>
        <v>517111440</v>
      </c>
      <c r="U63" s="146">
        <f t="shared" si="50"/>
        <v>16090000</v>
      </c>
      <c r="V63" s="146">
        <f t="shared" si="50"/>
        <v>300000000</v>
      </c>
      <c r="W63" s="146">
        <f t="shared" si="50"/>
        <v>0</v>
      </c>
      <c r="X63" s="135">
        <f t="shared" si="20"/>
        <v>300000000</v>
      </c>
      <c r="Y63" s="135">
        <f t="shared" si="21"/>
        <v>292020000</v>
      </c>
      <c r="Z63" s="135">
        <f t="shared" si="21"/>
        <v>7980000</v>
      </c>
      <c r="AA63" s="146">
        <f t="shared" si="50"/>
        <v>713000000</v>
      </c>
      <c r="AB63" s="146">
        <f t="shared" si="50"/>
        <v>21000000</v>
      </c>
      <c r="AC63" s="146">
        <f t="shared" si="50"/>
        <v>0</v>
      </c>
      <c r="AD63" s="146">
        <f t="shared" si="50"/>
        <v>0</v>
      </c>
      <c r="AE63" s="146">
        <f t="shared" si="50"/>
        <v>420980000</v>
      </c>
      <c r="AF63" s="146">
        <f t="shared" si="50"/>
        <v>13020000</v>
      </c>
      <c r="AG63" s="217">
        <f t="shared" si="48"/>
        <v>0</v>
      </c>
      <c r="AH63" s="135">
        <f>SUM(AI63:AJ63)</f>
        <v>0</v>
      </c>
      <c r="AI63" s="132"/>
      <c r="AJ63" s="132"/>
      <c r="AK63" s="215"/>
      <c r="AL63" s="215"/>
      <c r="AM63" s="215"/>
      <c r="AN63" s="133">
        <f>+AG63/C63*100</f>
        <v>0</v>
      </c>
      <c r="AO63" s="18"/>
      <c r="AP63" s="18"/>
      <c r="AQ63" s="95"/>
      <c r="AR63" s="95"/>
    </row>
    <row r="64" spans="1:48" ht="15.75">
      <c r="A64" s="101"/>
      <c r="B64" s="76" t="s">
        <v>193</v>
      </c>
      <c r="C64" s="145">
        <f>+D64+M64+V64</f>
        <v>300000000</v>
      </c>
      <c r="D64" s="135">
        <f t="shared" si="17"/>
        <v>0</v>
      </c>
      <c r="E64" s="135">
        <f t="shared" si="22"/>
        <v>0</v>
      </c>
      <c r="F64" s="135">
        <f t="shared" si="22"/>
        <v>0</v>
      </c>
      <c r="G64" s="132">
        <v>1764000</v>
      </c>
      <c r="H64" s="132"/>
      <c r="I64" s="132"/>
      <c r="J64" s="132"/>
      <c r="K64" s="132">
        <v>1764000</v>
      </c>
      <c r="L64" s="132"/>
      <c r="M64" s="132">
        <f t="shared" si="36"/>
        <v>0</v>
      </c>
      <c r="N64" s="132">
        <f t="shared" si="44"/>
        <v>0</v>
      </c>
      <c r="O64" s="132">
        <f t="shared" si="44"/>
        <v>0</v>
      </c>
      <c r="P64" s="132">
        <v>517111440</v>
      </c>
      <c r="Q64" s="132">
        <v>16090000</v>
      </c>
      <c r="R64" s="132"/>
      <c r="S64" s="132"/>
      <c r="T64" s="132">
        <v>517111440</v>
      </c>
      <c r="U64" s="132">
        <v>16090000</v>
      </c>
      <c r="V64" s="135">
        <f>SUM(W64:X64)</f>
        <v>300000000</v>
      </c>
      <c r="W64" s="132"/>
      <c r="X64" s="135">
        <f t="shared" si="20"/>
        <v>300000000</v>
      </c>
      <c r="Y64" s="135">
        <f t="shared" si="21"/>
        <v>292020000</v>
      </c>
      <c r="Z64" s="135">
        <f t="shared" si="21"/>
        <v>7980000</v>
      </c>
      <c r="AA64" s="132">
        <v>713000000</v>
      </c>
      <c r="AB64" s="132">
        <v>21000000</v>
      </c>
      <c r="AC64" s="132"/>
      <c r="AD64" s="132"/>
      <c r="AE64" s="132">
        <v>420980000</v>
      </c>
      <c r="AF64" s="132">
        <v>13020000</v>
      </c>
      <c r="AG64" s="215"/>
      <c r="AH64" s="132"/>
      <c r="AI64" s="132"/>
      <c r="AJ64" s="132"/>
      <c r="AK64" s="215"/>
      <c r="AL64" s="215"/>
      <c r="AM64" s="215"/>
      <c r="AN64" s="131">
        <f>+AG64/C64*100</f>
        <v>0</v>
      </c>
      <c r="AO64" s="18"/>
      <c r="AP64" s="18"/>
      <c r="AQ64" s="95"/>
      <c r="AR64" s="95"/>
    </row>
    <row r="65" spans="1:48" ht="31.5">
      <c r="A65" s="102" t="s">
        <v>20</v>
      </c>
      <c r="B65" s="103" t="s">
        <v>100</v>
      </c>
      <c r="C65" s="130"/>
      <c r="D65" s="130">
        <f t="shared" si="17"/>
        <v>0</v>
      </c>
      <c r="E65" s="135">
        <f t="shared" si="22"/>
        <v>0</v>
      </c>
      <c r="F65" s="135">
        <f t="shared" si="22"/>
        <v>0</v>
      </c>
      <c r="G65" s="130"/>
      <c r="H65" s="130"/>
      <c r="I65" s="130"/>
      <c r="J65" s="130"/>
      <c r="K65" s="130"/>
      <c r="L65" s="130"/>
      <c r="M65" s="130">
        <f t="shared" si="36"/>
        <v>0</v>
      </c>
      <c r="N65" s="130">
        <f t="shared" si="44"/>
        <v>0</v>
      </c>
      <c r="O65" s="130">
        <f t="shared" si="44"/>
        <v>0</v>
      </c>
      <c r="P65" s="130"/>
      <c r="Q65" s="130"/>
      <c r="R65" s="130"/>
      <c r="S65" s="130"/>
      <c r="T65" s="130"/>
      <c r="U65" s="130"/>
      <c r="V65" s="130"/>
      <c r="W65" s="130"/>
      <c r="X65" s="130">
        <f t="shared" si="20"/>
        <v>0</v>
      </c>
      <c r="Y65" s="130">
        <f t="shared" si="21"/>
        <v>0</v>
      </c>
      <c r="Z65" s="130">
        <f t="shared" si="21"/>
        <v>0</v>
      </c>
      <c r="AA65" s="130"/>
      <c r="AB65" s="130"/>
      <c r="AC65" s="130"/>
      <c r="AD65" s="130"/>
      <c r="AE65" s="130"/>
      <c r="AF65" s="130"/>
      <c r="AG65" s="214"/>
      <c r="AH65" s="130"/>
      <c r="AI65" s="130"/>
      <c r="AJ65" s="130"/>
      <c r="AK65" s="214"/>
      <c r="AL65" s="214"/>
      <c r="AM65" s="214"/>
      <c r="AN65" s="131"/>
      <c r="AO65" s="104"/>
      <c r="AP65" s="104"/>
      <c r="AQ65" s="95"/>
      <c r="AR65" s="95"/>
    </row>
    <row r="66" spans="1:48" ht="31.5">
      <c r="A66" s="102" t="s">
        <v>22</v>
      </c>
      <c r="B66" s="103" t="s">
        <v>101</v>
      </c>
      <c r="C66" s="134">
        <f>+C67+C69</f>
        <v>792315610</v>
      </c>
      <c r="D66" s="130">
        <f t="shared" si="17"/>
        <v>0</v>
      </c>
      <c r="E66" s="135">
        <f t="shared" si="22"/>
        <v>0</v>
      </c>
      <c r="F66" s="135">
        <f t="shared" si="22"/>
        <v>0</v>
      </c>
      <c r="G66" s="134"/>
      <c r="H66" s="134"/>
      <c r="I66" s="134"/>
      <c r="J66" s="134"/>
      <c r="K66" s="134"/>
      <c r="L66" s="134"/>
      <c r="M66" s="134">
        <f t="shared" ref="M66:U66" si="51">+M67+M69</f>
        <v>178380</v>
      </c>
      <c r="N66" s="134">
        <f t="shared" si="51"/>
        <v>178380</v>
      </c>
      <c r="O66" s="134">
        <f t="shared" si="51"/>
        <v>0</v>
      </c>
      <c r="P66" s="134">
        <f t="shared" si="51"/>
        <v>0</v>
      </c>
      <c r="Q66" s="134">
        <f t="shared" si="51"/>
        <v>0</v>
      </c>
      <c r="R66" s="134">
        <f t="shared" si="51"/>
        <v>178380</v>
      </c>
      <c r="S66" s="134">
        <f t="shared" si="51"/>
        <v>0</v>
      </c>
      <c r="T66" s="134">
        <f t="shared" si="51"/>
        <v>0</v>
      </c>
      <c r="U66" s="134">
        <f t="shared" si="51"/>
        <v>0</v>
      </c>
      <c r="V66" s="134">
        <f>+V67+V69</f>
        <v>792137230</v>
      </c>
      <c r="W66" s="134">
        <f t="shared" ref="W66:AM66" si="52">+W67+W69</f>
        <v>0</v>
      </c>
      <c r="X66" s="135">
        <f t="shared" si="20"/>
        <v>792137230</v>
      </c>
      <c r="Y66" s="135">
        <f t="shared" si="21"/>
        <v>767137230</v>
      </c>
      <c r="Z66" s="135">
        <f t="shared" si="21"/>
        <v>25000000</v>
      </c>
      <c r="AA66" s="134">
        <f t="shared" si="52"/>
        <v>376000000</v>
      </c>
      <c r="AB66" s="134">
        <f t="shared" si="52"/>
        <v>11000000</v>
      </c>
      <c r="AC66" s="134">
        <f t="shared" si="52"/>
        <v>391137230</v>
      </c>
      <c r="AD66" s="134">
        <f t="shared" si="52"/>
        <v>14000000</v>
      </c>
      <c r="AE66" s="134">
        <f t="shared" si="52"/>
        <v>0</v>
      </c>
      <c r="AF66" s="134">
        <f t="shared" si="52"/>
        <v>0</v>
      </c>
      <c r="AG66" s="216">
        <f t="shared" si="52"/>
        <v>247319000</v>
      </c>
      <c r="AH66" s="134">
        <f t="shared" si="52"/>
        <v>0</v>
      </c>
      <c r="AI66" s="134">
        <f t="shared" si="52"/>
        <v>0</v>
      </c>
      <c r="AJ66" s="134">
        <f t="shared" si="52"/>
        <v>0</v>
      </c>
      <c r="AK66" s="216">
        <f t="shared" si="52"/>
        <v>247319000</v>
      </c>
      <c r="AL66" s="216">
        <f t="shared" si="52"/>
        <v>240319000</v>
      </c>
      <c r="AM66" s="216">
        <f t="shared" si="52"/>
        <v>7000000</v>
      </c>
      <c r="AN66" s="131">
        <f t="shared" ref="AN66:AN110" si="53">+AG66/C66*100</f>
        <v>31.214707482539694</v>
      </c>
      <c r="AO66" s="104"/>
      <c r="AP66" s="104"/>
      <c r="AQ66" s="95"/>
      <c r="AR66" s="95"/>
    </row>
    <row r="67" spans="1:48" ht="15.75">
      <c r="A67" s="105" t="s">
        <v>93</v>
      </c>
      <c r="B67" s="106" t="s">
        <v>102</v>
      </c>
      <c r="C67" s="149">
        <f>+C68</f>
        <v>221000000</v>
      </c>
      <c r="D67" s="135">
        <f t="shared" si="17"/>
        <v>0</v>
      </c>
      <c r="E67" s="135">
        <f t="shared" si="22"/>
        <v>0</v>
      </c>
      <c r="F67" s="135">
        <f t="shared" si="22"/>
        <v>0</v>
      </c>
      <c r="G67" s="149"/>
      <c r="H67" s="149"/>
      <c r="I67" s="149"/>
      <c r="J67" s="149"/>
      <c r="K67" s="149"/>
      <c r="L67" s="149"/>
      <c r="M67" s="132">
        <f t="shared" si="36"/>
        <v>0</v>
      </c>
      <c r="N67" s="132">
        <f t="shared" si="44"/>
        <v>0</v>
      </c>
      <c r="O67" s="132">
        <f t="shared" si="44"/>
        <v>0</v>
      </c>
      <c r="P67" s="149"/>
      <c r="Q67" s="149"/>
      <c r="R67" s="149"/>
      <c r="S67" s="149"/>
      <c r="T67" s="149"/>
      <c r="U67" s="149"/>
      <c r="V67" s="149">
        <f t="shared" ref="V67:AM67" si="54">+V68</f>
        <v>221000000</v>
      </c>
      <c r="W67" s="149">
        <f t="shared" si="54"/>
        <v>0</v>
      </c>
      <c r="X67" s="135">
        <f t="shared" si="20"/>
        <v>221000000</v>
      </c>
      <c r="Y67" s="135">
        <f t="shared" si="21"/>
        <v>213000000</v>
      </c>
      <c r="Z67" s="135">
        <f t="shared" si="21"/>
        <v>8000000</v>
      </c>
      <c r="AA67" s="149">
        <f t="shared" si="54"/>
        <v>137000000</v>
      </c>
      <c r="AB67" s="149">
        <f t="shared" si="54"/>
        <v>4000000</v>
      </c>
      <c r="AC67" s="149">
        <f t="shared" si="54"/>
        <v>76000000</v>
      </c>
      <c r="AD67" s="149">
        <f t="shared" si="54"/>
        <v>4000000</v>
      </c>
      <c r="AE67" s="149">
        <f t="shared" si="54"/>
        <v>0</v>
      </c>
      <c r="AF67" s="149">
        <f t="shared" si="54"/>
        <v>0</v>
      </c>
      <c r="AG67" s="383">
        <f t="shared" si="54"/>
        <v>128385000</v>
      </c>
      <c r="AH67" s="149">
        <f t="shared" si="54"/>
        <v>0</v>
      </c>
      <c r="AI67" s="149">
        <f t="shared" si="54"/>
        <v>0</v>
      </c>
      <c r="AJ67" s="149">
        <f t="shared" si="54"/>
        <v>0</v>
      </c>
      <c r="AK67" s="149">
        <f t="shared" si="54"/>
        <v>128385000</v>
      </c>
      <c r="AL67" s="149">
        <f t="shared" si="54"/>
        <v>124385000</v>
      </c>
      <c r="AM67" s="149">
        <f t="shared" si="54"/>
        <v>4000000</v>
      </c>
      <c r="AN67" s="131">
        <f t="shared" si="53"/>
        <v>58.092760180995469</v>
      </c>
      <c r="AO67" s="18"/>
      <c r="AP67" s="18"/>
      <c r="AQ67" s="95"/>
      <c r="AR67" s="95"/>
    </row>
    <row r="68" spans="1:48" ht="30" customHeight="1">
      <c r="A68" s="101" t="s">
        <v>192</v>
      </c>
      <c r="B68" s="124" t="s">
        <v>194</v>
      </c>
      <c r="C68" s="145">
        <f>+D68+M68+V68</f>
        <v>221000000</v>
      </c>
      <c r="D68" s="135">
        <f t="shared" si="17"/>
        <v>0</v>
      </c>
      <c r="E68" s="135">
        <f t="shared" si="22"/>
        <v>0</v>
      </c>
      <c r="F68" s="135">
        <f t="shared" si="22"/>
        <v>0</v>
      </c>
      <c r="G68" s="132"/>
      <c r="H68" s="132"/>
      <c r="I68" s="132"/>
      <c r="J68" s="132"/>
      <c r="K68" s="132"/>
      <c r="L68" s="132"/>
      <c r="M68" s="132">
        <f t="shared" si="36"/>
        <v>0</v>
      </c>
      <c r="N68" s="132">
        <f t="shared" si="44"/>
        <v>0</v>
      </c>
      <c r="O68" s="132">
        <f t="shared" si="44"/>
        <v>0</v>
      </c>
      <c r="P68" s="132"/>
      <c r="Q68" s="132"/>
      <c r="R68" s="132"/>
      <c r="S68" s="132"/>
      <c r="T68" s="132"/>
      <c r="U68" s="132"/>
      <c r="V68" s="135">
        <f>SUM(W68:X68)</f>
        <v>221000000</v>
      </c>
      <c r="W68" s="132"/>
      <c r="X68" s="135">
        <f t="shared" si="20"/>
        <v>221000000</v>
      </c>
      <c r="Y68" s="135">
        <f t="shared" si="21"/>
        <v>213000000</v>
      </c>
      <c r="Z68" s="135">
        <f t="shared" si="21"/>
        <v>8000000</v>
      </c>
      <c r="AA68" s="132">
        <v>137000000</v>
      </c>
      <c r="AB68" s="132">
        <v>4000000</v>
      </c>
      <c r="AC68" s="132">
        <v>76000000</v>
      </c>
      <c r="AD68" s="132">
        <v>4000000</v>
      </c>
      <c r="AE68" s="132"/>
      <c r="AF68" s="132"/>
      <c r="AG68" s="217">
        <f t="shared" ref="AG68" si="55">+AH68+AK68</f>
        <v>128385000</v>
      </c>
      <c r="AH68" s="135">
        <f t="shared" ref="AH68" si="56">SUM(AI68:AJ68)</f>
        <v>0</v>
      </c>
      <c r="AI68" s="132"/>
      <c r="AJ68" s="132"/>
      <c r="AK68" s="132">
        <f>SUM(AL68:AM68)</f>
        <v>128385000</v>
      </c>
      <c r="AL68" s="132">
        <v>124385000</v>
      </c>
      <c r="AM68" s="132">
        <v>4000000</v>
      </c>
      <c r="AN68" s="131">
        <f t="shared" si="53"/>
        <v>58.092760180995469</v>
      </c>
      <c r="AO68" s="18"/>
      <c r="AP68" s="18"/>
      <c r="AQ68" s="95"/>
      <c r="AR68" s="95"/>
    </row>
    <row r="69" spans="1:48" ht="39.75" customHeight="1">
      <c r="A69" s="105" t="s">
        <v>93</v>
      </c>
      <c r="B69" s="106" t="s">
        <v>103</v>
      </c>
      <c r="C69" s="149">
        <f>+C70+C71</f>
        <v>571315610</v>
      </c>
      <c r="D69" s="135">
        <f t="shared" si="17"/>
        <v>0</v>
      </c>
      <c r="E69" s="135">
        <f t="shared" si="22"/>
        <v>0</v>
      </c>
      <c r="F69" s="135">
        <f t="shared" si="22"/>
        <v>0</v>
      </c>
      <c r="G69" s="149"/>
      <c r="H69" s="149"/>
      <c r="I69" s="149"/>
      <c r="J69" s="149">
        <f t="shared" ref="J69:AM69" si="57">+J70+J71</f>
        <v>0</v>
      </c>
      <c r="K69" s="149">
        <f t="shared" si="57"/>
        <v>0</v>
      </c>
      <c r="L69" s="149">
        <f t="shared" si="57"/>
        <v>0</v>
      </c>
      <c r="M69" s="149">
        <f t="shared" si="57"/>
        <v>178380</v>
      </c>
      <c r="N69" s="149">
        <f t="shared" si="57"/>
        <v>178380</v>
      </c>
      <c r="O69" s="149">
        <f t="shared" si="57"/>
        <v>0</v>
      </c>
      <c r="P69" s="149">
        <f t="shared" si="57"/>
        <v>0</v>
      </c>
      <c r="Q69" s="149">
        <f t="shared" si="57"/>
        <v>0</v>
      </c>
      <c r="R69" s="149">
        <f t="shared" si="57"/>
        <v>178380</v>
      </c>
      <c r="S69" s="149">
        <f t="shared" si="57"/>
        <v>0</v>
      </c>
      <c r="T69" s="149">
        <f t="shared" si="57"/>
        <v>0</v>
      </c>
      <c r="U69" s="149">
        <f t="shared" si="57"/>
        <v>0</v>
      </c>
      <c r="V69" s="149">
        <f t="shared" si="57"/>
        <v>571137230</v>
      </c>
      <c r="W69" s="149">
        <f t="shared" si="57"/>
        <v>0</v>
      </c>
      <c r="X69" s="135">
        <f t="shared" si="20"/>
        <v>571137230</v>
      </c>
      <c r="Y69" s="135">
        <f t="shared" si="21"/>
        <v>554137230</v>
      </c>
      <c r="Z69" s="135">
        <f t="shared" si="21"/>
        <v>17000000</v>
      </c>
      <c r="AA69" s="149">
        <f t="shared" si="57"/>
        <v>239000000</v>
      </c>
      <c r="AB69" s="149">
        <f t="shared" si="57"/>
        <v>7000000</v>
      </c>
      <c r="AC69" s="149">
        <f t="shared" si="57"/>
        <v>315137230</v>
      </c>
      <c r="AD69" s="149">
        <f t="shared" si="57"/>
        <v>10000000</v>
      </c>
      <c r="AE69" s="149">
        <f t="shared" si="57"/>
        <v>0</v>
      </c>
      <c r="AF69" s="149"/>
      <c r="AG69" s="383">
        <f t="shared" si="57"/>
        <v>118934000</v>
      </c>
      <c r="AH69" s="149">
        <f t="shared" si="57"/>
        <v>0</v>
      </c>
      <c r="AI69" s="149">
        <f t="shared" si="57"/>
        <v>0</v>
      </c>
      <c r="AJ69" s="149">
        <f t="shared" si="57"/>
        <v>0</v>
      </c>
      <c r="AK69" s="149">
        <f t="shared" si="57"/>
        <v>118934000</v>
      </c>
      <c r="AL69" s="149">
        <f t="shared" si="57"/>
        <v>115934000</v>
      </c>
      <c r="AM69" s="149">
        <f t="shared" si="57"/>
        <v>3000000</v>
      </c>
      <c r="AN69" s="131">
        <f t="shared" si="53"/>
        <v>20.817565268346161</v>
      </c>
      <c r="AO69" s="18"/>
      <c r="AP69" s="18"/>
      <c r="AQ69" s="95"/>
      <c r="AR69" s="95"/>
    </row>
    <row r="70" spans="1:48" ht="30" customHeight="1">
      <c r="A70" s="101" t="s">
        <v>195</v>
      </c>
      <c r="B70" s="76" t="s">
        <v>193</v>
      </c>
      <c r="C70" s="145">
        <f>+D70+M70+V70</f>
        <v>127000000</v>
      </c>
      <c r="D70" s="135">
        <f t="shared" si="17"/>
        <v>0</v>
      </c>
      <c r="E70" s="135">
        <f t="shared" si="22"/>
        <v>0</v>
      </c>
      <c r="F70" s="135">
        <f t="shared" si="22"/>
        <v>0</v>
      </c>
      <c r="G70" s="132"/>
      <c r="H70" s="132"/>
      <c r="I70" s="132"/>
      <c r="J70" s="132"/>
      <c r="K70" s="132"/>
      <c r="L70" s="132"/>
      <c r="M70" s="132">
        <f t="shared" si="36"/>
        <v>0</v>
      </c>
      <c r="N70" s="132">
        <f t="shared" si="44"/>
        <v>0</v>
      </c>
      <c r="O70" s="132">
        <f t="shared" si="44"/>
        <v>0</v>
      </c>
      <c r="P70" s="132"/>
      <c r="Q70" s="132"/>
      <c r="R70" s="132"/>
      <c r="S70" s="132"/>
      <c r="T70" s="132"/>
      <c r="U70" s="132"/>
      <c r="V70" s="135">
        <f>SUM(W70:X70)</f>
        <v>127000000</v>
      </c>
      <c r="W70" s="132"/>
      <c r="X70" s="135">
        <f t="shared" si="20"/>
        <v>127000000</v>
      </c>
      <c r="Y70" s="135">
        <f t="shared" si="21"/>
        <v>123000000</v>
      </c>
      <c r="Z70" s="135">
        <f t="shared" si="21"/>
        <v>4000000</v>
      </c>
      <c r="AA70" s="132">
        <v>123000000</v>
      </c>
      <c r="AB70" s="132">
        <v>4000000</v>
      </c>
      <c r="AC70" s="132"/>
      <c r="AD70" s="132"/>
      <c r="AE70" s="132"/>
      <c r="AF70" s="132"/>
      <c r="AG70" s="217">
        <f t="shared" ref="AG70" si="58">+AH70+AK70</f>
        <v>0</v>
      </c>
      <c r="AH70" s="135">
        <f t="shared" ref="AH70" si="59">SUM(AI70:AJ70)</f>
        <v>0</v>
      </c>
      <c r="AI70" s="132"/>
      <c r="AJ70" s="132"/>
      <c r="AK70" s="132"/>
      <c r="AL70" s="132"/>
      <c r="AM70" s="132"/>
      <c r="AN70" s="131">
        <f t="shared" si="53"/>
        <v>0</v>
      </c>
      <c r="AO70" s="18"/>
      <c r="AP70" s="18"/>
      <c r="AQ70" s="95"/>
      <c r="AR70" s="95"/>
    </row>
    <row r="71" spans="1:48" ht="30" customHeight="1">
      <c r="A71" s="101" t="s">
        <v>195</v>
      </c>
      <c r="B71" s="124" t="s">
        <v>196</v>
      </c>
      <c r="C71" s="145">
        <f>+D71+M71+V71</f>
        <v>444315610</v>
      </c>
      <c r="D71" s="135">
        <f t="shared" si="17"/>
        <v>0</v>
      </c>
      <c r="E71" s="135">
        <f t="shared" si="22"/>
        <v>0</v>
      </c>
      <c r="F71" s="135">
        <f t="shared" si="22"/>
        <v>0</v>
      </c>
      <c r="G71" s="132"/>
      <c r="H71" s="132"/>
      <c r="I71" s="132"/>
      <c r="J71" s="132"/>
      <c r="K71" s="132"/>
      <c r="L71" s="132"/>
      <c r="M71" s="132">
        <f t="shared" si="36"/>
        <v>178380</v>
      </c>
      <c r="N71" s="132">
        <f t="shared" si="44"/>
        <v>178380</v>
      </c>
      <c r="O71" s="132">
        <f t="shared" si="44"/>
        <v>0</v>
      </c>
      <c r="P71" s="132"/>
      <c r="Q71" s="132"/>
      <c r="R71" s="132">
        <v>178380</v>
      </c>
      <c r="S71" s="132"/>
      <c r="T71" s="132"/>
      <c r="U71" s="132"/>
      <c r="V71" s="135">
        <f>SUM(W71:X71)</f>
        <v>444137230</v>
      </c>
      <c r="W71" s="132"/>
      <c r="X71" s="135">
        <f t="shared" si="20"/>
        <v>444137230</v>
      </c>
      <c r="Y71" s="135">
        <f t="shared" si="21"/>
        <v>431137230</v>
      </c>
      <c r="Z71" s="135">
        <f t="shared" si="21"/>
        <v>13000000</v>
      </c>
      <c r="AA71" s="132">
        <v>116000000</v>
      </c>
      <c r="AB71" s="132">
        <v>3000000</v>
      </c>
      <c r="AC71" s="132">
        <f>290000000+25137230</f>
        <v>315137230</v>
      </c>
      <c r="AD71" s="132">
        <v>10000000</v>
      </c>
      <c r="AE71" s="132"/>
      <c r="AF71" s="132"/>
      <c r="AG71" s="217">
        <f>+AH71+AK71</f>
        <v>118934000</v>
      </c>
      <c r="AH71" s="135">
        <f t="shared" ref="AH71" si="60">SUM(AI71:AJ71)</f>
        <v>0</v>
      </c>
      <c r="AI71" s="132"/>
      <c r="AJ71" s="132"/>
      <c r="AK71" s="132">
        <f>SUM(AL71:AM71)</f>
        <v>118934000</v>
      </c>
      <c r="AL71" s="132">
        <v>115934000</v>
      </c>
      <c r="AM71" s="132">
        <v>3000000</v>
      </c>
      <c r="AN71" s="131">
        <f t="shared" si="53"/>
        <v>26.76790941466135</v>
      </c>
      <c r="AO71" s="18"/>
      <c r="AP71" s="18"/>
      <c r="AQ71" s="95"/>
      <c r="AR71" s="95"/>
    </row>
    <row r="72" spans="1:48" ht="51" customHeight="1">
      <c r="A72" s="102" t="s">
        <v>24</v>
      </c>
      <c r="B72" s="103" t="s">
        <v>104</v>
      </c>
      <c r="C72" s="134">
        <f>+C73+C92</f>
        <v>2091551330</v>
      </c>
      <c r="D72" s="130">
        <f t="shared" si="17"/>
        <v>0</v>
      </c>
      <c r="E72" s="135">
        <f t="shared" si="22"/>
        <v>0</v>
      </c>
      <c r="F72" s="135">
        <f t="shared" si="22"/>
        <v>0</v>
      </c>
      <c r="G72" s="134">
        <f t="shared" ref="G72:AM72" si="61">+G73+G92</f>
        <v>0</v>
      </c>
      <c r="H72" s="134">
        <f t="shared" si="61"/>
        <v>0</v>
      </c>
      <c r="I72" s="134">
        <f t="shared" si="61"/>
        <v>0</v>
      </c>
      <c r="J72" s="134">
        <f t="shared" si="61"/>
        <v>0</v>
      </c>
      <c r="K72" s="134">
        <f t="shared" si="61"/>
        <v>0</v>
      </c>
      <c r="L72" s="134">
        <f t="shared" si="61"/>
        <v>0</v>
      </c>
      <c r="M72" s="134">
        <f t="shared" si="61"/>
        <v>195363810</v>
      </c>
      <c r="N72" s="134">
        <f t="shared" si="61"/>
        <v>186363810</v>
      </c>
      <c r="O72" s="134">
        <f t="shared" si="61"/>
        <v>9000000</v>
      </c>
      <c r="P72" s="134">
        <f t="shared" si="61"/>
        <v>186363810</v>
      </c>
      <c r="Q72" s="134">
        <f t="shared" si="61"/>
        <v>9000000</v>
      </c>
      <c r="R72" s="134">
        <f t="shared" si="61"/>
        <v>0</v>
      </c>
      <c r="S72" s="134">
        <f t="shared" si="61"/>
        <v>0</v>
      </c>
      <c r="T72" s="134">
        <f t="shared" si="61"/>
        <v>0</v>
      </c>
      <c r="U72" s="134">
        <f t="shared" si="61"/>
        <v>0</v>
      </c>
      <c r="V72" s="134">
        <f t="shared" si="61"/>
        <v>1896187520</v>
      </c>
      <c r="W72" s="134">
        <f t="shared" si="61"/>
        <v>0</v>
      </c>
      <c r="X72" s="130">
        <f t="shared" si="20"/>
        <v>1896187520</v>
      </c>
      <c r="Y72" s="130">
        <f t="shared" si="21"/>
        <v>1846014520</v>
      </c>
      <c r="Z72" s="130">
        <f t="shared" si="21"/>
        <v>50173000</v>
      </c>
      <c r="AA72" s="134">
        <f t="shared" si="61"/>
        <v>1113000000</v>
      </c>
      <c r="AB72" s="134">
        <f t="shared" si="61"/>
        <v>34000000</v>
      </c>
      <c r="AC72" s="134">
        <f t="shared" si="61"/>
        <v>733014520</v>
      </c>
      <c r="AD72" s="134">
        <f t="shared" si="61"/>
        <v>16173000</v>
      </c>
      <c r="AE72" s="134">
        <f t="shared" si="61"/>
        <v>0</v>
      </c>
      <c r="AF72" s="134">
        <f t="shared" si="61"/>
        <v>0</v>
      </c>
      <c r="AG72" s="216">
        <f t="shared" si="61"/>
        <v>222135808</v>
      </c>
      <c r="AH72" s="134">
        <f t="shared" si="61"/>
        <v>0</v>
      </c>
      <c r="AI72" s="134">
        <f t="shared" si="61"/>
        <v>0</v>
      </c>
      <c r="AJ72" s="134">
        <f t="shared" si="61"/>
        <v>0</v>
      </c>
      <c r="AK72" s="216">
        <f t="shared" si="61"/>
        <v>222135808</v>
      </c>
      <c r="AL72" s="216">
        <f t="shared" si="61"/>
        <v>216835808</v>
      </c>
      <c r="AM72" s="216">
        <f t="shared" si="61"/>
        <v>5300000</v>
      </c>
      <c r="AN72" s="131">
        <f t="shared" si="53"/>
        <v>10.620624261705306</v>
      </c>
      <c r="AO72" s="104"/>
      <c r="AP72" s="104"/>
      <c r="AQ72" s="95"/>
      <c r="AR72" s="95"/>
    </row>
    <row r="73" spans="1:48" ht="39.75" customHeight="1">
      <c r="A73" s="105" t="s">
        <v>93</v>
      </c>
      <c r="B73" s="106" t="s">
        <v>105</v>
      </c>
      <c r="C73" s="150">
        <f>SUM(C74:C91)</f>
        <v>1445967030</v>
      </c>
      <c r="D73" s="135">
        <f t="shared" si="17"/>
        <v>0</v>
      </c>
      <c r="E73" s="135">
        <f t="shared" si="22"/>
        <v>0</v>
      </c>
      <c r="F73" s="135">
        <f t="shared" si="22"/>
        <v>0</v>
      </c>
      <c r="G73" s="150">
        <f t="shared" ref="G73:U73" si="62">SUM(G74:G91)</f>
        <v>0</v>
      </c>
      <c r="H73" s="150">
        <f t="shared" si="62"/>
        <v>0</v>
      </c>
      <c r="I73" s="150">
        <f t="shared" si="62"/>
        <v>0</v>
      </c>
      <c r="J73" s="150">
        <f t="shared" si="62"/>
        <v>0</v>
      </c>
      <c r="K73" s="150">
        <f t="shared" si="62"/>
        <v>0</v>
      </c>
      <c r="L73" s="150">
        <f t="shared" si="62"/>
        <v>0</v>
      </c>
      <c r="M73" s="150">
        <f t="shared" si="62"/>
        <v>164629810</v>
      </c>
      <c r="N73" s="150">
        <f t="shared" si="62"/>
        <v>164629810</v>
      </c>
      <c r="O73" s="150">
        <f t="shared" si="62"/>
        <v>0</v>
      </c>
      <c r="P73" s="150">
        <f t="shared" si="62"/>
        <v>164629810</v>
      </c>
      <c r="Q73" s="150">
        <f t="shared" si="62"/>
        <v>0</v>
      </c>
      <c r="R73" s="150">
        <f t="shared" si="62"/>
        <v>0</v>
      </c>
      <c r="S73" s="150">
        <f t="shared" si="62"/>
        <v>0</v>
      </c>
      <c r="T73" s="150">
        <f t="shared" si="62"/>
        <v>0</v>
      </c>
      <c r="U73" s="150">
        <f t="shared" si="62"/>
        <v>0</v>
      </c>
      <c r="V73" s="150">
        <f>SUM(V74:V91)</f>
        <v>1281337220</v>
      </c>
      <c r="W73" s="150">
        <f t="shared" ref="W73:AH73" si="63">SUM(W74:W91)</f>
        <v>0</v>
      </c>
      <c r="X73" s="135">
        <f t="shared" si="20"/>
        <v>1281337220</v>
      </c>
      <c r="Y73" s="135">
        <f t="shared" si="21"/>
        <v>1245514220</v>
      </c>
      <c r="Z73" s="135">
        <f t="shared" si="21"/>
        <v>35823000</v>
      </c>
      <c r="AA73" s="150">
        <f t="shared" si="63"/>
        <v>695000000</v>
      </c>
      <c r="AB73" s="150">
        <f t="shared" si="63"/>
        <v>21000000</v>
      </c>
      <c r="AC73" s="150">
        <f>SUM(AC74:AC91)</f>
        <v>550514220</v>
      </c>
      <c r="AD73" s="150">
        <f t="shared" si="63"/>
        <v>14823000</v>
      </c>
      <c r="AE73" s="150">
        <f t="shared" si="63"/>
        <v>0</v>
      </c>
      <c r="AF73" s="150">
        <f t="shared" si="63"/>
        <v>0</v>
      </c>
      <c r="AG73" s="218">
        <f>+AK73</f>
        <v>105002208</v>
      </c>
      <c r="AH73" s="150">
        <f t="shared" si="63"/>
        <v>0</v>
      </c>
      <c r="AI73" s="150"/>
      <c r="AJ73" s="150"/>
      <c r="AK73" s="218">
        <f>SUM(AK74:AK91)</f>
        <v>105002208</v>
      </c>
      <c r="AL73" s="218">
        <f t="shared" ref="AL73:AM73" si="64">SUM(AL74:AL91)</f>
        <v>216835808</v>
      </c>
      <c r="AM73" s="218">
        <f t="shared" si="64"/>
        <v>5300000</v>
      </c>
      <c r="AN73" s="131">
        <f t="shared" si="53"/>
        <v>7.2617290589260532</v>
      </c>
      <c r="AO73" s="18"/>
      <c r="AP73" s="18"/>
      <c r="AQ73" s="95"/>
      <c r="AR73" s="95"/>
    </row>
    <row r="74" spans="1:48" s="14" customFormat="1" ht="25.5" customHeight="1">
      <c r="A74" s="137" t="s">
        <v>41</v>
      </c>
      <c r="B74" s="138" t="s">
        <v>197</v>
      </c>
      <c r="C74" s="132">
        <f>+D74+M74+V74</f>
        <v>694354985</v>
      </c>
      <c r="D74" s="135">
        <f t="shared" si="17"/>
        <v>0</v>
      </c>
      <c r="E74" s="135">
        <f t="shared" si="22"/>
        <v>0</v>
      </c>
      <c r="F74" s="135">
        <f t="shared" si="22"/>
        <v>0</v>
      </c>
      <c r="G74" s="132"/>
      <c r="H74" s="132"/>
      <c r="I74" s="132"/>
      <c r="J74" s="132"/>
      <c r="K74" s="132"/>
      <c r="L74" s="132"/>
      <c r="M74" s="132">
        <f t="shared" si="36"/>
        <v>164629810</v>
      </c>
      <c r="N74" s="132">
        <f t="shared" si="44"/>
        <v>164629810</v>
      </c>
      <c r="O74" s="132">
        <f t="shared" si="44"/>
        <v>0</v>
      </c>
      <c r="P74" s="132">
        <v>164629810</v>
      </c>
      <c r="Q74" s="132"/>
      <c r="R74" s="132"/>
      <c r="S74" s="132"/>
      <c r="T74" s="132"/>
      <c r="U74" s="132"/>
      <c r="V74" s="132">
        <f>SUM(W74:X74)</f>
        <v>529725175</v>
      </c>
      <c r="W74" s="132"/>
      <c r="X74" s="135">
        <f t="shared" si="20"/>
        <v>529725175</v>
      </c>
      <c r="Y74" s="135">
        <f t="shared" si="21"/>
        <v>511202175</v>
      </c>
      <c r="Z74" s="135">
        <f t="shared" si="21"/>
        <v>18523000</v>
      </c>
      <c r="AA74" s="151">
        <v>423000000</v>
      </c>
      <c r="AB74" s="151">
        <v>13000000</v>
      </c>
      <c r="AC74" s="151">
        <v>88202175</v>
      </c>
      <c r="AD74" s="151">
        <v>5523000</v>
      </c>
      <c r="AE74" s="151"/>
      <c r="AF74" s="151"/>
      <c r="AG74" s="217"/>
      <c r="AH74" s="135">
        <f t="shared" ref="AH74" si="65">SUM(AI74:AJ74)</f>
        <v>0</v>
      </c>
      <c r="AI74" s="132"/>
      <c r="AJ74" s="132"/>
      <c r="AL74" s="339">
        <v>114233600</v>
      </c>
      <c r="AM74" s="339">
        <v>2900000</v>
      </c>
      <c r="AN74" s="131">
        <f t="shared" si="53"/>
        <v>0</v>
      </c>
      <c r="AO74" s="78"/>
      <c r="AP74" s="78"/>
      <c r="AQ74" s="95"/>
      <c r="AR74" s="95"/>
      <c r="AU74" s="125"/>
      <c r="AV74" s="125"/>
    </row>
    <row r="75" spans="1:48" s="14" customFormat="1" ht="25.5" customHeight="1">
      <c r="A75" s="137" t="s">
        <v>41</v>
      </c>
      <c r="B75" s="116" t="s">
        <v>198</v>
      </c>
      <c r="C75" s="132">
        <f t="shared" ref="C75:C91" si="66">+D75+M75+V75</f>
        <v>32000000</v>
      </c>
      <c r="D75" s="135">
        <f t="shared" si="17"/>
        <v>0</v>
      </c>
      <c r="E75" s="135">
        <f t="shared" si="22"/>
        <v>0</v>
      </c>
      <c r="F75" s="135">
        <f t="shared" si="22"/>
        <v>0</v>
      </c>
      <c r="G75" s="132"/>
      <c r="H75" s="132"/>
      <c r="I75" s="132"/>
      <c r="J75" s="132"/>
      <c r="K75" s="132"/>
      <c r="L75" s="132"/>
      <c r="M75" s="132">
        <f t="shared" si="36"/>
        <v>0</v>
      </c>
      <c r="N75" s="132">
        <f t="shared" si="44"/>
        <v>0</v>
      </c>
      <c r="O75" s="132">
        <f t="shared" si="44"/>
        <v>0</v>
      </c>
      <c r="P75" s="132"/>
      <c r="Q75" s="132"/>
      <c r="R75" s="132"/>
      <c r="S75" s="132"/>
      <c r="T75" s="132"/>
      <c r="U75" s="132"/>
      <c r="V75" s="132">
        <f t="shared" ref="V75:V91" si="67">SUM(W75:X75)</f>
        <v>32000000</v>
      </c>
      <c r="W75" s="132"/>
      <c r="X75" s="135">
        <f t="shared" si="20"/>
        <v>32000000</v>
      </c>
      <c r="Y75" s="135">
        <f t="shared" si="21"/>
        <v>31000000</v>
      </c>
      <c r="Z75" s="135">
        <f t="shared" si="21"/>
        <v>1000000</v>
      </c>
      <c r="AA75" s="151">
        <v>21000000</v>
      </c>
      <c r="AB75" s="151">
        <v>1000000</v>
      </c>
      <c r="AC75" s="151">
        <v>10000000</v>
      </c>
      <c r="AD75" s="151">
        <v>0</v>
      </c>
      <c r="AE75" s="151"/>
      <c r="AF75" s="151"/>
      <c r="AG75" s="217">
        <f t="shared" ref="AG75:AG110" si="68">+AH75+AK75</f>
        <v>9560000</v>
      </c>
      <c r="AH75" s="135">
        <f t="shared" ref="AH75:AH110" si="69">SUM(AI75:AJ75)</f>
        <v>0</v>
      </c>
      <c r="AI75" s="132"/>
      <c r="AJ75" s="132"/>
      <c r="AK75" s="215">
        <f t="shared" ref="AK75:AK110" si="70">SUM(AL75:AM75)</f>
        <v>9560000</v>
      </c>
      <c r="AL75" s="215">
        <v>9560000</v>
      </c>
      <c r="AM75" s="215"/>
      <c r="AN75" s="131">
        <f t="shared" si="53"/>
        <v>29.875</v>
      </c>
      <c r="AO75" s="78"/>
      <c r="AP75" s="78"/>
      <c r="AQ75" s="95"/>
      <c r="AR75" s="95"/>
      <c r="AU75" s="125"/>
      <c r="AV75" s="125"/>
    </row>
    <row r="76" spans="1:48" s="14" customFormat="1" ht="25.5" customHeight="1">
      <c r="A76" s="137" t="s">
        <v>41</v>
      </c>
      <c r="B76" s="116" t="s">
        <v>199</v>
      </c>
      <c r="C76" s="132">
        <f t="shared" si="66"/>
        <v>63000000</v>
      </c>
      <c r="D76" s="135">
        <f t="shared" si="17"/>
        <v>0</v>
      </c>
      <c r="E76" s="135">
        <f t="shared" si="22"/>
        <v>0</v>
      </c>
      <c r="F76" s="135">
        <f t="shared" si="22"/>
        <v>0</v>
      </c>
      <c r="G76" s="132"/>
      <c r="H76" s="132"/>
      <c r="I76" s="132"/>
      <c r="J76" s="132"/>
      <c r="K76" s="132"/>
      <c r="L76" s="132"/>
      <c r="M76" s="132">
        <f t="shared" si="36"/>
        <v>0</v>
      </c>
      <c r="N76" s="132">
        <f t="shared" si="44"/>
        <v>0</v>
      </c>
      <c r="O76" s="132">
        <f t="shared" si="44"/>
        <v>0</v>
      </c>
      <c r="P76" s="132"/>
      <c r="Q76" s="132"/>
      <c r="R76" s="132"/>
      <c r="S76" s="132"/>
      <c r="T76" s="132"/>
      <c r="U76" s="132"/>
      <c r="V76" s="132">
        <f t="shared" si="67"/>
        <v>63000000</v>
      </c>
      <c r="W76" s="132"/>
      <c r="X76" s="135">
        <f t="shared" si="20"/>
        <v>63000000</v>
      </c>
      <c r="Y76" s="135">
        <f t="shared" si="21"/>
        <v>61200000</v>
      </c>
      <c r="Z76" s="135">
        <f t="shared" si="21"/>
        <v>1800000</v>
      </c>
      <c r="AA76" s="151">
        <v>12700000</v>
      </c>
      <c r="AB76" s="151">
        <v>300000</v>
      </c>
      <c r="AC76" s="151">
        <v>48500000</v>
      </c>
      <c r="AD76" s="151">
        <v>1500000</v>
      </c>
      <c r="AE76" s="151"/>
      <c r="AF76" s="151"/>
      <c r="AG76" s="217">
        <f t="shared" si="68"/>
        <v>9782480</v>
      </c>
      <c r="AH76" s="135">
        <f t="shared" si="69"/>
        <v>0</v>
      </c>
      <c r="AI76" s="132"/>
      <c r="AJ76" s="132"/>
      <c r="AK76" s="215">
        <f t="shared" si="70"/>
        <v>9782480</v>
      </c>
      <c r="AL76" s="215">
        <v>9782480</v>
      </c>
      <c r="AM76" s="215"/>
      <c r="AN76" s="131">
        <f t="shared" si="53"/>
        <v>15.527746031746032</v>
      </c>
      <c r="AO76" s="78"/>
      <c r="AP76" s="78"/>
      <c r="AQ76" s="95"/>
      <c r="AR76" s="95"/>
      <c r="AU76" s="125"/>
      <c r="AV76" s="125"/>
    </row>
    <row r="77" spans="1:48" s="14" customFormat="1" ht="25.5" customHeight="1">
      <c r="A77" s="137" t="s">
        <v>41</v>
      </c>
      <c r="B77" s="116" t="s">
        <v>200</v>
      </c>
      <c r="C77" s="132">
        <f t="shared" si="66"/>
        <v>58382000</v>
      </c>
      <c r="D77" s="135">
        <f t="shared" si="17"/>
        <v>0</v>
      </c>
      <c r="E77" s="135">
        <f t="shared" si="22"/>
        <v>0</v>
      </c>
      <c r="F77" s="135">
        <f t="shared" si="22"/>
        <v>0</v>
      </c>
      <c r="G77" s="132"/>
      <c r="H77" s="132"/>
      <c r="I77" s="132"/>
      <c r="J77" s="132"/>
      <c r="K77" s="132"/>
      <c r="L77" s="132"/>
      <c r="M77" s="132">
        <f t="shared" si="36"/>
        <v>0</v>
      </c>
      <c r="N77" s="132">
        <f t="shared" si="44"/>
        <v>0</v>
      </c>
      <c r="O77" s="132">
        <f t="shared" si="44"/>
        <v>0</v>
      </c>
      <c r="P77" s="132"/>
      <c r="Q77" s="132"/>
      <c r="R77" s="132"/>
      <c r="S77" s="132"/>
      <c r="T77" s="132"/>
      <c r="U77" s="132"/>
      <c r="V77" s="132">
        <f t="shared" si="67"/>
        <v>58382000</v>
      </c>
      <c r="W77" s="132"/>
      <c r="X77" s="135">
        <f t="shared" si="20"/>
        <v>58382000</v>
      </c>
      <c r="Y77" s="135">
        <f t="shared" si="21"/>
        <v>56682000</v>
      </c>
      <c r="Z77" s="135">
        <f t="shared" si="21"/>
        <v>1700000</v>
      </c>
      <c r="AA77" s="151">
        <v>7800000</v>
      </c>
      <c r="AB77" s="151">
        <v>200000</v>
      </c>
      <c r="AC77" s="151">
        <v>48882000</v>
      </c>
      <c r="AD77" s="151">
        <v>1500000</v>
      </c>
      <c r="AE77" s="151"/>
      <c r="AF77" s="151"/>
      <c r="AG77" s="217">
        <f t="shared" si="68"/>
        <v>6621806</v>
      </c>
      <c r="AH77" s="135">
        <f t="shared" si="69"/>
        <v>0</v>
      </c>
      <c r="AI77" s="132"/>
      <c r="AJ77" s="132"/>
      <c r="AK77" s="215">
        <f t="shared" si="70"/>
        <v>6621806</v>
      </c>
      <c r="AL77" s="215">
        <v>6621806</v>
      </c>
      <c r="AM77" s="215"/>
      <c r="AN77" s="131">
        <f t="shared" si="53"/>
        <v>11.34220478914734</v>
      </c>
      <c r="AO77" s="78"/>
      <c r="AP77" s="78"/>
      <c r="AQ77" s="95"/>
      <c r="AR77" s="95"/>
      <c r="AU77" s="125"/>
      <c r="AV77" s="125"/>
    </row>
    <row r="78" spans="1:48" s="14" customFormat="1" ht="25.5" customHeight="1">
      <c r="A78" s="137" t="s">
        <v>41</v>
      </c>
      <c r="B78" s="116" t="s">
        <v>201</v>
      </c>
      <c r="C78" s="132">
        <f t="shared" si="66"/>
        <v>35000000</v>
      </c>
      <c r="D78" s="135">
        <f t="shared" si="17"/>
        <v>0</v>
      </c>
      <c r="E78" s="135">
        <f t="shared" si="22"/>
        <v>0</v>
      </c>
      <c r="F78" s="135">
        <f t="shared" si="22"/>
        <v>0</v>
      </c>
      <c r="G78" s="132"/>
      <c r="H78" s="132"/>
      <c r="I78" s="132"/>
      <c r="J78" s="132"/>
      <c r="K78" s="132"/>
      <c r="L78" s="132"/>
      <c r="M78" s="132">
        <f t="shared" si="36"/>
        <v>0</v>
      </c>
      <c r="N78" s="132">
        <f t="shared" si="44"/>
        <v>0</v>
      </c>
      <c r="O78" s="132">
        <f t="shared" si="44"/>
        <v>0</v>
      </c>
      <c r="P78" s="132"/>
      <c r="Q78" s="132"/>
      <c r="R78" s="132"/>
      <c r="S78" s="132"/>
      <c r="T78" s="132"/>
      <c r="U78" s="132"/>
      <c r="V78" s="132">
        <f t="shared" si="67"/>
        <v>35000000</v>
      </c>
      <c r="W78" s="132"/>
      <c r="X78" s="135">
        <f t="shared" si="20"/>
        <v>35000000</v>
      </c>
      <c r="Y78" s="135">
        <f t="shared" si="21"/>
        <v>34500000</v>
      </c>
      <c r="Z78" s="135">
        <f t="shared" si="21"/>
        <v>500000</v>
      </c>
      <c r="AA78" s="151">
        <v>18500000</v>
      </c>
      <c r="AB78" s="151">
        <v>500000</v>
      </c>
      <c r="AC78" s="151">
        <v>16000000</v>
      </c>
      <c r="AD78" s="151">
        <v>0</v>
      </c>
      <c r="AE78" s="151"/>
      <c r="AF78" s="151"/>
      <c r="AG78" s="217">
        <f t="shared" si="68"/>
        <v>0</v>
      </c>
      <c r="AH78" s="135">
        <f t="shared" si="69"/>
        <v>0</v>
      </c>
      <c r="AI78" s="132"/>
      <c r="AJ78" s="132"/>
      <c r="AK78" s="215">
        <f t="shared" si="70"/>
        <v>0</v>
      </c>
      <c r="AL78" s="215"/>
      <c r="AM78" s="215"/>
      <c r="AN78" s="131">
        <f t="shared" si="53"/>
        <v>0</v>
      </c>
      <c r="AO78" s="78"/>
      <c r="AP78" s="78"/>
      <c r="AQ78" s="95"/>
      <c r="AR78" s="95"/>
      <c r="AU78" s="125"/>
      <c r="AV78" s="125"/>
    </row>
    <row r="79" spans="1:48" s="14" customFormat="1" ht="25.5" customHeight="1">
      <c r="A79" s="137" t="s">
        <v>41</v>
      </c>
      <c r="B79" s="116" t="s">
        <v>202</v>
      </c>
      <c r="C79" s="132">
        <f t="shared" si="66"/>
        <v>59000000</v>
      </c>
      <c r="D79" s="135">
        <f t="shared" si="17"/>
        <v>0</v>
      </c>
      <c r="E79" s="135">
        <f t="shared" si="22"/>
        <v>0</v>
      </c>
      <c r="F79" s="135">
        <f t="shared" si="22"/>
        <v>0</v>
      </c>
      <c r="G79" s="132"/>
      <c r="H79" s="132"/>
      <c r="I79" s="132"/>
      <c r="J79" s="132"/>
      <c r="K79" s="132"/>
      <c r="L79" s="132"/>
      <c r="M79" s="132">
        <f t="shared" si="36"/>
        <v>0</v>
      </c>
      <c r="N79" s="132">
        <f t="shared" si="44"/>
        <v>0</v>
      </c>
      <c r="O79" s="132">
        <f t="shared" si="44"/>
        <v>0</v>
      </c>
      <c r="P79" s="132"/>
      <c r="Q79" s="132"/>
      <c r="R79" s="132"/>
      <c r="S79" s="132"/>
      <c r="T79" s="132"/>
      <c r="U79" s="132"/>
      <c r="V79" s="132">
        <f t="shared" si="67"/>
        <v>59000000</v>
      </c>
      <c r="W79" s="132"/>
      <c r="X79" s="135">
        <f t="shared" si="20"/>
        <v>59000000</v>
      </c>
      <c r="Y79" s="135">
        <f t="shared" si="21"/>
        <v>57250000</v>
      </c>
      <c r="Z79" s="135">
        <f t="shared" si="21"/>
        <v>1750000</v>
      </c>
      <c r="AA79" s="151">
        <v>23300000</v>
      </c>
      <c r="AB79" s="151">
        <v>700000</v>
      </c>
      <c r="AC79" s="151">
        <v>33950000</v>
      </c>
      <c r="AD79" s="151">
        <v>1050000</v>
      </c>
      <c r="AE79" s="151"/>
      <c r="AF79" s="151"/>
      <c r="AG79" s="217">
        <f t="shared" si="68"/>
        <v>21181822</v>
      </c>
      <c r="AH79" s="135">
        <f t="shared" si="69"/>
        <v>0</v>
      </c>
      <c r="AI79" s="132"/>
      <c r="AJ79" s="132"/>
      <c r="AK79" s="132">
        <f t="shared" si="70"/>
        <v>21181822</v>
      </c>
      <c r="AL79" s="132">
        <v>20481822</v>
      </c>
      <c r="AM79" s="132">
        <v>700000</v>
      </c>
      <c r="AN79" s="131">
        <f t="shared" si="53"/>
        <v>35.901393220338981</v>
      </c>
      <c r="AO79" s="78"/>
      <c r="AP79" s="78"/>
      <c r="AQ79" s="95"/>
      <c r="AR79" s="95"/>
      <c r="AU79" s="125"/>
      <c r="AV79" s="125"/>
    </row>
    <row r="80" spans="1:48" s="14" customFormat="1" ht="25.5" customHeight="1">
      <c r="A80" s="137" t="s">
        <v>41</v>
      </c>
      <c r="B80" s="116" t="s">
        <v>203</v>
      </c>
      <c r="C80" s="132">
        <f t="shared" si="66"/>
        <v>28000000</v>
      </c>
      <c r="D80" s="135">
        <f t="shared" si="17"/>
        <v>0</v>
      </c>
      <c r="E80" s="135">
        <f t="shared" si="22"/>
        <v>0</v>
      </c>
      <c r="F80" s="135">
        <f t="shared" si="22"/>
        <v>0</v>
      </c>
      <c r="G80" s="132"/>
      <c r="H80" s="132"/>
      <c r="I80" s="132"/>
      <c r="J80" s="132"/>
      <c r="K80" s="132"/>
      <c r="L80" s="132"/>
      <c r="M80" s="132">
        <f t="shared" si="36"/>
        <v>0</v>
      </c>
      <c r="N80" s="132">
        <f t="shared" si="44"/>
        <v>0</v>
      </c>
      <c r="O80" s="132">
        <f t="shared" si="44"/>
        <v>0</v>
      </c>
      <c r="P80" s="132"/>
      <c r="Q80" s="132"/>
      <c r="R80" s="132"/>
      <c r="S80" s="132"/>
      <c r="T80" s="132"/>
      <c r="U80" s="132"/>
      <c r="V80" s="132">
        <f t="shared" si="67"/>
        <v>28000000</v>
      </c>
      <c r="W80" s="132"/>
      <c r="X80" s="135">
        <f t="shared" si="20"/>
        <v>28000000</v>
      </c>
      <c r="Y80" s="135">
        <f t="shared" si="21"/>
        <v>27200000</v>
      </c>
      <c r="Z80" s="135">
        <f t="shared" si="21"/>
        <v>800000</v>
      </c>
      <c r="AA80" s="151">
        <v>27200000</v>
      </c>
      <c r="AB80" s="151">
        <v>800000</v>
      </c>
      <c r="AC80" s="151">
        <v>0</v>
      </c>
      <c r="AD80" s="151">
        <v>0</v>
      </c>
      <c r="AE80" s="151"/>
      <c r="AF80" s="151"/>
      <c r="AG80" s="217">
        <f t="shared" si="68"/>
        <v>0</v>
      </c>
      <c r="AH80" s="135">
        <f t="shared" si="69"/>
        <v>0</v>
      </c>
      <c r="AI80" s="132"/>
      <c r="AJ80" s="132"/>
      <c r="AK80" s="215">
        <f t="shared" si="70"/>
        <v>0</v>
      </c>
      <c r="AL80" s="215"/>
      <c r="AM80" s="215"/>
      <c r="AN80" s="131">
        <f t="shared" si="53"/>
        <v>0</v>
      </c>
      <c r="AO80" s="78"/>
      <c r="AP80" s="78"/>
      <c r="AQ80" s="95"/>
      <c r="AR80" s="95"/>
      <c r="AU80" s="125"/>
      <c r="AV80" s="125"/>
    </row>
    <row r="81" spans="1:48" s="14" customFormat="1" ht="25.5" customHeight="1">
      <c r="A81" s="137" t="s">
        <v>41</v>
      </c>
      <c r="B81" s="116" t="s">
        <v>204</v>
      </c>
      <c r="C81" s="132">
        <f t="shared" si="66"/>
        <v>102000000</v>
      </c>
      <c r="D81" s="135">
        <f t="shared" si="17"/>
        <v>0</v>
      </c>
      <c r="E81" s="135">
        <f t="shared" si="22"/>
        <v>0</v>
      </c>
      <c r="F81" s="135">
        <f t="shared" si="22"/>
        <v>0</v>
      </c>
      <c r="G81" s="132"/>
      <c r="H81" s="132"/>
      <c r="I81" s="132"/>
      <c r="J81" s="132"/>
      <c r="K81" s="132"/>
      <c r="L81" s="132"/>
      <c r="M81" s="132">
        <f t="shared" si="36"/>
        <v>0</v>
      </c>
      <c r="N81" s="132">
        <f t="shared" si="44"/>
        <v>0</v>
      </c>
      <c r="O81" s="132">
        <f t="shared" si="44"/>
        <v>0</v>
      </c>
      <c r="P81" s="132"/>
      <c r="Q81" s="132"/>
      <c r="R81" s="132"/>
      <c r="S81" s="132"/>
      <c r="T81" s="132"/>
      <c r="U81" s="132"/>
      <c r="V81" s="132">
        <f t="shared" si="67"/>
        <v>102000000</v>
      </c>
      <c r="W81" s="132"/>
      <c r="X81" s="135">
        <f t="shared" si="20"/>
        <v>102000000</v>
      </c>
      <c r="Y81" s="135">
        <f t="shared" si="21"/>
        <v>99000000</v>
      </c>
      <c r="Z81" s="135">
        <f t="shared" si="21"/>
        <v>3000000</v>
      </c>
      <c r="AA81" s="151">
        <v>11700000</v>
      </c>
      <c r="AB81" s="151">
        <v>300000</v>
      </c>
      <c r="AC81" s="151">
        <v>87300000</v>
      </c>
      <c r="AD81" s="151">
        <v>2700000</v>
      </c>
      <c r="AE81" s="151"/>
      <c r="AF81" s="151"/>
      <c r="AG81" s="217">
        <f t="shared" si="68"/>
        <v>11940000</v>
      </c>
      <c r="AH81" s="135">
        <f t="shared" si="69"/>
        <v>0</v>
      </c>
      <c r="AI81" s="132"/>
      <c r="AJ81" s="132"/>
      <c r="AK81" s="215">
        <f t="shared" si="70"/>
        <v>11940000</v>
      </c>
      <c r="AL81" s="215">
        <v>11640000</v>
      </c>
      <c r="AM81" s="215">
        <v>300000</v>
      </c>
      <c r="AN81" s="131">
        <f t="shared" si="53"/>
        <v>11.705882352941178</v>
      </c>
      <c r="AO81" s="78"/>
      <c r="AP81" s="78"/>
      <c r="AQ81" s="95"/>
      <c r="AR81" s="95"/>
      <c r="AU81" s="125"/>
      <c r="AV81" s="125"/>
    </row>
    <row r="82" spans="1:48" s="14" customFormat="1" ht="25.5" customHeight="1">
      <c r="A82" s="137" t="s">
        <v>41</v>
      </c>
      <c r="B82" s="116" t="s">
        <v>205</v>
      </c>
      <c r="C82" s="132">
        <f t="shared" si="66"/>
        <v>45460000</v>
      </c>
      <c r="D82" s="135">
        <f t="shared" si="17"/>
        <v>0</v>
      </c>
      <c r="E82" s="135">
        <f t="shared" si="22"/>
        <v>0</v>
      </c>
      <c r="F82" s="135">
        <f t="shared" si="22"/>
        <v>0</v>
      </c>
      <c r="G82" s="132"/>
      <c r="H82" s="132"/>
      <c r="I82" s="132"/>
      <c r="J82" s="132"/>
      <c r="K82" s="132"/>
      <c r="L82" s="132"/>
      <c r="M82" s="132">
        <f t="shared" si="36"/>
        <v>0</v>
      </c>
      <c r="N82" s="132">
        <f t="shared" si="44"/>
        <v>0</v>
      </c>
      <c r="O82" s="132">
        <f t="shared" si="44"/>
        <v>0</v>
      </c>
      <c r="P82" s="132"/>
      <c r="Q82" s="132"/>
      <c r="R82" s="132"/>
      <c r="S82" s="132"/>
      <c r="T82" s="132"/>
      <c r="U82" s="132"/>
      <c r="V82" s="132">
        <f t="shared" si="67"/>
        <v>45460000</v>
      </c>
      <c r="W82" s="132"/>
      <c r="X82" s="135">
        <f t="shared" si="20"/>
        <v>45460000</v>
      </c>
      <c r="Y82" s="135">
        <f t="shared" si="21"/>
        <v>45060000</v>
      </c>
      <c r="Z82" s="135">
        <f t="shared" si="21"/>
        <v>400000</v>
      </c>
      <c r="AA82" s="151">
        <v>15600000</v>
      </c>
      <c r="AB82" s="151">
        <v>400000</v>
      </c>
      <c r="AC82" s="151">
        <v>29460000</v>
      </c>
      <c r="AD82" s="151">
        <v>0</v>
      </c>
      <c r="AE82" s="151"/>
      <c r="AF82" s="151"/>
      <c r="AG82" s="217">
        <f t="shared" si="68"/>
        <v>0</v>
      </c>
      <c r="AH82" s="135">
        <f t="shared" si="69"/>
        <v>0</v>
      </c>
      <c r="AI82" s="132"/>
      <c r="AJ82" s="132"/>
      <c r="AK82" s="215">
        <f t="shared" si="70"/>
        <v>0</v>
      </c>
      <c r="AL82" s="215"/>
      <c r="AM82" s="215"/>
      <c r="AN82" s="131">
        <f t="shared" si="53"/>
        <v>0</v>
      </c>
      <c r="AO82" s="78"/>
      <c r="AP82" s="78"/>
      <c r="AQ82" s="95"/>
      <c r="AR82" s="95"/>
      <c r="AU82" s="125"/>
      <c r="AV82" s="125"/>
    </row>
    <row r="83" spans="1:48" s="14" customFormat="1" ht="25.5" customHeight="1">
      <c r="A83" s="137" t="s">
        <v>41</v>
      </c>
      <c r="B83" s="116" t="s">
        <v>206</v>
      </c>
      <c r="C83" s="132">
        <f t="shared" si="66"/>
        <v>58000000</v>
      </c>
      <c r="D83" s="135">
        <f t="shared" si="17"/>
        <v>0</v>
      </c>
      <c r="E83" s="135">
        <f t="shared" si="22"/>
        <v>0</v>
      </c>
      <c r="F83" s="135">
        <f t="shared" si="22"/>
        <v>0</v>
      </c>
      <c r="G83" s="132"/>
      <c r="H83" s="132"/>
      <c r="I83" s="132"/>
      <c r="J83" s="132"/>
      <c r="K83" s="132"/>
      <c r="L83" s="132"/>
      <c r="M83" s="132">
        <f t="shared" si="36"/>
        <v>0</v>
      </c>
      <c r="N83" s="132">
        <f t="shared" si="44"/>
        <v>0</v>
      </c>
      <c r="O83" s="132">
        <f t="shared" si="44"/>
        <v>0</v>
      </c>
      <c r="P83" s="132"/>
      <c r="Q83" s="132"/>
      <c r="R83" s="132"/>
      <c r="S83" s="132"/>
      <c r="T83" s="132"/>
      <c r="U83" s="132"/>
      <c r="V83" s="132">
        <f t="shared" si="67"/>
        <v>58000000</v>
      </c>
      <c r="W83" s="132"/>
      <c r="X83" s="135">
        <f t="shared" si="20"/>
        <v>58000000</v>
      </c>
      <c r="Y83" s="135">
        <f t="shared" si="21"/>
        <v>56350000</v>
      </c>
      <c r="Z83" s="135">
        <f t="shared" si="21"/>
        <v>1650000</v>
      </c>
      <c r="AA83" s="151">
        <v>12700000</v>
      </c>
      <c r="AB83" s="151">
        <v>300000</v>
      </c>
      <c r="AC83" s="151">
        <v>43650000</v>
      </c>
      <c r="AD83" s="151">
        <v>1350000</v>
      </c>
      <c r="AE83" s="151"/>
      <c r="AF83" s="151"/>
      <c r="AG83" s="217">
        <f t="shared" si="68"/>
        <v>10381100</v>
      </c>
      <c r="AH83" s="135">
        <f t="shared" si="69"/>
        <v>0</v>
      </c>
      <c r="AI83" s="132"/>
      <c r="AJ83" s="132"/>
      <c r="AK83" s="215">
        <f t="shared" si="70"/>
        <v>10381100</v>
      </c>
      <c r="AL83" s="215">
        <v>10081100</v>
      </c>
      <c r="AM83" s="215">
        <v>300000</v>
      </c>
      <c r="AN83" s="131">
        <f t="shared" si="53"/>
        <v>17.898448275862069</v>
      </c>
      <c r="AO83" s="78"/>
      <c r="AP83" s="78"/>
      <c r="AQ83" s="95"/>
      <c r="AR83" s="95"/>
      <c r="AU83" s="125"/>
      <c r="AV83" s="125"/>
    </row>
    <row r="84" spans="1:48" s="14" customFormat="1" ht="25.5" customHeight="1">
      <c r="A84" s="137" t="s">
        <v>41</v>
      </c>
      <c r="B84" s="116" t="s">
        <v>207</v>
      </c>
      <c r="C84" s="132">
        <f t="shared" si="66"/>
        <v>52795000</v>
      </c>
      <c r="D84" s="135">
        <f t="shared" si="17"/>
        <v>0</v>
      </c>
      <c r="E84" s="135">
        <f t="shared" si="22"/>
        <v>0</v>
      </c>
      <c r="F84" s="135">
        <f t="shared" si="22"/>
        <v>0</v>
      </c>
      <c r="G84" s="132"/>
      <c r="H84" s="132"/>
      <c r="I84" s="132"/>
      <c r="J84" s="132"/>
      <c r="K84" s="132"/>
      <c r="L84" s="132"/>
      <c r="M84" s="132">
        <f t="shared" si="36"/>
        <v>0</v>
      </c>
      <c r="N84" s="132">
        <f t="shared" si="44"/>
        <v>0</v>
      </c>
      <c r="O84" s="132">
        <f t="shared" si="44"/>
        <v>0</v>
      </c>
      <c r="P84" s="132"/>
      <c r="Q84" s="132"/>
      <c r="R84" s="132"/>
      <c r="S84" s="132"/>
      <c r="T84" s="132"/>
      <c r="U84" s="132"/>
      <c r="V84" s="132">
        <f t="shared" si="67"/>
        <v>52795000</v>
      </c>
      <c r="W84" s="132"/>
      <c r="X84" s="135">
        <f t="shared" si="20"/>
        <v>52795000</v>
      </c>
      <c r="Y84" s="135">
        <f t="shared" si="21"/>
        <v>51695000</v>
      </c>
      <c r="Z84" s="135">
        <f t="shared" si="21"/>
        <v>1100000</v>
      </c>
      <c r="AA84" s="151">
        <v>16500000</v>
      </c>
      <c r="AB84" s="151">
        <v>500000</v>
      </c>
      <c r="AC84" s="151">
        <v>35195000</v>
      </c>
      <c r="AD84" s="151">
        <v>600000</v>
      </c>
      <c r="AE84" s="151"/>
      <c r="AF84" s="151"/>
      <c r="AG84" s="217">
        <f t="shared" si="68"/>
        <v>0</v>
      </c>
      <c r="AH84" s="135">
        <f t="shared" si="69"/>
        <v>0</v>
      </c>
      <c r="AI84" s="132"/>
      <c r="AJ84" s="132"/>
      <c r="AK84" s="215">
        <f t="shared" si="70"/>
        <v>0</v>
      </c>
      <c r="AL84" s="215"/>
      <c r="AM84" s="215"/>
      <c r="AN84" s="131">
        <f t="shared" si="53"/>
        <v>0</v>
      </c>
      <c r="AO84" s="78"/>
      <c r="AP84" s="78"/>
      <c r="AQ84" s="95"/>
      <c r="AR84" s="95"/>
      <c r="AU84" s="125"/>
      <c r="AV84" s="125"/>
    </row>
    <row r="85" spans="1:48" s="14" customFormat="1" ht="25.5" customHeight="1">
      <c r="A85" s="137" t="s">
        <v>41</v>
      </c>
      <c r="B85" s="116" t="s">
        <v>208</v>
      </c>
      <c r="C85" s="132">
        <f t="shared" si="66"/>
        <v>27000000</v>
      </c>
      <c r="D85" s="135">
        <f t="shared" si="17"/>
        <v>0</v>
      </c>
      <c r="E85" s="135">
        <f t="shared" si="22"/>
        <v>0</v>
      </c>
      <c r="F85" s="135">
        <f t="shared" si="22"/>
        <v>0</v>
      </c>
      <c r="G85" s="132"/>
      <c r="H85" s="132"/>
      <c r="I85" s="132"/>
      <c r="J85" s="132"/>
      <c r="K85" s="132"/>
      <c r="L85" s="132"/>
      <c r="M85" s="132">
        <f t="shared" si="36"/>
        <v>0</v>
      </c>
      <c r="N85" s="132">
        <f t="shared" si="44"/>
        <v>0</v>
      </c>
      <c r="O85" s="132">
        <f t="shared" si="44"/>
        <v>0</v>
      </c>
      <c r="P85" s="132"/>
      <c r="Q85" s="132"/>
      <c r="R85" s="132"/>
      <c r="S85" s="132"/>
      <c r="T85" s="132"/>
      <c r="U85" s="132"/>
      <c r="V85" s="132">
        <f t="shared" si="67"/>
        <v>27000000</v>
      </c>
      <c r="W85" s="132"/>
      <c r="X85" s="135">
        <f t="shared" si="20"/>
        <v>27000000</v>
      </c>
      <c r="Y85" s="135">
        <f t="shared" si="21"/>
        <v>26200000</v>
      </c>
      <c r="Z85" s="135">
        <f t="shared" si="21"/>
        <v>800000</v>
      </c>
      <c r="AA85" s="151">
        <v>26200000</v>
      </c>
      <c r="AB85" s="151">
        <v>800000</v>
      </c>
      <c r="AC85" s="151">
        <v>0</v>
      </c>
      <c r="AD85" s="151">
        <v>0</v>
      </c>
      <c r="AE85" s="151"/>
      <c r="AF85" s="151"/>
      <c r="AG85" s="217">
        <f t="shared" si="68"/>
        <v>0</v>
      </c>
      <c r="AH85" s="135">
        <f t="shared" si="69"/>
        <v>0</v>
      </c>
      <c r="AI85" s="132"/>
      <c r="AJ85" s="132"/>
      <c r="AK85" s="215">
        <f t="shared" si="70"/>
        <v>0</v>
      </c>
      <c r="AL85" s="215"/>
      <c r="AM85" s="215"/>
      <c r="AN85" s="131">
        <f t="shared" si="53"/>
        <v>0</v>
      </c>
      <c r="AO85" s="78"/>
      <c r="AP85" s="78"/>
      <c r="AQ85" s="95"/>
      <c r="AR85" s="95"/>
      <c r="AU85" s="125"/>
      <c r="AV85" s="125"/>
    </row>
    <row r="86" spans="1:48" s="14" customFormat="1" ht="25.5" customHeight="1">
      <c r="A86" s="137" t="s">
        <v>41</v>
      </c>
      <c r="B86" s="116" t="s">
        <v>209</v>
      </c>
      <c r="C86" s="132">
        <f t="shared" si="66"/>
        <v>31000000</v>
      </c>
      <c r="D86" s="135">
        <f t="shared" si="17"/>
        <v>0</v>
      </c>
      <c r="E86" s="135">
        <f t="shared" si="22"/>
        <v>0</v>
      </c>
      <c r="F86" s="135">
        <f t="shared" si="22"/>
        <v>0</v>
      </c>
      <c r="G86" s="132"/>
      <c r="H86" s="132"/>
      <c r="I86" s="132"/>
      <c r="J86" s="132"/>
      <c r="K86" s="132"/>
      <c r="L86" s="132"/>
      <c r="M86" s="132">
        <f t="shared" si="36"/>
        <v>0</v>
      </c>
      <c r="N86" s="132">
        <f t="shared" si="44"/>
        <v>0</v>
      </c>
      <c r="O86" s="132">
        <f t="shared" si="44"/>
        <v>0</v>
      </c>
      <c r="P86" s="132"/>
      <c r="Q86" s="132"/>
      <c r="R86" s="132"/>
      <c r="S86" s="132"/>
      <c r="T86" s="132"/>
      <c r="U86" s="132"/>
      <c r="V86" s="132">
        <f t="shared" si="67"/>
        <v>31000000</v>
      </c>
      <c r="W86" s="132"/>
      <c r="X86" s="135">
        <f t="shared" si="20"/>
        <v>31000000</v>
      </c>
      <c r="Y86" s="135">
        <f t="shared" si="21"/>
        <v>30100000</v>
      </c>
      <c r="Z86" s="135">
        <f t="shared" si="21"/>
        <v>900000</v>
      </c>
      <c r="AA86" s="151">
        <v>10700000</v>
      </c>
      <c r="AB86" s="151">
        <v>300000</v>
      </c>
      <c r="AC86" s="151">
        <v>19400000</v>
      </c>
      <c r="AD86" s="151">
        <v>600000</v>
      </c>
      <c r="AE86" s="151"/>
      <c r="AF86" s="151"/>
      <c r="AG86" s="217">
        <f t="shared" si="68"/>
        <v>9610000</v>
      </c>
      <c r="AH86" s="135">
        <f t="shared" si="69"/>
        <v>0</v>
      </c>
      <c r="AI86" s="132"/>
      <c r="AJ86" s="132"/>
      <c r="AK86" s="215">
        <f t="shared" si="70"/>
        <v>9610000</v>
      </c>
      <c r="AL86" s="215">
        <v>9010000</v>
      </c>
      <c r="AM86" s="215">
        <v>600000</v>
      </c>
      <c r="AN86" s="131">
        <f t="shared" si="53"/>
        <v>31</v>
      </c>
      <c r="AO86" s="78"/>
      <c r="AP86" s="78"/>
      <c r="AQ86" s="95"/>
      <c r="AR86" s="95"/>
      <c r="AU86" s="125"/>
      <c r="AV86" s="125"/>
    </row>
    <row r="87" spans="1:48" s="14" customFormat="1" ht="25.5" customHeight="1">
      <c r="A87" s="137" t="s">
        <v>41</v>
      </c>
      <c r="B87" s="116" t="s">
        <v>210</v>
      </c>
      <c r="C87" s="132">
        <f t="shared" si="66"/>
        <v>17000000</v>
      </c>
      <c r="D87" s="135">
        <f t="shared" si="17"/>
        <v>0</v>
      </c>
      <c r="E87" s="135">
        <f t="shared" si="22"/>
        <v>0</v>
      </c>
      <c r="F87" s="135">
        <f t="shared" si="22"/>
        <v>0</v>
      </c>
      <c r="G87" s="132"/>
      <c r="H87" s="132"/>
      <c r="I87" s="132"/>
      <c r="J87" s="132"/>
      <c r="K87" s="132"/>
      <c r="L87" s="132"/>
      <c r="M87" s="132">
        <f t="shared" si="36"/>
        <v>0</v>
      </c>
      <c r="N87" s="132">
        <f t="shared" si="44"/>
        <v>0</v>
      </c>
      <c r="O87" s="132">
        <f t="shared" si="44"/>
        <v>0</v>
      </c>
      <c r="P87" s="132"/>
      <c r="Q87" s="132"/>
      <c r="R87" s="132"/>
      <c r="S87" s="132"/>
      <c r="T87" s="132"/>
      <c r="U87" s="132"/>
      <c r="V87" s="132">
        <f t="shared" si="67"/>
        <v>17000000</v>
      </c>
      <c r="W87" s="132"/>
      <c r="X87" s="135">
        <f t="shared" si="20"/>
        <v>17000000</v>
      </c>
      <c r="Y87" s="135">
        <f t="shared" si="21"/>
        <v>16500000</v>
      </c>
      <c r="Z87" s="135">
        <f t="shared" si="21"/>
        <v>500000</v>
      </c>
      <c r="AA87" s="151">
        <v>16500000</v>
      </c>
      <c r="AB87" s="151">
        <v>500000</v>
      </c>
      <c r="AC87" s="151">
        <v>0</v>
      </c>
      <c r="AD87" s="151">
        <v>0</v>
      </c>
      <c r="AE87" s="151"/>
      <c r="AF87" s="151"/>
      <c r="AG87" s="217">
        <f t="shared" si="68"/>
        <v>7945000</v>
      </c>
      <c r="AH87" s="135">
        <f t="shared" si="69"/>
        <v>0</v>
      </c>
      <c r="AI87" s="132"/>
      <c r="AJ87" s="132"/>
      <c r="AK87" s="215">
        <f t="shared" si="70"/>
        <v>7945000</v>
      </c>
      <c r="AL87" s="215">
        <v>7945000</v>
      </c>
      <c r="AM87" s="215"/>
      <c r="AN87" s="131">
        <f t="shared" si="53"/>
        <v>46.735294117647058</v>
      </c>
      <c r="AO87" s="78"/>
      <c r="AP87" s="78"/>
      <c r="AQ87" s="95"/>
      <c r="AR87" s="95"/>
      <c r="AU87" s="125"/>
      <c r="AV87" s="125"/>
    </row>
    <row r="88" spans="1:48" s="14" customFormat="1" ht="25.5" customHeight="1">
      <c r="A88" s="137" t="s">
        <v>41</v>
      </c>
      <c r="B88" s="116" t="s">
        <v>211</v>
      </c>
      <c r="C88" s="132">
        <f t="shared" si="66"/>
        <v>16000000</v>
      </c>
      <c r="D88" s="135">
        <f t="shared" ref="D88:D110" si="71">SUM(E88:F88)</f>
        <v>0</v>
      </c>
      <c r="E88" s="135">
        <f t="shared" si="22"/>
        <v>0</v>
      </c>
      <c r="F88" s="135">
        <f t="shared" si="22"/>
        <v>0</v>
      </c>
      <c r="G88" s="132"/>
      <c r="H88" s="132"/>
      <c r="I88" s="132"/>
      <c r="J88" s="132"/>
      <c r="K88" s="132"/>
      <c r="L88" s="132"/>
      <c r="M88" s="132">
        <f t="shared" si="36"/>
        <v>0</v>
      </c>
      <c r="N88" s="132">
        <f t="shared" si="44"/>
        <v>0</v>
      </c>
      <c r="O88" s="132">
        <f t="shared" si="44"/>
        <v>0</v>
      </c>
      <c r="P88" s="132"/>
      <c r="Q88" s="132"/>
      <c r="R88" s="132"/>
      <c r="S88" s="132"/>
      <c r="T88" s="132"/>
      <c r="U88" s="132"/>
      <c r="V88" s="132">
        <f t="shared" si="67"/>
        <v>16000000</v>
      </c>
      <c r="W88" s="132"/>
      <c r="X88" s="135">
        <f t="shared" ref="X88:X110" si="72">SUM(Y88:Z88)</f>
        <v>16000000</v>
      </c>
      <c r="Y88" s="135">
        <f t="shared" ref="Y88:Z110" si="73">+AA88+AC88-AE88</f>
        <v>15500000</v>
      </c>
      <c r="Z88" s="135">
        <f t="shared" si="73"/>
        <v>500000</v>
      </c>
      <c r="AA88" s="151">
        <v>15500000</v>
      </c>
      <c r="AB88" s="151">
        <v>500000</v>
      </c>
      <c r="AC88" s="151">
        <v>0</v>
      </c>
      <c r="AD88" s="151">
        <v>0</v>
      </c>
      <c r="AE88" s="151"/>
      <c r="AF88" s="151"/>
      <c r="AG88" s="217">
        <f t="shared" si="68"/>
        <v>9200000</v>
      </c>
      <c r="AH88" s="135">
        <f t="shared" si="69"/>
        <v>0</v>
      </c>
      <c r="AI88" s="132"/>
      <c r="AJ88" s="132"/>
      <c r="AK88" s="215">
        <f t="shared" si="70"/>
        <v>9200000</v>
      </c>
      <c r="AL88" s="215">
        <v>8700000</v>
      </c>
      <c r="AM88" s="215">
        <v>500000</v>
      </c>
      <c r="AN88" s="131">
        <f t="shared" si="53"/>
        <v>57.499999999999993</v>
      </c>
      <c r="AO88" s="78"/>
      <c r="AP88" s="78"/>
      <c r="AQ88" s="95"/>
      <c r="AR88" s="95"/>
      <c r="AU88" s="125"/>
      <c r="AV88" s="125"/>
    </row>
    <row r="89" spans="1:48" s="14" customFormat="1" ht="25.5" customHeight="1">
      <c r="A89" s="137" t="s">
        <v>41</v>
      </c>
      <c r="B89" s="116" t="s">
        <v>212</v>
      </c>
      <c r="C89" s="132">
        <f t="shared" si="66"/>
        <v>88975045</v>
      </c>
      <c r="D89" s="135">
        <f t="shared" si="71"/>
        <v>0</v>
      </c>
      <c r="E89" s="135">
        <f t="shared" si="22"/>
        <v>0</v>
      </c>
      <c r="F89" s="135">
        <f t="shared" si="22"/>
        <v>0</v>
      </c>
      <c r="G89" s="132"/>
      <c r="H89" s="132"/>
      <c r="I89" s="132"/>
      <c r="J89" s="132"/>
      <c r="K89" s="132"/>
      <c r="L89" s="132"/>
      <c r="M89" s="132">
        <f t="shared" si="36"/>
        <v>0</v>
      </c>
      <c r="N89" s="132">
        <f t="shared" si="44"/>
        <v>0</v>
      </c>
      <c r="O89" s="132">
        <f t="shared" si="44"/>
        <v>0</v>
      </c>
      <c r="P89" s="132"/>
      <c r="Q89" s="132"/>
      <c r="R89" s="132"/>
      <c r="S89" s="132"/>
      <c r="T89" s="132"/>
      <c r="U89" s="132"/>
      <c r="V89" s="132">
        <f t="shared" si="67"/>
        <v>88975045</v>
      </c>
      <c r="W89" s="132"/>
      <c r="X89" s="135">
        <f t="shared" si="72"/>
        <v>88975045</v>
      </c>
      <c r="Y89" s="135">
        <f t="shared" si="73"/>
        <v>88775045</v>
      </c>
      <c r="Z89" s="135">
        <f t="shared" si="73"/>
        <v>200000</v>
      </c>
      <c r="AA89" s="151">
        <v>8800000</v>
      </c>
      <c r="AB89" s="151">
        <v>200000</v>
      </c>
      <c r="AC89" s="151">
        <v>79975045</v>
      </c>
      <c r="AD89" s="151">
        <v>0</v>
      </c>
      <c r="AE89" s="151"/>
      <c r="AF89" s="151"/>
      <c r="AG89" s="217">
        <f t="shared" si="68"/>
        <v>0</v>
      </c>
      <c r="AH89" s="135">
        <f t="shared" si="69"/>
        <v>0</v>
      </c>
      <c r="AI89" s="132"/>
      <c r="AJ89" s="132"/>
      <c r="AK89" s="215">
        <f t="shared" si="70"/>
        <v>0</v>
      </c>
      <c r="AL89" s="215"/>
      <c r="AM89" s="215"/>
      <c r="AN89" s="131">
        <f t="shared" si="53"/>
        <v>0</v>
      </c>
      <c r="AO89" s="78"/>
      <c r="AP89" s="78"/>
      <c r="AQ89" s="95"/>
      <c r="AR89" s="95"/>
      <c r="AU89" s="125"/>
      <c r="AV89" s="125"/>
    </row>
    <row r="90" spans="1:48" s="14" customFormat="1" ht="25.5" customHeight="1">
      <c r="A90" s="137" t="s">
        <v>41</v>
      </c>
      <c r="B90" s="116" t="s">
        <v>213</v>
      </c>
      <c r="C90" s="132">
        <f t="shared" si="66"/>
        <v>22000000</v>
      </c>
      <c r="D90" s="135">
        <f t="shared" si="71"/>
        <v>0</v>
      </c>
      <c r="E90" s="135">
        <f t="shared" si="22"/>
        <v>0</v>
      </c>
      <c r="F90" s="135">
        <f t="shared" si="22"/>
        <v>0</v>
      </c>
      <c r="G90" s="132"/>
      <c r="H90" s="132"/>
      <c r="I90" s="132"/>
      <c r="J90" s="132"/>
      <c r="K90" s="132"/>
      <c r="L90" s="132"/>
      <c r="M90" s="132">
        <f t="shared" si="36"/>
        <v>0</v>
      </c>
      <c r="N90" s="132">
        <f t="shared" si="44"/>
        <v>0</v>
      </c>
      <c r="O90" s="132">
        <f t="shared" si="44"/>
        <v>0</v>
      </c>
      <c r="P90" s="132"/>
      <c r="Q90" s="132"/>
      <c r="R90" s="132"/>
      <c r="S90" s="132"/>
      <c r="T90" s="132"/>
      <c r="U90" s="132"/>
      <c r="V90" s="132">
        <f t="shared" si="67"/>
        <v>22000000</v>
      </c>
      <c r="W90" s="132"/>
      <c r="X90" s="135">
        <f t="shared" si="72"/>
        <v>22000000</v>
      </c>
      <c r="Y90" s="135">
        <f t="shared" si="73"/>
        <v>21700000</v>
      </c>
      <c r="Z90" s="135">
        <f t="shared" si="73"/>
        <v>300000</v>
      </c>
      <c r="AA90" s="151">
        <v>11700000</v>
      </c>
      <c r="AB90" s="151">
        <v>300000</v>
      </c>
      <c r="AC90" s="151">
        <v>10000000</v>
      </c>
      <c r="AD90" s="151">
        <v>0</v>
      </c>
      <c r="AE90" s="151"/>
      <c r="AF90" s="151"/>
      <c r="AG90" s="217">
        <f t="shared" si="68"/>
        <v>0</v>
      </c>
      <c r="AH90" s="135">
        <f t="shared" si="69"/>
        <v>0</v>
      </c>
      <c r="AI90" s="132"/>
      <c r="AJ90" s="132"/>
      <c r="AK90" s="215">
        <f t="shared" si="70"/>
        <v>0</v>
      </c>
      <c r="AL90" s="215"/>
      <c r="AM90" s="215"/>
      <c r="AN90" s="131">
        <f t="shared" si="53"/>
        <v>0</v>
      </c>
      <c r="AO90" s="78"/>
      <c r="AP90" s="78"/>
      <c r="AQ90" s="95"/>
      <c r="AR90" s="95"/>
      <c r="AU90" s="125"/>
      <c r="AV90" s="125"/>
    </row>
    <row r="91" spans="1:48" s="14" customFormat="1" ht="25.5" customHeight="1">
      <c r="A91" s="137" t="s">
        <v>41</v>
      </c>
      <c r="B91" s="116" t="s">
        <v>214</v>
      </c>
      <c r="C91" s="132">
        <f t="shared" si="66"/>
        <v>16000000</v>
      </c>
      <c r="D91" s="135">
        <f t="shared" si="71"/>
        <v>0</v>
      </c>
      <c r="E91" s="135">
        <f t="shared" si="22"/>
        <v>0</v>
      </c>
      <c r="F91" s="135">
        <f t="shared" si="22"/>
        <v>0</v>
      </c>
      <c r="G91" s="132"/>
      <c r="H91" s="132"/>
      <c r="I91" s="132"/>
      <c r="J91" s="132"/>
      <c r="K91" s="132"/>
      <c r="L91" s="132"/>
      <c r="M91" s="132">
        <f t="shared" si="36"/>
        <v>0</v>
      </c>
      <c r="N91" s="132">
        <f t="shared" si="44"/>
        <v>0</v>
      </c>
      <c r="O91" s="132">
        <f t="shared" si="44"/>
        <v>0</v>
      </c>
      <c r="P91" s="132"/>
      <c r="Q91" s="132"/>
      <c r="R91" s="132"/>
      <c r="S91" s="132"/>
      <c r="T91" s="132"/>
      <c r="U91" s="132"/>
      <c r="V91" s="132">
        <f t="shared" si="67"/>
        <v>16000000</v>
      </c>
      <c r="W91" s="132"/>
      <c r="X91" s="135">
        <f t="shared" si="72"/>
        <v>16000000</v>
      </c>
      <c r="Y91" s="135">
        <f t="shared" si="73"/>
        <v>15600000</v>
      </c>
      <c r="Z91" s="135">
        <f t="shared" si="73"/>
        <v>400000</v>
      </c>
      <c r="AA91" s="151">
        <v>15600000</v>
      </c>
      <c r="AB91" s="151">
        <v>400000</v>
      </c>
      <c r="AC91" s="151"/>
      <c r="AD91" s="151"/>
      <c r="AE91" s="151"/>
      <c r="AF91" s="151"/>
      <c r="AG91" s="217">
        <f>+AH91+AK91</f>
        <v>8780000</v>
      </c>
      <c r="AH91" s="135">
        <f t="shared" si="69"/>
        <v>0</v>
      </c>
      <c r="AI91" s="132"/>
      <c r="AJ91" s="132"/>
      <c r="AK91" s="215">
        <f t="shared" si="70"/>
        <v>8780000</v>
      </c>
      <c r="AL91" s="215">
        <v>8780000</v>
      </c>
      <c r="AM91" s="215"/>
      <c r="AN91" s="131">
        <f t="shared" si="53"/>
        <v>54.874999999999993</v>
      </c>
      <c r="AO91" s="78"/>
      <c r="AP91" s="78"/>
      <c r="AQ91" s="95"/>
      <c r="AR91" s="95"/>
      <c r="AU91" s="125"/>
      <c r="AV91" s="125"/>
    </row>
    <row r="92" spans="1:48" ht="25.5" customHeight="1">
      <c r="A92" s="105" t="s">
        <v>93</v>
      </c>
      <c r="B92" s="106" t="s">
        <v>106</v>
      </c>
      <c r="C92" s="150">
        <f>SUM(C93:C110)</f>
        <v>645584300</v>
      </c>
      <c r="D92" s="135">
        <f t="shared" si="71"/>
        <v>0</v>
      </c>
      <c r="E92" s="135">
        <f t="shared" si="22"/>
        <v>0</v>
      </c>
      <c r="F92" s="135">
        <f t="shared" si="22"/>
        <v>0</v>
      </c>
      <c r="G92" s="150"/>
      <c r="H92" s="150"/>
      <c r="I92" s="150"/>
      <c r="J92" s="150"/>
      <c r="K92" s="150"/>
      <c r="L92" s="150"/>
      <c r="M92" s="150">
        <f t="shared" ref="M92:U92" si="74">SUM(M93:M110)</f>
        <v>30734000</v>
      </c>
      <c r="N92" s="150">
        <f t="shared" si="74"/>
        <v>21734000</v>
      </c>
      <c r="O92" s="150">
        <f t="shared" si="74"/>
        <v>9000000</v>
      </c>
      <c r="P92" s="150">
        <f t="shared" si="74"/>
        <v>21734000</v>
      </c>
      <c r="Q92" s="150">
        <f t="shared" si="74"/>
        <v>9000000</v>
      </c>
      <c r="R92" s="150">
        <f t="shared" si="74"/>
        <v>0</v>
      </c>
      <c r="S92" s="150">
        <f t="shared" si="74"/>
        <v>0</v>
      </c>
      <c r="T92" s="150">
        <f t="shared" si="74"/>
        <v>0</v>
      </c>
      <c r="U92" s="150">
        <f t="shared" si="74"/>
        <v>0</v>
      </c>
      <c r="V92" s="150">
        <f>SUM(V93:V110)</f>
        <v>614850300</v>
      </c>
      <c r="W92" s="150">
        <f t="shared" ref="W92:AM92" si="75">SUM(W93:W110)</f>
        <v>0</v>
      </c>
      <c r="X92" s="150">
        <f t="shared" si="75"/>
        <v>614850300</v>
      </c>
      <c r="Y92" s="150">
        <f t="shared" si="75"/>
        <v>600500300</v>
      </c>
      <c r="Z92" s="150">
        <f t="shared" si="75"/>
        <v>14350000</v>
      </c>
      <c r="AA92" s="150">
        <f t="shared" si="75"/>
        <v>418000000</v>
      </c>
      <c r="AB92" s="150">
        <f t="shared" si="75"/>
        <v>13000000</v>
      </c>
      <c r="AC92" s="150">
        <f t="shared" si="75"/>
        <v>182500300</v>
      </c>
      <c r="AD92" s="150">
        <f t="shared" si="75"/>
        <v>1350000</v>
      </c>
      <c r="AE92" s="150">
        <f t="shared" si="75"/>
        <v>0</v>
      </c>
      <c r="AF92" s="150">
        <f t="shared" si="75"/>
        <v>0</v>
      </c>
      <c r="AG92" s="217">
        <f t="shared" ref="AG92:AG93" si="76">+AH92+AK92</f>
        <v>117133600</v>
      </c>
      <c r="AH92" s="150">
        <f t="shared" si="75"/>
        <v>0</v>
      </c>
      <c r="AI92" s="150">
        <f t="shared" si="75"/>
        <v>0</v>
      </c>
      <c r="AJ92" s="150">
        <f t="shared" si="75"/>
        <v>0</v>
      </c>
      <c r="AK92" s="150">
        <f>SUM(AK93:AK110)</f>
        <v>117133600</v>
      </c>
      <c r="AL92" s="150">
        <f t="shared" si="75"/>
        <v>0</v>
      </c>
      <c r="AM92" s="150">
        <f t="shared" si="75"/>
        <v>0</v>
      </c>
      <c r="AN92" s="131">
        <f t="shared" si="53"/>
        <v>18.143811737677016</v>
      </c>
      <c r="AO92" s="78"/>
      <c r="AP92" s="78"/>
      <c r="AQ92" s="95"/>
      <c r="AR92" s="95"/>
    </row>
    <row r="93" spans="1:48" ht="25.5" customHeight="1">
      <c r="A93" s="137" t="s">
        <v>41</v>
      </c>
      <c r="B93" s="138" t="s">
        <v>197</v>
      </c>
      <c r="C93" s="132">
        <f t="shared" ref="C93:C110" si="77">+D93+M93+V93</f>
        <v>246734000</v>
      </c>
      <c r="D93" s="135">
        <f t="shared" si="71"/>
        <v>0</v>
      </c>
      <c r="E93" s="135">
        <f t="shared" si="22"/>
        <v>0</v>
      </c>
      <c r="F93" s="135">
        <f t="shared" si="22"/>
        <v>0</v>
      </c>
      <c r="G93" s="132"/>
      <c r="H93" s="132"/>
      <c r="I93" s="132"/>
      <c r="J93" s="132"/>
      <c r="K93" s="132"/>
      <c r="L93" s="132"/>
      <c r="M93" s="132">
        <f t="shared" si="36"/>
        <v>30734000</v>
      </c>
      <c r="N93" s="132">
        <f t="shared" si="44"/>
        <v>21734000</v>
      </c>
      <c r="O93" s="132">
        <f t="shared" si="44"/>
        <v>9000000</v>
      </c>
      <c r="P93" s="132">
        <v>21734000</v>
      </c>
      <c r="Q93" s="132">
        <v>9000000</v>
      </c>
      <c r="R93" s="132"/>
      <c r="S93" s="132"/>
      <c r="T93" s="132"/>
      <c r="U93" s="132"/>
      <c r="V93" s="132">
        <f t="shared" ref="V93:V110" si="78">SUM(W93:X93)</f>
        <v>216000000</v>
      </c>
      <c r="W93" s="132"/>
      <c r="X93" s="135">
        <f t="shared" si="72"/>
        <v>216000000</v>
      </c>
      <c r="Y93" s="135">
        <f t="shared" si="73"/>
        <v>209000000</v>
      </c>
      <c r="Z93" s="135">
        <f t="shared" si="73"/>
        <v>7000000</v>
      </c>
      <c r="AA93" s="132">
        <v>209000000</v>
      </c>
      <c r="AB93" s="132">
        <v>7000000</v>
      </c>
      <c r="AC93" s="132"/>
      <c r="AD93" s="132"/>
      <c r="AE93" s="132"/>
      <c r="AF93" s="132"/>
      <c r="AG93" s="217">
        <f t="shared" si="76"/>
        <v>117133600</v>
      </c>
      <c r="AH93" s="135">
        <f t="shared" si="69"/>
        <v>0</v>
      </c>
      <c r="AI93" s="132"/>
      <c r="AJ93" s="132"/>
      <c r="AK93" s="339">
        <f>SUM(AL74:AM74)</f>
        <v>117133600</v>
      </c>
      <c r="AL93" s="215"/>
      <c r="AM93" s="215"/>
      <c r="AN93" s="131">
        <f>+AG93/C93*100</f>
        <v>47.473635575153814</v>
      </c>
      <c r="AO93" s="78"/>
      <c r="AP93" s="78"/>
      <c r="AQ93" s="95"/>
      <c r="AR93" s="95"/>
    </row>
    <row r="94" spans="1:48" ht="25.5" customHeight="1">
      <c r="A94" s="137" t="s">
        <v>41</v>
      </c>
      <c r="B94" s="116" t="s">
        <v>198</v>
      </c>
      <c r="C94" s="132">
        <f t="shared" si="77"/>
        <v>23000000</v>
      </c>
      <c r="D94" s="135">
        <f t="shared" si="71"/>
        <v>0</v>
      </c>
      <c r="E94" s="135">
        <f t="shared" si="22"/>
        <v>0</v>
      </c>
      <c r="F94" s="135">
        <f t="shared" si="22"/>
        <v>0</v>
      </c>
      <c r="G94" s="132"/>
      <c r="H94" s="132"/>
      <c r="I94" s="132"/>
      <c r="J94" s="132"/>
      <c r="K94" s="132"/>
      <c r="L94" s="132"/>
      <c r="M94" s="132">
        <f t="shared" si="36"/>
        <v>0</v>
      </c>
      <c r="N94" s="132">
        <f t="shared" si="44"/>
        <v>0</v>
      </c>
      <c r="O94" s="132">
        <f t="shared" si="44"/>
        <v>0</v>
      </c>
      <c r="P94" s="132"/>
      <c r="Q94" s="132"/>
      <c r="R94" s="132"/>
      <c r="S94" s="132"/>
      <c r="T94" s="132"/>
      <c r="U94" s="132"/>
      <c r="V94" s="132">
        <f t="shared" si="78"/>
        <v>23000000</v>
      </c>
      <c r="W94" s="152"/>
      <c r="X94" s="135">
        <f t="shared" si="72"/>
        <v>23000000</v>
      </c>
      <c r="Y94" s="135">
        <f t="shared" si="73"/>
        <v>22700000</v>
      </c>
      <c r="Z94" s="135">
        <f t="shared" si="73"/>
        <v>300000</v>
      </c>
      <c r="AA94" s="132">
        <v>12700000</v>
      </c>
      <c r="AB94" s="132">
        <v>300000</v>
      </c>
      <c r="AC94" s="132">
        <v>10000000</v>
      </c>
      <c r="AD94" s="132">
        <v>0</v>
      </c>
      <c r="AE94" s="132"/>
      <c r="AF94" s="132"/>
      <c r="AG94" s="217">
        <f t="shared" si="68"/>
        <v>0</v>
      </c>
      <c r="AH94" s="135">
        <f t="shared" si="69"/>
        <v>0</v>
      </c>
      <c r="AI94" s="152"/>
      <c r="AJ94" s="152"/>
      <c r="AK94" s="215">
        <f t="shared" si="70"/>
        <v>0</v>
      </c>
      <c r="AL94" s="219"/>
      <c r="AM94" s="219"/>
      <c r="AN94" s="131">
        <f t="shared" si="53"/>
        <v>0</v>
      </c>
      <c r="AO94" s="78"/>
      <c r="AP94" s="78"/>
      <c r="AQ94" s="95"/>
      <c r="AR94" s="95"/>
    </row>
    <row r="95" spans="1:48" ht="25.5" customHeight="1">
      <c r="A95" s="137" t="s">
        <v>41</v>
      </c>
      <c r="B95" s="116" t="s">
        <v>199</v>
      </c>
      <c r="C95" s="132">
        <f t="shared" si="77"/>
        <v>26060000</v>
      </c>
      <c r="D95" s="135">
        <f t="shared" si="71"/>
        <v>0</v>
      </c>
      <c r="E95" s="135">
        <f t="shared" si="22"/>
        <v>0</v>
      </c>
      <c r="F95" s="135">
        <f t="shared" si="22"/>
        <v>0</v>
      </c>
      <c r="G95" s="132"/>
      <c r="H95" s="132"/>
      <c r="I95" s="132"/>
      <c r="J95" s="132"/>
      <c r="K95" s="132"/>
      <c r="L95" s="132"/>
      <c r="M95" s="132">
        <f t="shared" si="36"/>
        <v>0</v>
      </c>
      <c r="N95" s="132">
        <f t="shared" si="44"/>
        <v>0</v>
      </c>
      <c r="O95" s="132">
        <f t="shared" si="44"/>
        <v>0</v>
      </c>
      <c r="P95" s="132"/>
      <c r="Q95" s="132"/>
      <c r="R95" s="132"/>
      <c r="S95" s="132"/>
      <c r="T95" s="132"/>
      <c r="U95" s="132"/>
      <c r="V95" s="132">
        <f t="shared" si="78"/>
        <v>26060000</v>
      </c>
      <c r="W95" s="152"/>
      <c r="X95" s="135">
        <f t="shared" si="72"/>
        <v>26060000</v>
      </c>
      <c r="Y95" s="135">
        <f t="shared" si="73"/>
        <v>25760000</v>
      </c>
      <c r="Z95" s="135">
        <f t="shared" si="73"/>
        <v>300000</v>
      </c>
      <c r="AA95" s="132">
        <v>12700000</v>
      </c>
      <c r="AB95" s="132">
        <v>300000</v>
      </c>
      <c r="AC95" s="132">
        <v>13060000</v>
      </c>
      <c r="AD95" s="132">
        <v>0</v>
      </c>
      <c r="AE95" s="132"/>
      <c r="AF95" s="132"/>
      <c r="AG95" s="217">
        <f t="shared" si="68"/>
        <v>0</v>
      </c>
      <c r="AH95" s="135">
        <f t="shared" si="69"/>
        <v>0</v>
      </c>
      <c r="AI95" s="152"/>
      <c r="AJ95" s="152"/>
      <c r="AK95" s="215">
        <f t="shared" si="70"/>
        <v>0</v>
      </c>
      <c r="AL95" s="219"/>
      <c r="AM95" s="219"/>
      <c r="AN95" s="131">
        <f t="shared" si="53"/>
        <v>0</v>
      </c>
      <c r="AO95" s="78"/>
      <c r="AP95" s="78"/>
      <c r="AQ95" s="95"/>
      <c r="AR95" s="95"/>
    </row>
    <row r="96" spans="1:48" ht="25.5" customHeight="1">
      <c r="A96" s="137" t="s">
        <v>41</v>
      </c>
      <c r="B96" s="116" t="s">
        <v>200</v>
      </c>
      <c r="C96" s="132">
        <f t="shared" si="77"/>
        <v>19000000</v>
      </c>
      <c r="D96" s="135">
        <f t="shared" si="71"/>
        <v>0</v>
      </c>
      <c r="E96" s="135">
        <f t="shared" si="22"/>
        <v>0</v>
      </c>
      <c r="F96" s="135">
        <f t="shared" si="22"/>
        <v>0</v>
      </c>
      <c r="G96" s="132"/>
      <c r="H96" s="132"/>
      <c r="I96" s="132"/>
      <c r="J96" s="132"/>
      <c r="K96" s="132"/>
      <c r="L96" s="132"/>
      <c r="M96" s="132">
        <f t="shared" si="36"/>
        <v>0</v>
      </c>
      <c r="N96" s="132">
        <f t="shared" si="44"/>
        <v>0</v>
      </c>
      <c r="O96" s="132">
        <f t="shared" si="44"/>
        <v>0</v>
      </c>
      <c r="P96" s="132"/>
      <c r="Q96" s="132"/>
      <c r="R96" s="132"/>
      <c r="S96" s="132"/>
      <c r="T96" s="132"/>
      <c r="U96" s="132"/>
      <c r="V96" s="132">
        <f t="shared" si="78"/>
        <v>19000000</v>
      </c>
      <c r="W96" s="152"/>
      <c r="X96" s="135">
        <f t="shared" si="72"/>
        <v>19000000</v>
      </c>
      <c r="Y96" s="135">
        <f t="shared" si="73"/>
        <v>18700000</v>
      </c>
      <c r="Z96" s="135">
        <f t="shared" si="73"/>
        <v>300000</v>
      </c>
      <c r="AA96" s="132">
        <v>8700000</v>
      </c>
      <c r="AB96" s="132">
        <v>300000</v>
      </c>
      <c r="AC96" s="132">
        <v>10000000</v>
      </c>
      <c r="AD96" s="132">
        <v>0</v>
      </c>
      <c r="AE96" s="132"/>
      <c r="AF96" s="132"/>
      <c r="AG96" s="217">
        <f t="shared" si="68"/>
        <v>0</v>
      </c>
      <c r="AH96" s="135">
        <f t="shared" si="69"/>
        <v>0</v>
      </c>
      <c r="AI96" s="152"/>
      <c r="AJ96" s="152"/>
      <c r="AK96" s="215">
        <f t="shared" si="70"/>
        <v>0</v>
      </c>
      <c r="AL96" s="219"/>
      <c r="AM96" s="219"/>
      <c r="AN96" s="131">
        <f t="shared" si="53"/>
        <v>0</v>
      </c>
      <c r="AO96" s="78"/>
      <c r="AP96" s="78"/>
      <c r="AQ96" s="95"/>
      <c r="AR96" s="95"/>
    </row>
    <row r="97" spans="1:48" ht="25.5" customHeight="1">
      <c r="A97" s="137" t="s">
        <v>41</v>
      </c>
      <c r="B97" s="116" t="s">
        <v>201</v>
      </c>
      <c r="C97" s="132">
        <f t="shared" si="77"/>
        <v>45000000</v>
      </c>
      <c r="D97" s="135">
        <f t="shared" si="71"/>
        <v>0</v>
      </c>
      <c r="E97" s="135">
        <f t="shared" si="22"/>
        <v>0</v>
      </c>
      <c r="F97" s="135">
        <f t="shared" si="22"/>
        <v>0</v>
      </c>
      <c r="G97" s="132"/>
      <c r="H97" s="132"/>
      <c r="I97" s="132"/>
      <c r="J97" s="132"/>
      <c r="K97" s="132"/>
      <c r="L97" s="132"/>
      <c r="M97" s="132">
        <f t="shared" si="36"/>
        <v>0</v>
      </c>
      <c r="N97" s="132">
        <f t="shared" si="44"/>
        <v>0</v>
      </c>
      <c r="O97" s="132">
        <f t="shared" si="44"/>
        <v>0</v>
      </c>
      <c r="P97" s="132"/>
      <c r="Q97" s="132"/>
      <c r="R97" s="132"/>
      <c r="S97" s="132"/>
      <c r="T97" s="132"/>
      <c r="U97" s="132"/>
      <c r="V97" s="132">
        <f t="shared" si="78"/>
        <v>45000000</v>
      </c>
      <c r="W97" s="152"/>
      <c r="X97" s="135">
        <f t="shared" si="72"/>
        <v>45000000</v>
      </c>
      <c r="Y97" s="135">
        <f t="shared" si="73"/>
        <v>43600000</v>
      </c>
      <c r="Z97" s="135">
        <f t="shared" si="73"/>
        <v>1400000</v>
      </c>
      <c r="AA97" s="132">
        <v>14500000</v>
      </c>
      <c r="AB97" s="132">
        <v>500000</v>
      </c>
      <c r="AC97" s="132">
        <v>29100000</v>
      </c>
      <c r="AD97" s="132">
        <v>900000</v>
      </c>
      <c r="AE97" s="132"/>
      <c r="AF97" s="132"/>
      <c r="AG97" s="217">
        <f t="shared" si="68"/>
        <v>0</v>
      </c>
      <c r="AH97" s="135">
        <f t="shared" si="69"/>
        <v>0</v>
      </c>
      <c r="AI97" s="152"/>
      <c r="AJ97" s="152"/>
      <c r="AK97" s="215">
        <f t="shared" si="70"/>
        <v>0</v>
      </c>
      <c r="AL97" s="219"/>
      <c r="AM97" s="219"/>
      <c r="AN97" s="131">
        <f t="shared" si="53"/>
        <v>0</v>
      </c>
      <c r="AO97" s="78"/>
      <c r="AP97" s="78"/>
      <c r="AQ97" s="95"/>
      <c r="AR97" s="95"/>
    </row>
    <row r="98" spans="1:48" ht="25.5" customHeight="1">
      <c r="A98" s="137" t="s">
        <v>41</v>
      </c>
      <c r="B98" s="116" t="s">
        <v>202</v>
      </c>
      <c r="C98" s="132">
        <f t="shared" si="77"/>
        <v>25000000</v>
      </c>
      <c r="D98" s="135">
        <f t="shared" si="71"/>
        <v>0</v>
      </c>
      <c r="E98" s="135">
        <f t="shared" si="22"/>
        <v>0</v>
      </c>
      <c r="F98" s="135">
        <f t="shared" si="22"/>
        <v>0</v>
      </c>
      <c r="G98" s="132"/>
      <c r="H98" s="132"/>
      <c r="I98" s="132"/>
      <c r="J98" s="132"/>
      <c r="K98" s="132"/>
      <c r="L98" s="132"/>
      <c r="M98" s="132">
        <f t="shared" si="36"/>
        <v>0</v>
      </c>
      <c r="N98" s="132">
        <f t="shared" si="44"/>
        <v>0</v>
      </c>
      <c r="O98" s="132">
        <f t="shared" si="44"/>
        <v>0</v>
      </c>
      <c r="P98" s="132"/>
      <c r="Q98" s="132"/>
      <c r="R98" s="132"/>
      <c r="S98" s="132"/>
      <c r="T98" s="132"/>
      <c r="U98" s="132"/>
      <c r="V98" s="132">
        <f t="shared" si="78"/>
        <v>25000000</v>
      </c>
      <c r="W98" s="152"/>
      <c r="X98" s="135">
        <f t="shared" si="72"/>
        <v>25000000</v>
      </c>
      <c r="Y98" s="135">
        <f t="shared" si="73"/>
        <v>24500000</v>
      </c>
      <c r="Z98" s="135">
        <f t="shared" si="73"/>
        <v>500000</v>
      </c>
      <c r="AA98" s="132">
        <v>16500000</v>
      </c>
      <c r="AB98" s="132">
        <v>500000</v>
      </c>
      <c r="AC98" s="132">
        <v>8000000</v>
      </c>
      <c r="AD98" s="132">
        <v>0</v>
      </c>
      <c r="AE98" s="132"/>
      <c r="AF98" s="132"/>
      <c r="AG98" s="217">
        <f t="shared" si="68"/>
        <v>0</v>
      </c>
      <c r="AH98" s="135">
        <f t="shared" si="69"/>
        <v>0</v>
      </c>
      <c r="AI98" s="152"/>
      <c r="AJ98" s="152"/>
      <c r="AK98" s="215">
        <f t="shared" si="70"/>
        <v>0</v>
      </c>
      <c r="AL98" s="219"/>
      <c r="AM98" s="219"/>
      <c r="AN98" s="131">
        <f t="shared" si="53"/>
        <v>0</v>
      </c>
      <c r="AO98" s="78"/>
      <c r="AP98" s="78"/>
      <c r="AQ98" s="95"/>
      <c r="AR98" s="95"/>
      <c r="AU98" s="24"/>
      <c r="AV98" s="24"/>
    </row>
    <row r="99" spans="1:48" ht="25.5" customHeight="1">
      <c r="A99" s="137" t="s">
        <v>41</v>
      </c>
      <c r="B99" s="116" t="s">
        <v>203</v>
      </c>
      <c r="C99" s="132">
        <f t="shared" si="77"/>
        <v>33000000</v>
      </c>
      <c r="D99" s="135">
        <f t="shared" si="71"/>
        <v>0</v>
      </c>
      <c r="E99" s="135">
        <f t="shared" si="22"/>
        <v>0</v>
      </c>
      <c r="F99" s="135">
        <f t="shared" si="22"/>
        <v>0</v>
      </c>
      <c r="G99" s="132"/>
      <c r="H99" s="132"/>
      <c r="I99" s="132"/>
      <c r="J99" s="132"/>
      <c r="K99" s="132"/>
      <c r="L99" s="132"/>
      <c r="M99" s="132">
        <f t="shared" si="36"/>
        <v>0</v>
      </c>
      <c r="N99" s="132">
        <f t="shared" si="44"/>
        <v>0</v>
      </c>
      <c r="O99" s="132">
        <f t="shared" si="44"/>
        <v>0</v>
      </c>
      <c r="P99" s="132"/>
      <c r="Q99" s="132"/>
      <c r="R99" s="132"/>
      <c r="S99" s="132"/>
      <c r="T99" s="132"/>
      <c r="U99" s="132"/>
      <c r="V99" s="132">
        <f t="shared" si="78"/>
        <v>33000000</v>
      </c>
      <c r="W99" s="152"/>
      <c r="X99" s="135">
        <f t="shared" si="72"/>
        <v>33000000</v>
      </c>
      <c r="Y99" s="135">
        <f t="shared" si="73"/>
        <v>32600000</v>
      </c>
      <c r="Z99" s="135">
        <f t="shared" si="73"/>
        <v>400000</v>
      </c>
      <c r="AA99" s="132">
        <v>17600000</v>
      </c>
      <c r="AB99" s="132">
        <v>400000</v>
      </c>
      <c r="AC99" s="132">
        <v>15000000</v>
      </c>
      <c r="AD99" s="132">
        <v>0</v>
      </c>
      <c r="AE99" s="132"/>
      <c r="AF99" s="132"/>
      <c r="AG99" s="217">
        <f t="shared" si="68"/>
        <v>0</v>
      </c>
      <c r="AH99" s="135">
        <f t="shared" si="69"/>
        <v>0</v>
      </c>
      <c r="AI99" s="152"/>
      <c r="AJ99" s="152"/>
      <c r="AK99" s="215">
        <f t="shared" si="70"/>
        <v>0</v>
      </c>
      <c r="AL99" s="219"/>
      <c r="AM99" s="219"/>
      <c r="AN99" s="131">
        <f t="shared" si="53"/>
        <v>0</v>
      </c>
      <c r="AO99" s="78"/>
      <c r="AP99" s="78"/>
      <c r="AQ99" s="95"/>
      <c r="AR99" s="95"/>
      <c r="AU99" s="24"/>
      <c r="AV99" s="24"/>
    </row>
    <row r="100" spans="1:48" ht="25.5" customHeight="1">
      <c r="A100" s="137" t="s">
        <v>41</v>
      </c>
      <c r="B100" s="116" t="s">
        <v>204</v>
      </c>
      <c r="C100" s="132">
        <f t="shared" si="77"/>
        <v>12192300</v>
      </c>
      <c r="D100" s="135">
        <f t="shared" si="71"/>
        <v>0</v>
      </c>
      <c r="E100" s="135">
        <f t="shared" ref="E100:F110" si="79">G100+I100-K100</f>
        <v>0</v>
      </c>
      <c r="F100" s="135">
        <f t="shared" si="79"/>
        <v>0</v>
      </c>
      <c r="G100" s="132"/>
      <c r="H100" s="132"/>
      <c r="I100" s="132"/>
      <c r="J100" s="132"/>
      <c r="K100" s="132"/>
      <c r="L100" s="132"/>
      <c r="M100" s="132">
        <f t="shared" si="36"/>
        <v>0</v>
      </c>
      <c r="N100" s="132">
        <f t="shared" si="44"/>
        <v>0</v>
      </c>
      <c r="O100" s="132">
        <f t="shared" si="44"/>
        <v>0</v>
      </c>
      <c r="P100" s="132"/>
      <c r="Q100" s="132"/>
      <c r="R100" s="132"/>
      <c r="S100" s="132"/>
      <c r="T100" s="132"/>
      <c r="U100" s="132"/>
      <c r="V100" s="132">
        <f t="shared" si="78"/>
        <v>12192300</v>
      </c>
      <c r="W100" s="152"/>
      <c r="X100" s="135">
        <f t="shared" si="72"/>
        <v>12192300</v>
      </c>
      <c r="Y100" s="135">
        <f t="shared" si="73"/>
        <v>11892300</v>
      </c>
      <c r="Z100" s="135">
        <f t="shared" si="73"/>
        <v>300000</v>
      </c>
      <c r="AA100" s="132">
        <v>8700000</v>
      </c>
      <c r="AB100" s="132">
        <v>300000</v>
      </c>
      <c r="AC100" s="132">
        <v>3192300</v>
      </c>
      <c r="AD100" s="132">
        <v>0</v>
      </c>
      <c r="AE100" s="132"/>
      <c r="AF100" s="132"/>
      <c r="AG100" s="217">
        <f t="shared" si="68"/>
        <v>0</v>
      </c>
      <c r="AH100" s="135">
        <f t="shared" si="69"/>
        <v>0</v>
      </c>
      <c r="AI100" s="152"/>
      <c r="AJ100" s="152"/>
      <c r="AK100" s="215">
        <f t="shared" si="70"/>
        <v>0</v>
      </c>
      <c r="AL100" s="219"/>
      <c r="AM100" s="219"/>
      <c r="AN100" s="131">
        <f t="shared" si="53"/>
        <v>0</v>
      </c>
      <c r="AO100" s="78"/>
      <c r="AP100" s="78"/>
      <c r="AQ100" s="95"/>
      <c r="AR100" s="95"/>
      <c r="AU100" s="24"/>
      <c r="AV100" s="24"/>
    </row>
    <row r="101" spans="1:48" ht="25.5" customHeight="1">
      <c r="A101" s="137" t="s">
        <v>41</v>
      </c>
      <c r="B101" s="116" t="s">
        <v>205</v>
      </c>
      <c r="C101" s="132">
        <f t="shared" si="77"/>
        <v>11000000</v>
      </c>
      <c r="D101" s="135">
        <f t="shared" si="71"/>
        <v>0</v>
      </c>
      <c r="E101" s="135">
        <f t="shared" si="79"/>
        <v>0</v>
      </c>
      <c r="F101" s="135">
        <f t="shared" si="79"/>
        <v>0</v>
      </c>
      <c r="G101" s="132"/>
      <c r="H101" s="132"/>
      <c r="I101" s="132"/>
      <c r="J101" s="132"/>
      <c r="K101" s="132"/>
      <c r="L101" s="132"/>
      <c r="M101" s="132">
        <f t="shared" si="36"/>
        <v>0</v>
      </c>
      <c r="N101" s="132">
        <f t="shared" si="44"/>
        <v>0</v>
      </c>
      <c r="O101" s="132">
        <f t="shared" si="44"/>
        <v>0</v>
      </c>
      <c r="P101" s="132"/>
      <c r="Q101" s="132"/>
      <c r="R101" s="132"/>
      <c r="S101" s="132"/>
      <c r="T101" s="132"/>
      <c r="U101" s="132"/>
      <c r="V101" s="132">
        <f t="shared" si="78"/>
        <v>11000000</v>
      </c>
      <c r="W101" s="152"/>
      <c r="X101" s="135">
        <f t="shared" si="72"/>
        <v>11000000</v>
      </c>
      <c r="Y101" s="135">
        <f t="shared" si="73"/>
        <v>10700000</v>
      </c>
      <c r="Z101" s="135">
        <f t="shared" si="73"/>
        <v>300000</v>
      </c>
      <c r="AA101" s="132">
        <v>10700000</v>
      </c>
      <c r="AB101" s="132">
        <v>300000</v>
      </c>
      <c r="AC101" s="132">
        <v>0</v>
      </c>
      <c r="AD101" s="132">
        <v>0</v>
      </c>
      <c r="AE101" s="132"/>
      <c r="AF101" s="132"/>
      <c r="AG101" s="217">
        <f t="shared" si="68"/>
        <v>0</v>
      </c>
      <c r="AH101" s="135">
        <f t="shared" si="69"/>
        <v>0</v>
      </c>
      <c r="AI101" s="152"/>
      <c r="AJ101" s="152"/>
      <c r="AK101" s="215">
        <f t="shared" si="70"/>
        <v>0</v>
      </c>
      <c r="AL101" s="219"/>
      <c r="AM101" s="219"/>
      <c r="AN101" s="131">
        <f t="shared" si="53"/>
        <v>0</v>
      </c>
      <c r="AO101" s="78"/>
      <c r="AP101" s="78"/>
      <c r="AQ101" s="95"/>
      <c r="AR101" s="95"/>
      <c r="AU101" s="24"/>
      <c r="AV101" s="24"/>
    </row>
    <row r="102" spans="1:48" ht="25.5" customHeight="1">
      <c r="A102" s="137" t="s">
        <v>41</v>
      </c>
      <c r="B102" s="116" t="s">
        <v>206</v>
      </c>
      <c r="C102" s="132">
        <f t="shared" si="77"/>
        <v>20000000</v>
      </c>
      <c r="D102" s="135">
        <f t="shared" si="71"/>
        <v>0</v>
      </c>
      <c r="E102" s="135">
        <f t="shared" si="79"/>
        <v>0</v>
      </c>
      <c r="F102" s="135">
        <f t="shared" si="79"/>
        <v>0</v>
      </c>
      <c r="G102" s="132"/>
      <c r="H102" s="132"/>
      <c r="I102" s="132"/>
      <c r="J102" s="132"/>
      <c r="K102" s="132"/>
      <c r="L102" s="132"/>
      <c r="M102" s="132">
        <f t="shared" si="36"/>
        <v>0</v>
      </c>
      <c r="N102" s="132">
        <f t="shared" si="44"/>
        <v>0</v>
      </c>
      <c r="O102" s="132">
        <f t="shared" si="44"/>
        <v>0</v>
      </c>
      <c r="P102" s="132"/>
      <c r="Q102" s="132"/>
      <c r="R102" s="132"/>
      <c r="S102" s="132"/>
      <c r="T102" s="132"/>
      <c r="U102" s="132"/>
      <c r="V102" s="132">
        <f t="shared" si="78"/>
        <v>20000000</v>
      </c>
      <c r="W102" s="152"/>
      <c r="X102" s="135">
        <f t="shared" si="72"/>
        <v>20000000</v>
      </c>
      <c r="Y102" s="135">
        <f t="shared" si="73"/>
        <v>19700000</v>
      </c>
      <c r="Z102" s="135">
        <f t="shared" si="73"/>
        <v>300000</v>
      </c>
      <c r="AA102" s="132">
        <v>9700000</v>
      </c>
      <c r="AB102" s="132">
        <v>300000</v>
      </c>
      <c r="AC102" s="132">
        <v>10000000</v>
      </c>
      <c r="AD102" s="132">
        <v>0</v>
      </c>
      <c r="AE102" s="132"/>
      <c r="AF102" s="132"/>
      <c r="AG102" s="217">
        <f t="shared" si="68"/>
        <v>0</v>
      </c>
      <c r="AH102" s="135">
        <f t="shared" si="69"/>
        <v>0</v>
      </c>
      <c r="AI102" s="152"/>
      <c r="AJ102" s="152"/>
      <c r="AK102" s="215">
        <f t="shared" si="70"/>
        <v>0</v>
      </c>
      <c r="AL102" s="219"/>
      <c r="AM102" s="219"/>
      <c r="AN102" s="131">
        <f t="shared" si="53"/>
        <v>0</v>
      </c>
      <c r="AO102" s="78"/>
      <c r="AP102" s="78"/>
      <c r="AQ102" s="95"/>
      <c r="AR102" s="95"/>
      <c r="AU102" s="24"/>
      <c r="AV102" s="24"/>
    </row>
    <row r="103" spans="1:48" ht="25.5" customHeight="1">
      <c r="A103" s="137" t="s">
        <v>41</v>
      </c>
      <c r="B103" s="116" t="s">
        <v>207</v>
      </c>
      <c r="C103" s="132">
        <f t="shared" si="77"/>
        <v>29000000</v>
      </c>
      <c r="D103" s="135">
        <f t="shared" si="71"/>
        <v>0</v>
      </c>
      <c r="E103" s="135">
        <f t="shared" si="79"/>
        <v>0</v>
      </c>
      <c r="F103" s="135">
        <f t="shared" si="79"/>
        <v>0</v>
      </c>
      <c r="G103" s="132"/>
      <c r="H103" s="132"/>
      <c r="I103" s="132"/>
      <c r="J103" s="132"/>
      <c r="K103" s="132"/>
      <c r="L103" s="132"/>
      <c r="M103" s="132">
        <f t="shared" si="36"/>
        <v>0</v>
      </c>
      <c r="N103" s="132">
        <f t="shared" si="44"/>
        <v>0</v>
      </c>
      <c r="O103" s="132">
        <f t="shared" si="44"/>
        <v>0</v>
      </c>
      <c r="P103" s="132"/>
      <c r="Q103" s="132"/>
      <c r="R103" s="132"/>
      <c r="S103" s="132"/>
      <c r="T103" s="132"/>
      <c r="U103" s="132"/>
      <c r="V103" s="132">
        <f t="shared" si="78"/>
        <v>29000000</v>
      </c>
      <c r="W103" s="152"/>
      <c r="X103" s="135">
        <f t="shared" si="72"/>
        <v>29000000</v>
      </c>
      <c r="Y103" s="135">
        <f t="shared" si="73"/>
        <v>28150000</v>
      </c>
      <c r="Z103" s="135">
        <f t="shared" si="73"/>
        <v>850000</v>
      </c>
      <c r="AA103" s="132">
        <v>13600000</v>
      </c>
      <c r="AB103" s="132">
        <v>400000</v>
      </c>
      <c r="AC103" s="132">
        <v>14550000</v>
      </c>
      <c r="AD103" s="132">
        <v>450000</v>
      </c>
      <c r="AE103" s="132"/>
      <c r="AF103" s="132"/>
      <c r="AG103" s="217">
        <f t="shared" si="68"/>
        <v>0</v>
      </c>
      <c r="AH103" s="135">
        <f t="shared" si="69"/>
        <v>0</v>
      </c>
      <c r="AI103" s="152"/>
      <c r="AJ103" s="152"/>
      <c r="AK103" s="215">
        <f t="shared" si="70"/>
        <v>0</v>
      </c>
      <c r="AL103" s="219"/>
      <c r="AM103" s="219"/>
      <c r="AN103" s="131">
        <f t="shared" si="53"/>
        <v>0</v>
      </c>
      <c r="AO103" s="78"/>
      <c r="AP103" s="78"/>
      <c r="AQ103" s="95"/>
      <c r="AR103" s="95"/>
      <c r="AU103" s="24"/>
      <c r="AV103" s="24"/>
    </row>
    <row r="104" spans="1:48" ht="25.5" customHeight="1">
      <c r="A104" s="137" t="s">
        <v>41</v>
      </c>
      <c r="B104" s="116" t="s">
        <v>208</v>
      </c>
      <c r="C104" s="132">
        <f t="shared" si="77"/>
        <v>31000000</v>
      </c>
      <c r="D104" s="135">
        <f t="shared" si="71"/>
        <v>0</v>
      </c>
      <c r="E104" s="135">
        <f t="shared" si="79"/>
        <v>0</v>
      </c>
      <c r="F104" s="135">
        <f t="shared" si="79"/>
        <v>0</v>
      </c>
      <c r="G104" s="132"/>
      <c r="H104" s="132"/>
      <c r="I104" s="132"/>
      <c r="J104" s="132"/>
      <c r="K104" s="132"/>
      <c r="L104" s="132"/>
      <c r="M104" s="132">
        <f t="shared" si="36"/>
        <v>0</v>
      </c>
      <c r="N104" s="132">
        <f t="shared" si="44"/>
        <v>0</v>
      </c>
      <c r="O104" s="132">
        <f t="shared" si="44"/>
        <v>0</v>
      </c>
      <c r="P104" s="132"/>
      <c r="Q104" s="132"/>
      <c r="R104" s="132"/>
      <c r="S104" s="132"/>
      <c r="T104" s="132"/>
      <c r="U104" s="132"/>
      <c r="V104" s="132">
        <f t="shared" si="78"/>
        <v>31000000</v>
      </c>
      <c r="W104" s="152"/>
      <c r="X104" s="135">
        <f t="shared" si="72"/>
        <v>31000000</v>
      </c>
      <c r="Y104" s="135">
        <f t="shared" si="73"/>
        <v>30500000</v>
      </c>
      <c r="Z104" s="135">
        <f t="shared" si="73"/>
        <v>500000</v>
      </c>
      <c r="AA104" s="132">
        <v>15500000</v>
      </c>
      <c r="AB104" s="132">
        <v>500000</v>
      </c>
      <c r="AC104" s="132">
        <v>15000000</v>
      </c>
      <c r="AD104" s="132">
        <v>0</v>
      </c>
      <c r="AE104" s="132"/>
      <c r="AF104" s="132"/>
      <c r="AG104" s="217">
        <f t="shared" si="68"/>
        <v>0</v>
      </c>
      <c r="AH104" s="135">
        <f t="shared" si="69"/>
        <v>0</v>
      </c>
      <c r="AI104" s="152"/>
      <c r="AJ104" s="152"/>
      <c r="AK104" s="215">
        <f t="shared" si="70"/>
        <v>0</v>
      </c>
      <c r="AL104" s="219"/>
      <c r="AM104" s="219"/>
      <c r="AN104" s="131">
        <f t="shared" si="53"/>
        <v>0</v>
      </c>
      <c r="AO104" s="78"/>
      <c r="AP104" s="78"/>
      <c r="AQ104" s="95"/>
      <c r="AR104" s="95"/>
      <c r="AU104" s="24"/>
      <c r="AV104" s="24"/>
    </row>
    <row r="105" spans="1:48" ht="25.5" customHeight="1">
      <c r="A105" s="137" t="s">
        <v>41</v>
      </c>
      <c r="B105" s="116" t="s">
        <v>209</v>
      </c>
      <c r="C105" s="132">
        <f t="shared" si="77"/>
        <v>26569400</v>
      </c>
      <c r="D105" s="135">
        <f t="shared" si="71"/>
        <v>0</v>
      </c>
      <c r="E105" s="135">
        <f t="shared" si="79"/>
        <v>0</v>
      </c>
      <c r="F105" s="135">
        <f t="shared" si="79"/>
        <v>0</v>
      </c>
      <c r="G105" s="132"/>
      <c r="H105" s="132"/>
      <c r="I105" s="132"/>
      <c r="J105" s="132"/>
      <c r="K105" s="132"/>
      <c r="L105" s="132"/>
      <c r="M105" s="132">
        <f t="shared" si="36"/>
        <v>0</v>
      </c>
      <c r="N105" s="132">
        <f t="shared" si="44"/>
        <v>0</v>
      </c>
      <c r="O105" s="132">
        <f t="shared" si="44"/>
        <v>0</v>
      </c>
      <c r="P105" s="132"/>
      <c r="Q105" s="132"/>
      <c r="R105" s="132"/>
      <c r="S105" s="132"/>
      <c r="T105" s="132"/>
      <c r="U105" s="132"/>
      <c r="V105" s="132">
        <f t="shared" si="78"/>
        <v>26569400</v>
      </c>
      <c r="W105" s="152"/>
      <c r="X105" s="135">
        <f t="shared" si="72"/>
        <v>26569400</v>
      </c>
      <c r="Y105" s="135">
        <f t="shared" si="73"/>
        <v>26269400</v>
      </c>
      <c r="Z105" s="135">
        <f t="shared" si="73"/>
        <v>300000</v>
      </c>
      <c r="AA105" s="132">
        <v>9700000</v>
      </c>
      <c r="AB105" s="132">
        <v>300000</v>
      </c>
      <c r="AC105" s="132">
        <v>16569400</v>
      </c>
      <c r="AD105" s="132">
        <v>0</v>
      </c>
      <c r="AE105" s="132"/>
      <c r="AF105" s="132"/>
      <c r="AG105" s="217">
        <f t="shared" si="68"/>
        <v>0</v>
      </c>
      <c r="AH105" s="135">
        <f t="shared" si="69"/>
        <v>0</v>
      </c>
      <c r="AI105" s="152"/>
      <c r="AJ105" s="152"/>
      <c r="AK105" s="215">
        <f t="shared" si="70"/>
        <v>0</v>
      </c>
      <c r="AL105" s="219"/>
      <c r="AM105" s="219"/>
      <c r="AN105" s="131">
        <f t="shared" si="53"/>
        <v>0</v>
      </c>
      <c r="AO105" s="78"/>
      <c r="AP105" s="78"/>
      <c r="AQ105" s="95"/>
      <c r="AR105" s="95"/>
      <c r="AU105" s="24"/>
      <c r="AV105" s="24"/>
    </row>
    <row r="106" spans="1:48" ht="25.5" customHeight="1">
      <c r="A106" s="137" t="s">
        <v>41</v>
      </c>
      <c r="B106" s="116" t="s">
        <v>210</v>
      </c>
      <c r="C106" s="132">
        <f t="shared" si="77"/>
        <v>30028600</v>
      </c>
      <c r="D106" s="135">
        <f t="shared" si="71"/>
        <v>0</v>
      </c>
      <c r="E106" s="135">
        <f t="shared" si="79"/>
        <v>0</v>
      </c>
      <c r="F106" s="135">
        <f t="shared" si="79"/>
        <v>0</v>
      </c>
      <c r="G106" s="132"/>
      <c r="H106" s="132"/>
      <c r="I106" s="132"/>
      <c r="J106" s="132"/>
      <c r="K106" s="132"/>
      <c r="L106" s="132"/>
      <c r="M106" s="132">
        <f t="shared" si="36"/>
        <v>0</v>
      </c>
      <c r="N106" s="132">
        <f t="shared" si="44"/>
        <v>0</v>
      </c>
      <c r="O106" s="132">
        <f t="shared" si="44"/>
        <v>0</v>
      </c>
      <c r="P106" s="132"/>
      <c r="Q106" s="132"/>
      <c r="R106" s="132"/>
      <c r="S106" s="132"/>
      <c r="T106" s="132"/>
      <c r="U106" s="132"/>
      <c r="V106" s="132">
        <f t="shared" si="78"/>
        <v>30028600</v>
      </c>
      <c r="W106" s="152"/>
      <c r="X106" s="135">
        <f t="shared" si="72"/>
        <v>30028600</v>
      </c>
      <c r="Y106" s="135">
        <f t="shared" si="73"/>
        <v>29728600</v>
      </c>
      <c r="Z106" s="135">
        <f t="shared" si="73"/>
        <v>300000</v>
      </c>
      <c r="AA106" s="132">
        <v>11700000</v>
      </c>
      <c r="AB106" s="132">
        <v>300000</v>
      </c>
      <c r="AC106" s="132">
        <v>18028600</v>
      </c>
      <c r="AD106" s="132">
        <v>0</v>
      </c>
      <c r="AE106" s="132"/>
      <c r="AF106" s="132"/>
      <c r="AG106" s="217">
        <f t="shared" si="68"/>
        <v>0</v>
      </c>
      <c r="AH106" s="135">
        <f t="shared" si="69"/>
        <v>0</v>
      </c>
      <c r="AI106" s="152"/>
      <c r="AJ106" s="152"/>
      <c r="AK106" s="215">
        <f t="shared" si="70"/>
        <v>0</v>
      </c>
      <c r="AL106" s="219"/>
      <c r="AM106" s="219"/>
      <c r="AN106" s="131">
        <f t="shared" si="53"/>
        <v>0</v>
      </c>
      <c r="AO106" s="78"/>
      <c r="AP106" s="78"/>
      <c r="AQ106" s="95"/>
      <c r="AR106" s="95"/>
      <c r="AU106" s="24"/>
      <c r="AV106" s="24"/>
    </row>
    <row r="107" spans="1:48" ht="25.5" customHeight="1">
      <c r="A107" s="137" t="s">
        <v>41</v>
      </c>
      <c r="B107" s="116" t="s">
        <v>211</v>
      </c>
      <c r="C107" s="132">
        <f t="shared" si="77"/>
        <v>14000000</v>
      </c>
      <c r="D107" s="135">
        <f t="shared" si="71"/>
        <v>0</v>
      </c>
      <c r="E107" s="135">
        <f t="shared" si="79"/>
        <v>0</v>
      </c>
      <c r="F107" s="135">
        <f t="shared" si="79"/>
        <v>0</v>
      </c>
      <c r="G107" s="132"/>
      <c r="H107" s="132"/>
      <c r="I107" s="132"/>
      <c r="J107" s="132"/>
      <c r="K107" s="132"/>
      <c r="L107" s="132"/>
      <c r="M107" s="132">
        <f t="shared" si="36"/>
        <v>0</v>
      </c>
      <c r="N107" s="132">
        <f t="shared" si="44"/>
        <v>0</v>
      </c>
      <c r="O107" s="132">
        <f t="shared" si="44"/>
        <v>0</v>
      </c>
      <c r="P107" s="132"/>
      <c r="Q107" s="132"/>
      <c r="R107" s="132"/>
      <c r="S107" s="132"/>
      <c r="T107" s="132"/>
      <c r="U107" s="132"/>
      <c r="V107" s="132">
        <f t="shared" si="78"/>
        <v>14000000</v>
      </c>
      <c r="W107" s="152"/>
      <c r="X107" s="135">
        <f t="shared" si="72"/>
        <v>14000000</v>
      </c>
      <c r="Y107" s="135">
        <f t="shared" si="73"/>
        <v>13600000</v>
      </c>
      <c r="Z107" s="135">
        <f t="shared" si="73"/>
        <v>400000</v>
      </c>
      <c r="AA107" s="132">
        <v>13600000</v>
      </c>
      <c r="AB107" s="132">
        <v>400000</v>
      </c>
      <c r="AC107" s="132">
        <v>0</v>
      </c>
      <c r="AD107" s="132">
        <v>0</v>
      </c>
      <c r="AE107" s="132"/>
      <c r="AF107" s="132"/>
      <c r="AG107" s="217">
        <f t="shared" si="68"/>
        <v>0</v>
      </c>
      <c r="AH107" s="135">
        <f t="shared" si="69"/>
        <v>0</v>
      </c>
      <c r="AI107" s="152"/>
      <c r="AJ107" s="152"/>
      <c r="AK107" s="215">
        <f t="shared" si="70"/>
        <v>0</v>
      </c>
      <c r="AL107" s="219"/>
      <c r="AM107" s="219"/>
      <c r="AN107" s="131">
        <f t="shared" si="53"/>
        <v>0</v>
      </c>
      <c r="AO107" s="78"/>
      <c r="AP107" s="78"/>
      <c r="AQ107" s="95"/>
      <c r="AR107" s="95"/>
      <c r="AU107" s="24"/>
      <c r="AV107" s="24"/>
    </row>
    <row r="108" spans="1:48" ht="25.5" customHeight="1">
      <c r="A108" s="137" t="s">
        <v>41</v>
      </c>
      <c r="B108" s="116" t="s">
        <v>212</v>
      </c>
      <c r="C108" s="132">
        <f t="shared" si="77"/>
        <v>9000000</v>
      </c>
      <c r="D108" s="135">
        <f t="shared" si="71"/>
        <v>0</v>
      </c>
      <c r="E108" s="135">
        <f t="shared" si="79"/>
        <v>0</v>
      </c>
      <c r="F108" s="135">
        <f t="shared" si="79"/>
        <v>0</v>
      </c>
      <c r="G108" s="132"/>
      <c r="H108" s="132"/>
      <c r="I108" s="132"/>
      <c r="J108" s="132"/>
      <c r="K108" s="132"/>
      <c r="L108" s="132"/>
      <c r="M108" s="132">
        <f t="shared" si="36"/>
        <v>0</v>
      </c>
      <c r="N108" s="132">
        <f t="shared" si="44"/>
        <v>0</v>
      </c>
      <c r="O108" s="132">
        <f t="shared" si="44"/>
        <v>0</v>
      </c>
      <c r="P108" s="132"/>
      <c r="Q108" s="132"/>
      <c r="R108" s="132"/>
      <c r="S108" s="132"/>
      <c r="T108" s="132"/>
      <c r="U108" s="132"/>
      <c r="V108" s="132">
        <f t="shared" si="78"/>
        <v>9000000</v>
      </c>
      <c r="W108" s="152"/>
      <c r="X108" s="135">
        <f t="shared" si="72"/>
        <v>9000000</v>
      </c>
      <c r="Y108" s="135">
        <f t="shared" si="73"/>
        <v>8700000</v>
      </c>
      <c r="Z108" s="135">
        <f t="shared" si="73"/>
        <v>300000</v>
      </c>
      <c r="AA108" s="132">
        <v>8700000</v>
      </c>
      <c r="AB108" s="132">
        <v>300000</v>
      </c>
      <c r="AC108" s="132">
        <v>0</v>
      </c>
      <c r="AD108" s="132">
        <v>0</v>
      </c>
      <c r="AE108" s="132"/>
      <c r="AF108" s="132"/>
      <c r="AG108" s="217">
        <f t="shared" si="68"/>
        <v>0</v>
      </c>
      <c r="AH108" s="135">
        <f t="shared" si="69"/>
        <v>0</v>
      </c>
      <c r="AI108" s="152"/>
      <c r="AJ108" s="152"/>
      <c r="AK108" s="215">
        <f t="shared" si="70"/>
        <v>0</v>
      </c>
      <c r="AL108" s="219"/>
      <c r="AM108" s="219"/>
      <c r="AN108" s="131">
        <f t="shared" si="53"/>
        <v>0</v>
      </c>
      <c r="AO108" s="78"/>
      <c r="AP108" s="78"/>
      <c r="AQ108" s="95"/>
      <c r="AR108" s="95"/>
      <c r="AU108" s="24"/>
      <c r="AV108" s="24"/>
    </row>
    <row r="109" spans="1:48" ht="25.5" customHeight="1">
      <c r="A109" s="137" t="s">
        <v>41</v>
      </c>
      <c r="B109" s="116" t="s">
        <v>213</v>
      </c>
      <c r="C109" s="132">
        <f t="shared" si="77"/>
        <v>23000000</v>
      </c>
      <c r="D109" s="135">
        <f t="shared" si="71"/>
        <v>0</v>
      </c>
      <c r="E109" s="135">
        <f t="shared" si="79"/>
        <v>0</v>
      </c>
      <c r="F109" s="135">
        <f t="shared" si="79"/>
        <v>0</v>
      </c>
      <c r="G109" s="132"/>
      <c r="H109" s="132"/>
      <c r="I109" s="132"/>
      <c r="J109" s="132"/>
      <c r="K109" s="132"/>
      <c r="L109" s="132"/>
      <c r="M109" s="132">
        <f t="shared" si="36"/>
        <v>0</v>
      </c>
      <c r="N109" s="132">
        <f t="shared" si="44"/>
        <v>0</v>
      </c>
      <c r="O109" s="132">
        <f t="shared" si="44"/>
        <v>0</v>
      </c>
      <c r="P109" s="132"/>
      <c r="Q109" s="132"/>
      <c r="R109" s="132"/>
      <c r="S109" s="132"/>
      <c r="T109" s="132"/>
      <c r="U109" s="132"/>
      <c r="V109" s="132">
        <f t="shared" si="78"/>
        <v>23000000</v>
      </c>
      <c r="W109" s="152"/>
      <c r="X109" s="135">
        <f t="shared" si="72"/>
        <v>23000000</v>
      </c>
      <c r="Y109" s="135">
        <f t="shared" si="73"/>
        <v>22700000</v>
      </c>
      <c r="Z109" s="135">
        <f t="shared" si="73"/>
        <v>300000</v>
      </c>
      <c r="AA109" s="132">
        <v>12700000</v>
      </c>
      <c r="AB109" s="132">
        <v>300000</v>
      </c>
      <c r="AC109" s="132">
        <v>10000000</v>
      </c>
      <c r="AD109" s="132">
        <v>0</v>
      </c>
      <c r="AE109" s="132"/>
      <c r="AF109" s="132"/>
      <c r="AG109" s="217">
        <f t="shared" si="68"/>
        <v>0</v>
      </c>
      <c r="AH109" s="135">
        <f t="shared" si="69"/>
        <v>0</v>
      </c>
      <c r="AI109" s="152"/>
      <c r="AJ109" s="152"/>
      <c r="AK109" s="215">
        <f t="shared" si="70"/>
        <v>0</v>
      </c>
      <c r="AL109" s="219"/>
      <c r="AM109" s="219"/>
      <c r="AN109" s="131">
        <f t="shared" si="53"/>
        <v>0</v>
      </c>
      <c r="AO109" s="78"/>
      <c r="AP109" s="78"/>
      <c r="AQ109" s="95"/>
      <c r="AR109" s="95"/>
      <c r="AU109" s="24"/>
      <c r="AV109" s="24"/>
    </row>
    <row r="110" spans="1:48" ht="25.5" customHeight="1">
      <c r="A110" s="139" t="s">
        <v>41</v>
      </c>
      <c r="B110" s="140" t="s">
        <v>214</v>
      </c>
      <c r="C110" s="141">
        <f t="shared" si="77"/>
        <v>22000000</v>
      </c>
      <c r="D110" s="153">
        <f t="shared" si="71"/>
        <v>0</v>
      </c>
      <c r="E110" s="153">
        <f t="shared" si="79"/>
        <v>0</v>
      </c>
      <c r="F110" s="153">
        <f t="shared" si="79"/>
        <v>0</v>
      </c>
      <c r="G110" s="141"/>
      <c r="H110" s="141"/>
      <c r="I110" s="141"/>
      <c r="J110" s="141"/>
      <c r="K110" s="141"/>
      <c r="L110" s="141"/>
      <c r="M110" s="141">
        <f t="shared" si="36"/>
        <v>0</v>
      </c>
      <c r="N110" s="141">
        <f t="shared" si="44"/>
        <v>0</v>
      </c>
      <c r="O110" s="141">
        <f t="shared" si="44"/>
        <v>0</v>
      </c>
      <c r="P110" s="141"/>
      <c r="Q110" s="141"/>
      <c r="R110" s="141"/>
      <c r="S110" s="141"/>
      <c r="T110" s="141"/>
      <c r="U110" s="141"/>
      <c r="V110" s="141">
        <f t="shared" si="78"/>
        <v>22000000</v>
      </c>
      <c r="W110" s="154"/>
      <c r="X110" s="153">
        <f t="shared" si="72"/>
        <v>22000000</v>
      </c>
      <c r="Y110" s="153">
        <f t="shared" si="73"/>
        <v>21700000</v>
      </c>
      <c r="Z110" s="153">
        <f t="shared" si="73"/>
        <v>300000</v>
      </c>
      <c r="AA110" s="141">
        <v>11700000</v>
      </c>
      <c r="AB110" s="141">
        <v>300000</v>
      </c>
      <c r="AC110" s="141">
        <v>10000000</v>
      </c>
      <c r="AD110" s="141">
        <v>0</v>
      </c>
      <c r="AE110" s="141"/>
      <c r="AF110" s="141"/>
      <c r="AG110" s="384">
        <f t="shared" si="68"/>
        <v>0</v>
      </c>
      <c r="AH110" s="153">
        <f t="shared" si="69"/>
        <v>0</v>
      </c>
      <c r="AI110" s="154"/>
      <c r="AJ110" s="154"/>
      <c r="AK110" s="220">
        <f t="shared" si="70"/>
        <v>0</v>
      </c>
      <c r="AL110" s="221"/>
      <c r="AM110" s="221"/>
      <c r="AN110" s="142">
        <f t="shared" si="53"/>
        <v>0</v>
      </c>
      <c r="AO110" s="78"/>
      <c r="AP110" s="78"/>
      <c r="AQ110" s="95"/>
      <c r="AR110" s="95"/>
      <c r="AU110" s="24"/>
      <c r="AV110" s="24"/>
    </row>
  </sheetData>
  <mergeCells count="38">
    <mergeCell ref="A2:AN2"/>
    <mergeCell ref="A11:A16"/>
    <mergeCell ref="B11:B16"/>
    <mergeCell ref="C11:X11"/>
    <mergeCell ref="AG11:AP11"/>
    <mergeCell ref="C12:C16"/>
    <mergeCell ref="D12:Z12"/>
    <mergeCell ref="AG12:AN12"/>
    <mergeCell ref="AO12:AO16"/>
    <mergeCell ref="AP12:AP16"/>
    <mergeCell ref="D13:D16"/>
    <mergeCell ref="G13:H13"/>
    <mergeCell ref="I13:J13"/>
    <mergeCell ref="K13:L13"/>
    <mergeCell ref="M13:M16"/>
    <mergeCell ref="P13:Q13"/>
    <mergeCell ref="R13:S13"/>
    <mergeCell ref="T13:U13"/>
    <mergeCell ref="A9:AN9"/>
    <mergeCell ref="Y15:Y16"/>
    <mergeCell ref="Z15:Z16"/>
    <mergeCell ref="AI16:AI17"/>
    <mergeCell ref="AJ16:AJ17"/>
    <mergeCell ref="AA13:AB13"/>
    <mergeCell ref="AC13:AD13"/>
    <mergeCell ref="AE13:AF13"/>
    <mergeCell ref="AG13:AG16"/>
    <mergeCell ref="AH13:AM13"/>
    <mergeCell ref="AN13:AN16"/>
    <mergeCell ref="AH14:AH16"/>
    <mergeCell ref="AI14:AJ15"/>
    <mergeCell ref="AK14:AK16"/>
    <mergeCell ref="AL14:AM15"/>
    <mergeCell ref="AL16:AL17"/>
    <mergeCell ref="AM16:AM17"/>
    <mergeCell ref="A18:B18"/>
    <mergeCell ref="V13:X16"/>
    <mergeCell ref="AK10:AN10"/>
  </mergeCells>
  <pageMargins left="0.73529411764705888" right="0.16" top="0.32" bottom="0.2" header="0.3" footer="0.2"/>
  <pageSetup paperSize="8" orientation="landscape" r:id="rId1"/>
</worksheet>
</file>

<file path=xl/worksheets/sheet7.xml><?xml version="1.0" encoding="utf-8"?>
<worksheet xmlns="http://schemas.openxmlformats.org/spreadsheetml/2006/main" xmlns:r="http://schemas.openxmlformats.org/officeDocument/2006/relationships">
  <sheetPr>
    <tabColor rgb="FF92D050"/>
  </sheetPr>
  <dimension ref="A1:AX192"/>
  <sheetViews>
    <sheetView topLeftCell="A2" zoomScalePageLayoutView="70" workbookViewId="0">
      <selection activeCell="AK4" sqref="AK4"/>
    </sheetView>
  </sheetViews>
  <sheetFormatPr defaultColWidth="9.140625" defaultRowHeight="15"/>
  <cols>
    <col min="1" max="1" width="4" style="208" customWidth="1"/>
    <col min="2" max="2" width="48.140625" style="245" customWidth="1"/>
    <col min="3" max="3" width="17.5703125" style="245" customWidth="1"/>
    <col min="4" max="4" width="16.85546875" style="245" customWidth="1"/>
    <col min="5" max="5" width="12.5703125" style="245" hidden="1" customWidth="1"/>
    <col min="6" max="6" width="12.7109375" style="245" hidden="1" customWidth="1"/>
    <col min="7" max="11" width="15.140625" style="245" hidden="1" customWidth="1"/>
    <col min="12" max="12" width="1.42578125" style="245" hidden="1" customWidth="1"/>
    <col min="13" max="13" width="17.7109375" style="245" customWidth="1"/>
    <col min="14" max="14" width="15.85546875" style="245" hidden="1" customWidth="1"/>
    <col min="15" max="15" width="13.28515625" style="245" hidden="1" customWidth="1"/>
    <col min="16" max="21" width="15.5703125" style="245" hidden="1" customWidth="1"/>
    <col min="22" max="22" width="18.28515625" style="245" customWidth="1"/>
    <col min="23" max="23" width="12.42578125" style="245" hidden="1" customWidth="1"/>
    <col min="24" max="25" width="15" style="245" hidden="1" customWidth="1"/>
    <col min="26" max="26" width="15.28515625" style="245" hidden="1" customWidth="1"/>
    <col min="27" max="27" width="14.28515625" style="245" hidden="1" customWidth="1"/>
    <col min="28" max="28" width="14" style="245" hidden="1" customWidth="1"/>
    <col min="29" max="29" width="14.140625" style="245" hidden="1" customWidth="1"/>
    <col min="30" max="30" width="12.7109375" style="245" hidden="1" customWidth="1"/>
    <col min="31" max="31" width="13.5703125" style="245" hidden="1" customWidth="1"/>
    <col min="32" max="32" width="12.7109375" style="245" hidden="1" customWidth="1"/>
    <col min="33" max="33" width="18.7109375" style="381" customWidth="1"/>
    <col min="34" max="34" width="17.7109375" style="245" customWidth="1"/>
    <col min="35" max="35" width="15.42578125" style="245" hidden="1" customWidth="1"/>
    <col min="36" max="36" width="13.140625" style="245" hidden="1" customWidth="1"/>
    <col min="37" max="37" width="19.140625" style="245" customWidth="1"/>
    <col min="38" max="38" width="15.85546875" style="245" hidden="1" customWidth="1"/>
    <col min="39" max="39" width="14.140625" style="245" hidden="1" customWidth="1"/>
    <col min="40" max="40" width="12" style="245" customWidth="1"/>
    <col min="41" max="42" width="10.42578125" style="245" hidden="1" customWidth="1"/>
    <col min="43" max="43" width="13.5703125" style="59" bestFit="1" customWidth="1"/>
    <col min="44" max="44" width="12.7109375" style="59" customWidth="1"/>
    <col min="45" max="45" width="9.140625" style="59"/>
    <col min="46" max="47" width="19" style="209" hidden="1" customWidth="1"/>
    <col min="48" max="48" width="19" style="210" hidden="1" customWidth="1"/>
    <col min="49" max="49" width="16.28515625" style="210" hidden="1" customWidth="1"/>
    <col min="50" max="50" width="0" style="240" hidden="1" customWidth="1"/>
    <col min="51" max="51" width="0" style="59" hidden="1" customWidth="1"/>
    <col min="52" max="16384" width="9.140625" style="59"/>
  </cols>
  <sheetData>
    <row r="1" spans="1:50">
      <c r="A1" s="529"/>
      <c r="B1" s="529"/>
      <c r="C1" s="529"/>
      <c r="D1" s="529"/>
      <c r="E1" s="529"/>
      <c r="F1" s="529"/>
      <c r="G1" s="529"/>
      <c r="H1" s="529"/>
      <c r="I1" s="529"/>
      <c r="J1" s="529"/>
      <c r="K1" s="529"/>
      <c r="L1" s="529"/>
      <c r="M1" s="529"/>
      <c r="N1" s="529"/>
      <c r="O1" s="529"/>
      <c r="P1" s="529"/>
      <c r="Q1" s="529"/>
      <c r="R1" s="529"/>
      <c r="S1" s="529"/>
      <c r="T1" s="529"/>
      <c r="U1" s="529"/>
      <c r="V1" s="529"/>
      <c r="W1" s="529"/>
      <c r="X1" s="529"/>
      <c r="Y1" s="529"/>
      <c r="Z1" s="529"/>
      <c r="AA1" s="529"/>
      <c r="AB1" s="529"/>
      <c r="AC1" s="529"/>
      <c r="AD1" s="529"/>
      <c r="AE1" s="529"/>
      <c r="AF1" s="529"/>
      <c r="AG1" s="529"/>
      <c r="AH1" s="529"/>
      <c r="AI1" s="529"/>
      <c r="AJ1" s="529"/>
      <c r="AK1" s="529"/>
      <c r="AL1" s="529"/>
      <c r="AM1" s="529"/>
      <c r="AN1" s="529"/>
      <c r="AO1" s="529"/>
      <c r="AP1" s="529"/>
    </row>
    <row r="2" spans="1:50" ht="35.25" customHeight="1">
      <c r="A2" s="530" t="s">
        <v>150</v>
      </c>
      <c r="B2" s="530"/>
      <c r="C2" s="530"/>
      <c r="D2" s="530"/>
      <c r="E2" s="530"/>
      <c r="F2" s="530"/>
      <c r="G2" s="530"/>
      <c r="H2" s="530"/>
      <c r="I2" s="530"/>
      <c r="J2" s="530"/>
      <c r="K2" s="530"/>
      <c r="L2" s="530"/>
      <c r="M2" s="530"/>
      <c r="N2" s="530"/>
      <c r="O2" s="530"/>
      <c r="P2" s="530"/>
      <c r="Q2" s="530"/>
      <c r="R2" s="530"/>
      <c r="S2" s="530"/>
      <c r="T2" s="530"/>
      <c r="U2" s="530"/>
      <c r="V2" s="530"/>
      <c r="W2" s="530"/>
      <c r="X2" s="530"/>
      <c r="Y2" s="530"/>
      <c r="Z2" s="530"/>
      <c r="AA2" s="530"/>
      <c r="AB2" s="530"/>
      <c r="AC2" s="530"/>
      <c r="AD2" s="530"/>
      <c r="AE2" s="530"/>
      <c r="AF2" s="530"/>
      <c r="AG2" s="530"/>
      <c r="AH2" s="530"/>
      <c r="AI2" s="530"/>
      <c r="AJ2" s="530"/>
      <c r="AK2" s="530"/>
      <c r="AL2" s="530"/>
      <c r="AM2" s="530"/>
      <c r="AN2" s="530"/>
      <c r="AO2" s="530"/>
      <c r="AP2" s="530"/>
      <c r="AT2" s="209" t="s">
        <v>251</v>
      </c>
      <c r="AU2" s="241">
        <f>SUM(AV2:AW2)</f>
        <v>43028474308</v>
      </c>
      <c r="AV2" s="210">
        <v>42425738525</v>
      </c>
      <c r="AW2" s="210">
        <v>602735783</v>
      </c>
    </row>
    <row r="3" spans="1:50" ht="23.25" customHeight="1">
      <c r="A3" s="508" t="str">
        <f>'B01.NTM_ĐT '!A2:P2</f>
        <v>(Kèm theo Báo cáo số 722/BC-UBND ngày 22/11/2024 của UBND huyện Na Rì)</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c r="AN3" s="508"/>
      <c r="AO3" s="335"/>
      <c r="AP3" s="335"/>
      <c r="AU3" s="241"/>
    </row>
    <row r="4" spans="1:50" ht="30.75" customHeight="1">
      <c r="B4" s="242"/>
      <c r="C4" s="242"/>
      <c r="D4" s="242"/>
      <c r="E4" s="242"/>
      <c r="F4" s="242"/>
      <c r="G4" s="243"/>
      <c r="H4" s="243"/>
      <c r="I4" s="243"/>
      <c r="J4" s="243"/>
      <c r="K4" s="243"/>
      <c r="L4" s="243"/>
      <c r="M4" s="242"/>
      <c r="N4" s="242"/>
      <c r="O4" s="242"/>
      <c r="P4" s="242"/>
      <c r="Q4" s="242"/>
      <c r="R4" s="242"/>
      <c r="S4" s="242"/>
      <c r="T4" s="242"/>
      <c r="U4" s="242"/>
      <c r="V4" s="242"/>
      <c r="W4" s="242"/>
      <c r="X4" s="242"/>
      <c r="Y4" s="242"/>
      <c r="Z4" s="242"/>
      <c r="AA4" s="242"/>
      <c r="AB4" s="242"/>
      <c r="AC4" s="242"/>
      <c r="AD4" s="242"/>
      <c r="AE4" s="242"/>
      <c r="AF4" s="242"/>
      <c r="AG4" s="369"/>
      <c r="AH4" s="242"/>
      <c r="AI4" s="242"/>
      <c r="AJ4" s="242"/>
      <c r="AK4" s="402" t="str">
        <f>B05.GN_SN!AK10</f>
        <v>Đơn vị tính: Đồng.</v>
      </c>
      <c r="AL4" s="242"/>
      <c r="AM4" s="242"/>
      <c r="AN4" s="242"/>
      <c r="AO4" s="242"/>
      <c r="AP4" s="242"/>
      <c r="AT4" s="209" t="s">
        <v>236</v>
      </c>
      <c r="AU4" s="241">
        <f t="shared" ref="AU4:AU5" si="0">SUM(AV4:AW4)</f>
        <v>47758000000</v>
      </c>
      <c r="AV4" s="244">
        <v>45427000000</v>
      </c>
      <c r="AW4" s="244">
        <v>2331000000</v>
      </c>
    </row>
    <row r="5" spans="1:50" ht="18.75" customHeight="1">
      <c r="A5" s="509" t="s">
        <v>29</v>
      </c>
      <c r="B5" s="531" t="s">
        <v>125</v>
      </c>
      <c r="C5" s="532" t="s">
        <v>126</v>
      </c>
      <c r="D5" s="533"/>
      <c r="E5" s="533"/>
      <c r="F5" s="533"/>
      <c r="G5" s="533"/>
      <c r="H5" s="533"/>
      <c r="I5" s="533"/>
      <c r="J5" s="533"/>
      <c r="K5" s="533"/>
      <c r="L5" s="533"/>
      <c r="M5" s="533"/>
      <c r="N5" s="533"/>
      <c r="O5" s="533"/>
      <c r="P5" s="533"/>
      <c r="Q5" s="533"/>
      <c r="R5" s="533"/>
      <c r="S5" s="533"/>
      <c r="T5" s="533"/>
      <c r="U5" s="533"/>
      <c r="V5" s="533"/>
      <c r="W5" s="533"/>
      <c r="X5" s="533"/>
      <c r="Y5" s="331"/>
      <c r="Z5" s="331"/>
      <c r="AA5" s="533"/>
      <c r="AB5" s="533"/>
      <c r="AG5" s="417" t="s">
        <v>270</v>
      </c>
      <c r="AH5" s="417"/>
      <c r="AI5" s="417"/>
      <c r="AJ5" s="417"/>
      <c r="AK5" s="417"/>
      <c r="AL5" s="417"/>
      <c r="AM5" s="417"/>
      <c r="AN5" s="417"/>
      <c r="AO5" s="417"/>
      <c r="AP5" s="418"/>
      <c r="AT5" s="209" t="s">
        <v>252</v>
      </c>
      <c r="AU5" s="241">
        <f t="shared" si="0"/>
        <v>10503894125</v>
      </c>
      <c r="AV5" s="210">
        <v>10253668673</v>
      </c>
      <c r="AW5" s="210">
        <v>250225452</v>
      </c>
    </row>
    <row r="6" spans="1:50" ht="18.75" customHeight="1">
      <c r="A6" s="509"/>
      <c r="B6" s="531"/>
      <c r="C6" s="515" t="s">
        <v>46</v>
      </c>
      <c r="D6" s="532" t="s">
        <v>30</v>
      </c>
      <c r="E6" s="533"/>
      <c r="F6" s="533"/>
      <c r="G6" s="533"/>
      <c r="H6" s="533"/>
      <c r="I6" s="533"/>
      <c r="J6" s="533"/>
      <c r="K6" s="533"/>
      <c r="L6" s="533"/>
      <c r="M6" s="533"/>
      <c r="N6" s="533"/>
      <c r="O6" s="533"/>
      <c r="P6" s="533"/>
      <c r="Q6" s="533"/>
      <c r="R6" s="533"/>
      <c r="S6" s="533"/>
      <c r="T6" s="533"/>
      <c r="U6" s="533"/>
      <c r="V6" s="533"/>
      <c r="W6" s="533"/>
      <c r="X6" s="533"/>
      <c r="Y6" s="533"/>
      <c r="Z6" s="534"/>
      <c r="AA6" s="334"/>
      <c r="AB6" s="334"/>
      <c r="AC6" s="334"/>
      <c r="AD6" s="334"/>
      <c r="AE6" s="334"/>
      <c r="AF6" s="334"/>
      <c r="AG6" s="509" t="s">
        <v>128</v>
      </c>
      <c r="AH6" s="509"/>
      <c r="AI6" s="509"/>
      <c r="AJ6" s="509"/>
      <c r="AK6" s="509"/>
      <c r="AL6" s="509"/>
      <c r="AM6" s="509"/>
      <c r="AN6" s="509"/>
      <c r="AO6" s="518" t="s">
        <v>132</v>
      </c>
      <c r="AP6" s="518" t="s">
        <v>133</v>
      </c>
      <c r="AT6" s="209" t="s">
        <v>42</v>
      </c>
      <c r="AU6" s="241" t="e">
        <f>+AU2+AU4+#REF!-#REF!+AU5</f>
        <v>#REF!</v>
      </c>
      <c r="AV6" s="241" t="e">
        <f>+AV2+AV4+#REF!-#REF!+AV5</f>
        <v>#REF!</v>
      </c>
      <c r="AW6" s="241" t="e">
        <f>+AW2+AW4+#REF!-#REF!+AW5</f>
        <v>#REF!</v>
      </c>
    </row>
    <row r="7" spans="1:50" s="60" customFormat="1" ht="18.75" customHeight="1">
      <c r="A7" s="509"/>
      <c r="B7" s="531"/>
      <c r="C7" s="515"/>
      <c r="D7" s="515" t="s">
        <v>144</v>
      </c>
      <c r="E7" s="515"/>
      <c r="F7" s="515"/>
      <c r="G7" s="332"/>
      <c r="H7" s="332"/>
      <c r="I7" s="332"/>
      <c r="J7" s="332"/>
      <c r="K7" s="332"/>
      <c r="L7" s="332"/>
      <c r="M7" s="515" t="s">
        <v>145</v>
      </c>
      <c r="N7" s="515"/>
      <c r="O7" s="515"/>
      <c r="P7" s="519"/>
      <c r="Q7" s="520"/>
      <c r="R7" s="520"/>
      <c r="S7" s="520"/>
      <c r="T7" s="520"/>
      <c r="U7" s="521"/>
      <c r="V7" s="499" t="s">
        <v>143</v>
      </c>
      <c r="W7" s="500"/>
      <c r="X7" s="500"/>
      <c r="Y7" s="500"/>
      <c r="Z7" s="501"/>
      <c r="AA7" s="334"/>
      <c r="AB7" s="334"/>
      <c r="AC7" s="334"/>
      <c r="AD7" s="334"/>
      <c r="AE7" s="334"/>
      <c r="AF7" s="334"/>
      <c r="AG7" s="525" t="s">
        <v>42</v>
      </c>
      <c r="AH7" s="526" t="s">
        <v>30</v>
      </c>
      <c r="AI7" s="527"/>
      <c r="AJ7" s="527"/>
      <c r="AK7" s="527"/>
      <c r="AL7" s="527"/>
      <c r="AM7" s="528"/>
      <c r="AN7" s="509" t="s">
        <v>44</v>
      </c>
      <c r="AO7" s="518"/>
      <c r="AP7" s="518"/>
      <c r="AT7" s="209"/>
      <c r="AU7" s="209"/>
      <c r="AV7" s="210"/>
      <c r="AW7" s="210"/>
      <c r="AX7" s="246"/>
    </row>
    <row r="8" spans="1:50" ht="18.75" customHeight="1">
      <c r="A8" s="509"/>
      <c r="B8" s="531"/>
      <c r="C8" s="515"/>
      <c r="D8" s="515"/>
      <c r="E8" s="515" t="s">
        <v>243</v>
      </c>
      <c r="F8" s="515" t="s">
        <v>242</v>
      </c>
      <c r="G8" s="332"/>
      <c r="H8" s="332"/>
      <c r="I8" s="332"/>
      <c r="J8" s="332"/>
      <c r="K8" s="332"/>
      <c r="L8" s="332"/>
      <c r="M8" s="515"/>
      <c r="N8" s="515" t="s">
        <v>243</v>
      </c>
      <c r="O8" s="515" t="s">
        <v>242</v>
      </c>
      <c r="P8" s="522"/>
      <c r="Q8" s="523"/>
      <c r="R8" s="523"/>
      <c r="S8" s="523"/>
      <c r="T8" s="523"/>
      <c r="U8" s="524"/>
      <c r="V8" s="502"/>
      <c r="W8" s="503"/>
      <c r="X8" s="503"/>
      <c r="Y8" s="503"/>
      <c r="Z8" s="504"/>
      <c r="AA8" s="499" t="s">
        <v>240</v>
      </c>
      <c r="AB8" s="501"/>
      <c r="AC8" s="499" t="s">
        <v>241</v>
      </c>
      <c r="AD8" s="500"/>
      <c r="AE8" s="500" t="s">
        <v>246</v>
      </c>
      <c r="AF8" s="501"/>
      <c r="AG8" s="525"/>
      <c r="AH8" s="509" t="s">
        <v>148</v>
      </c>
      <c r="AI8" s="511" t="s">
        <v>47</v>
      </c>
      <c r="AJ8" s="512"/>
      <c r="AK8" s="509" t="s">
        <v>268</v>
      </c>
      <c r="AL8" s="511" t="s">
        <v>47</v>
      </c>
      <c r="AM8" s="512"/>
      <c r="AN8" s="509"/>
      <c r="AO8" s="518"/>
      <c r="AP8" s="518"/>
    </row>
    <row r="9" spans="1:50" ht="18.75" customHeight="1">
      <c r="A9" s="509"/>
      <c r="B9" s="531"/>
      <c r="C9" s="515"/>
      <c r="D9" s="515"/>
      <c r="E9" s="515"/>
      <c r="F9" s="515"/>
      <c r="G9" s="515" t="s">
        <v>244</v>
      </c>
      <c r="H9" s="515"/>
      <c r="I9" s="515" t="s">
        <v>245</v>
      </c>
      <c r="J9" s="515"/>
      <c r="K9" s="515" t="s">
        <v>247</v>
      </c>
      <c r="L9" s="515"/>
      <c r="M9" s="515"/>
      <c r="N9" s="515"/>
      <c r="O9" s="515"/>
      <c r="P9" s="516" t="s">
        <v>244</v>
      </c>
      <c r="Q9" s="517"/>
      <c r="R9" s="516" t="s">
        <v>245</v>
      </c>
      <c r="S9" s="517"/>
      <c r="T9" s="516" t="s">
        <v>247</v>
      </c>
      <c r="U9" s="517"/>
      <c r="V9" s="502"/>
      <c r="W9" s="503"/>
      <c r="X9" s="503"/>
      <c r="Y9" s="503"/>
      <c r="Z9" s="504"/>
      <c r="AA9" s="505"/>
      <c r="AB9" s="507"/>
      <c r="AC9" s="505"/>
      <c r="AD9" s="506"/>
      <c r="AE9" s="506"/>
      <c r="AF9" s="507"/>
      <c r="AG9" s="525"/>
      <c r="AH9" s="510"/>
      <c r="AI9" s="513"/>
      <c r="AJ9" s="514"/>
      <c r="AK9" s="510"/>
      <c r="AL9" s="513"/>
      <c r="AM9" s="514"/>
      <c r="AN9" s="509"/>
      <c r="AO9" s="518"/>
      <c r="AP9" s="518"/>
    </row>
    <row r="10" spans="1:50" ht="67.5" customHeight="1">
      <c r="A10" s="509"/>
      <c r="B10" s="531"/>
      <c r="C10" s="515"/>
      <c r="D10" s="515"/>
      <c r="E10" s="515"/>
      <c r="F10" s="515"/>
      <c r="G10" s="332" t="s">
        <v>243</v>
      </c>
      <c r="H10" s="332" t="s">
        <v>242</v>
      </c>
      <c r="I10" s="332" t="s">
        <v>243</v>
      </c>
      <c r="J10" s="332" t="s">
        <v>242</v>
      </c>
      <c r="K10" s="332" t="s">
        <v>243</v>
      </c>
      <c r="L10" s="332" t="s">
        <v>242</v>
      </c>
      <c r="M10" s="515"/>
      <c r="N10" s="515"/>
      <c r="O10" s="515"/>
      <c r="P10" s="332" t="s">
        <v>243</v>
      </c>
      <c r="Q10" s="332" t="s">
        <v>242</v>
      </c>
      <c r="R10" s="332" t="s">
        <v>243</v>
      </c>
      <c r="S10" s="332" t="s">
        <v>242</v>
      </c>
      <c r="T10" s="332" t="s">
        <v>243</v>
      </c>
      <c r="U10" s="332" t="s">
        <v>242</v>
      </c>
      <c r="V10" s="505"/>
      <c r="W10" s="506"/>
      <c r="X10" s="506"/>
      <c r="Y10" s="506"/>
      <c r="Z10" s="507"/>
      <c r="AA10" s="332" t="s">
        <v>243</v>
      </c>
      <c r="AB10" s="332" t="s">
        <v>242</v>
      </c>
      <c r="AC10" s="332" t="s">
        <v>243</v>
      </c>
      <c r="AD10" s="332" t="s">
        <v>242</v>
      </c>
      <c r="AE10" s="332" t="s">
        <v>243</v>
      </c>
      <c r="AF10" s="332" t="s">
        <v>242</v>
      </c>
      <c r="AG10" s="525"/>
      <c r="AH10" s="510"/>
      <c r="AI10" s="332" t="s">
        <v>243</v>
      </c>
      <c r="AJ10" s="332" t="s">
        <v>242</v>
      </c>
      <c r="AK10" s="510"/>
      <c r="AL10" s="332" t="s">
        <v>243</v>
      </c>
      <c r="AM10" s="332" t="s">
        <v>242</v>
      </c>
      <c r="AN10" s="509"/>
      <c r="AO10" s="518"/>
      <c r="AP10" s="518"/>
    </row>
    <row r="11" spans="1:50" s="249" customFormat="1" ht="12">
      <c r="A11" s="247" t="s">
        <v>39</v>
      </c>
      <c r="B11" s="247" t="s">
        <v>40</v>
      </c>
      <c r="C11" s="248" t="s">
        <v>48</v>
      </c>
      <c r="D11" s="248">
        <v>2</v>
      </c>
      <c r="E11" s="248"/>
      <c r="F11" s="248"/>
      <c r="G11" s="248"/>
      <c r="H11" s="248"/>
      <c r="I11" s="248"/>
      <c r="J11" s="248"/>
      <c r="K11" s="248"/>
      <c r="L11" s="248"/>
      <c r="M11" s="248">
        <v>3</v>
      </c>
      <c r="N11" s="248"/>
      <c r="O11" s="248"/>
      <c r="P11" s="248"/>
      <c r="Q11" s="248"/>
      <c r="R11" s="248"/>
      <c r="S11" s="248"/>
      <c r="T11" s="248"/>
      <c r="U11" s="248"/>
      <c r="V11" s="248">
        <v>4</v>
      </c>
      <c r="W11" s="248">
        <v>5</v>
      </c>
      <c r="X11" s="248">
        <v>6</v>
      </c>
      <c r="Y11" s="248"/>
      <c r="Z11" s="248"/>
      <c r="AA11" s="248"/>
      <c r="AB11" s="248"/>
      <c r="AC11" s="248"/>
      <c r="AD11" s="248"/>
      <c r="AE11" s="248"/>
      <c r="AF11" s="248"/>
      <c r="AG11" s="197">
        <v>7</v>
      </c>
      <c r="AH11" s="248">
        <v>8</v>
      </c>
      <c r="AI11" s="248"/>
      <c r="AJ11" s="248"/>
      <c r="AK11" s="248">
        <v>9</v>
      </c>
      <c r="AL11" s="248"/>
      <c r="AM11" s="248"/>
      <c r="AN11" s="248" t="s">
        <v>134</v>
      </c>
      <c r="AO11" s="248">
        <v>11</v>
      </c>
      <c r="AP11" s="248">
        <v>12</v>
      </c>
      <c r="AT11" s="250"/>
      <c r="AU11" s="250"/>
      <c r="AV11" s="251"/>
      <c r="AW11" s="251"/>
      <c r="AX11" s="252"/>
    </row>
    <row r="12" spans="1:50" s="365" customFormat="1" ht="17.25" customHeight="1">
      <c r="A12" s="498" t="s">
        <v>49</v>
      </c>
      <c r="B12" s="498"/>
      <c r="C12" s="363">
        <f>+D12+M12+V12</f>
        <v>64763698461</v>
      </c>
      <c r="D12" s="363">
        <f>SUM(E12:F12)</f>
        <v>865469023</v>
      </c>
      <c r="E12" s="363">
        <f>+G12+I12-K12</f>
        <v>845124023</v>
      </c>
      <c r="F12" s="363">
        <f>+H12+J12-L12</f>
        <v>20345000</v>
      </c>
      <c r="G12" s="363">
        <f t="shared" ref="G12:L12" si="1">G15</f>
        <v>14154503106</v>
      </c>
      <c r="H12" s="363">
        <f t="shared" si="1"/>
        <v>85331000</v>
      </c>
      <c r="I12" s="363">
        <f t="shared" si="1"/>
        <v>1000000</v>
      </c>
      <c r="J12" s="363">
        <f t="shared" si="1"/>
        <v>0</v>
      </c>
      <c r="K12" s="363">
        <f t="shared" si="1"/>
        <v>13310379083</v>
      </c>
      <c r="L12" s="363">
        <f t="shared" si="1"/>
        <v>64986000</v>
      </c>
      <c r="M12" s="363">
        <f>M15</f>
        <v>14830215470</v>
      </c>
      <c r="N12" s="363">
        <f t="shared" ref="N12:O12" si="2">N15</f>
        <v>14357522487</v>
      </c>
      <c r="O12" s="363">
        <f t="shared" si="2"/>
        <v>472692983</v>
      </c>
      <c r="P12" s="363">
        <f>P15</f>
        <v>28340933219</v>
      </c>
      <c r="Q12" s="363">
        <f t="shared" ref="Q12:AP12" si="3">Q15</f>
        <v>447706983</v>
      </c>
      <c r="R12" s="363">
        <f t="shared" si="3"/>
        <v>10252668673</v>
      </c>
      <c r="S12" s="363">
        <f t="shared" si="3"/>
        <v>250225452</v>
      </c>
      <c r="T12" s="363">
        <f t="shared" si="3"/>
        <v>23403469405</v>
      </c>
      <c r="U12" s="363">
        <f t="shared" si="3"/>
        <v>225239452</v>
      </c>
      <c r="V12" s="363">
        <f>V15</f>
        <v>49068013968</v>
      </c>
      <c r="W12" s="363">
        <f t="shared" si="3"/>
        <v>832610000</v>
      </c>
      <c r="X12" s="363">
        <f t="shared" si="3"/>
        <v>48235403968</v>
      </c>
      <c r="Y12" s="363">
        <f t="shared" si="3"/>
        <v>45561562876</v>
      </c>
      <c r="Z12" s="363">
        <f t="shared" si="3"/>
        <v>2673841092</v>
      </c>
      <c r="AA12" s="363">
        <f t="shared" si="3"/>
        <v>45427000000</v>
      </c>
      <c r="AB12" s="363">
        <f t="shared" si="3"/>
        <v>2331000000</v>
      </c>
      <c r="AC12" s="363">
        <f t="shared" si="3"/>
        <v>2545621000</v>
      </c>
      <c r="AD12" s="363">
        <f t="shared" si="3"/>
        <v>415152000</v>
      </c>
      <c r="AE12" s="363">
        <f t="shared" si="3"/>
        <v>2411058124</v>
      </c>
      <c r="AF12" s="363">
        <f t="shared" si="3"/>
        <v>72310908</v>
      </c>
      <c r="AG12" s="363">
        <f>AG15</f>
        <v>18848716297</v>
      </c>
      <c r="AH12" s="363">
        <f t="shared" ref="AH12:AM12" si="4">AH15</f>
        <v>2272816259</v>
      </c>
      <c r="AI12" s="363">
        <f t="shared" si="4"/>
        <v>2244102259</v>
      </c>
      <c r="AJ12" s="363">
        <f t="shared" si="4"/>
        <v>28714000</v>
      </c>
      <c r="AK12" s="363">
        <f t="shared" si="4"/>
        <v>16575900038</v>
      </c>
      <c r="AL12" s="363">
        <f t="shared" si="4"/>
        <v>15533685506</v>
      </c>
      <c r="AM12" s="363">
        <f t="shared" si="4"/>
        <v>1042214532</v>
      </c>
      <c r="AN12" s="364">
        <f>+AG12/C12*100</f>
        <v>29.103829374955314</v>
      </c>
      <c r="AO12" s="363">
        <f t="shared" si="3"/>
        <v>0</v>
      </c>
      <c r="AP12" s="363">
        <f t="shared" si="3"/>
        <v>0</v>
      </c>
      <c r="AT12" s="366"/>
      <c r="AU12" s="366"/>
      <c r="AV12" s="367"/>
      <c r="AW12" s="367"/>
      <c r="AX12" s="368"/>
    </row>
    <row r="13" spans="1:50">
      <c r="A13" s="333"/>
      <c r="B13" s="255" t="s">
        <v>122</v>
      </c>
      <c r="C13" s="253">
        <f t="shared" ref="C13:C76" si="5">+D13+M13+V13</f>
        <v>0</v>
      </c>
      <c r="D13" s="253">
        <f t="shared" ref="D13:D76" si="6">SUM(E13:F13)</f>
        <v>0</v>
      </c>
      <c r="E13" s="253">
        <f t="shared" ref="E13:F15" si="7">+G13+I13-K13</f>
        <v>0</v>
      </c>
      <c r="F13" s="253">
        <f t="shared" si="7"/>
        <v>0</v>
      </c>
      <c r="G13" s="256"/>
      <c r="H13" s="256"/>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370"/>
      <c r="AH13" s="256"/>
      <c r="AI13" s="256"/>
      <c r="AJ13" s="256"/>
      <c r="AK13" s="256"/>
      <c r="AL13" s="256"/>
      <c r="AM13" s="256"/>
      <c r="AN13" s="254"/>
      <c r="AO13" s="256"/>
      <c r="AP13" s="256"/>
    </row>
    <row r="14" spans="1:50">
      <c r="A14" s="257"/>
      <c r="B14" s="258" t="s">
        <v>120</v>
      </c>
      <c r="C14" s="253">
        <f t="shared" si="5"/>
        <v>0</v>
      </c>
      <c r="D14" s="253">
        <f t="shared" si="6"/>
        <v>0</v>
      </c>
      <c r="E14" s="253">
        <f t="shared" si="7"/>
        <v>0</v>
      </c>
      <c r="F14" s="253">
        <f t="shared" si="7"/>
        <v>0</v>
      </c>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370"/>
      <c r="AH14" s="256"/>
      <c r="AI14" s="256"/>
      <c r="AJ14" s="256"/>
      <c r="AK14" s="256"/>
      <c r="AL14" s="256"/>
      <c r="AM14" s="256"/>
      <c r="AN14" s="254"/>
      <c r="AO14" s="256"/>
      <c r="AP14" s="256"/>
    </row>
    <row r="15" spans="1:50" ht="35.25" customHeight="1">
      <c r="A15" s="259"/>
      <c r="B15" s="260" t="s">
        <v>121</v>
      </c>
      <c r="C15" s="261">
        <f t="shared" si="5"/>
        <v>64763698461</v>
      </c>
      <c r="D15" s="261">
        <f t="shared" si="6"/>
        <v>865469023</v>
      </c>
      <c r="E15" s="261">
        <f t="shared" si="7"/>
        <v>845124023</v>
      </c>
      <c r="F15" s="261">
        <f t="shared" si="7"/>
        <v>20345000</v>
      </c>
      <c r="G15" s="261">
        <f t="shared" ref="G15:AO15" si="8">+G16+G45+G81+G101+G112+G114+G116+G136+G157</f>
        <v>14154503106</v>
      </c>
      <c r="H15" s="261">
        <f t="shared" si="8"/>
        <v>85331000</v>
      </c>
      <c r="I15" s="261">
        <f t="shared" si="8"/>
        <v>1000000</v>
      </c>
      <c r="J15" s="261">
        <f t="shared" si="8"/>
        <v>0</v>
      </c>
      <c r="K15" s="261">
        <f t="shared" si="8"/>
        <v>13310379083</v>
      </c>
      <c r="L15" s="261">
        <f t="shared" si="8"/>
        <v>64986000</v>
      </c>
      <c r="M15" s="261">
        <f t="shared" si="8"/>
        <v>14830215470</v>
      </c>
      <c r="N15" s="261">
        <f t="shared" si="8"/>
        <v>14357522487</v>
      </c>
      <c r="O15" s="261">
        <f t="shared" si="8"/>
        <v>472692983</v>
      </c>
      <c r="P15" s="261">
        <f t="shared" si="8"/>
        <v>28340933219</v>
      </c>
      <c r="Q15" s="261">
        <f t="shared" si="8"/>
        <v>447706983</v>
      </c>
      <c r="R15" s="261">
        <f t="shared" si="8"/>
        <v>10252668673</v>
      </c>
      <c r="S15" s="261">
        <f t="shared" si="8"/>
        <v>250225452</v>
      </c>
      <c r="T15" s="261">
        <f t="shared" si="8"/>
        <v>23403469405</v>
      </c>
      <c r="U15" s="261">
        <f t="shared" si="8"/>
        <v>225239452</v>
      </c>
      <c r="V15" s="261">
        <f>+V16+V45+V81+V101+V112+V114+V116+V136+V157</f>
        <v>49068013968</v>
      </c>
      <c r="W15" s="261">
        <f t="shared" si="8"/>
        <v>832610000</v>
      </c>
      <c r="X15" s="261">
        <f t="shared" si="8"/>
        <v>48235403968</v>
      </c>
      <c r="Y15" s="261">
        <f t="shared" si="8"/>
        <v>45561562876</v>
      </c>
      <c r="Z15" s="261">
        <f t="shared" si="8"/>
        <v>2673841092</v>
      </c>
      <c r="AA15" s="261">
        <f t="shared" si="8"/>
        <v>45427000000</v>
      </c>
      <c r="AB15" s="261">
        <f t="shared" si="8"/>
        <v>2331000000</v>
      </c>
      <c r="AC15" s="261">
        <f t="shared" si="8"/>
        <v>2545621000</v>
      </c>
      <c r="AD15" s="261">
        <f t="shared" si="8"/>
        <v>415152000</v>
      </c>
      <c r="AE15" s="261">
        <f t="shared" si="8"/>
        <v>2411058124</v>
      </c>
      <c r="AF15" s="261">
        <f t="shared" si="8"/>
        <v>72310908</v>
      </c>
      <c r="AG15" s="371">
        <f>+AG16+AG45+AG81+AG101+AG112+AG114+AG116+AG136+AG157</f>
        <v>18848716297</v>
      </c>
      <c r="AH15" s="261">
        <f t="shared" ref="AH15:AM15" si="9">+AH16+AH45+AH81+AH101+AH112+AH114+AH116+AH136+AH157</f>
        <v>2272816259</v>
      </c>
      <c r="AI15" s="261">
        <f t="shared" si="9"/>
        <v>2244102259</v>
      </c>
      <c r="AJ15" s="261">
        <f t="shared" si="9"/>
        <v>28714000</v>
      </c>
      <c r="AK15" s="261">
        <f t="shared" si="9"/>
        <v>16575900038</v>
      </c>
      <c r="AL15" s="261">
        <f t="shared" si="9"/>
        <v>15533685506</v>
      </c>
      <c r="AM15" s="261">
        <f t="shared" si="9"/>
        <v>1042214532</v>
      </c>
      <c r="AN15" s="262">
        <f t="shared" ref="AN15:AN78" si="10">+AG15/C15*100</f>
        <v>29.103829374955314</v>
      </c>
      <c r="AO15" s="253">
        <f t="shared" si="8"/>
        <v>0</v>
      </c>
      <c r="AP15" s="253"/>
    </row>
    <row r="16" spans="1:50" s="208" customFormat="1" ht="44.25" customHeight="1">
      <c r="A16" s="263" t="s">
        <v>1</v>
      </c>
      <c r="B16" s="226" t="s">
        <v>2</v>
      </c>
      <c r="C16" s="264">
        <f t="shared" si="5"/>
        <v>1030209000</v>
      </c>
      <c r="D16" s="264">
        <f t="shared" si="6"/>
        <v>6860000</v>
      </c>
      <c r="E16" s="264">
        <f>+G16+I16-K16</f>
        <v>6860000</v>
      </c>
      <c r="F16" s="264">
        <f>+H16+J16-L16</f>
        <v>0</v>
      </c>
      <c r="G16" s="264">
        <f t="shared" ref="G16:L16" si="11">+G17+G28</f>
        <v>6960000</v>
      </c>
      <c r="H16" s="264">
        <f t="shared" si="11"/>
        <v>0</v>
      </c>
      <c r="I16" s="264">
        <f t="shared" si="11"/>
        <v>1000000</v>
      </c>
      <c r="J16" s="264">
        <f t="shared" si="11"/>
        <v>0</v>
      </c>
      <c r="K16" s="264">
        <f t="shared" si="11"/>
        <v>1100000</v>
      </c>
      <c r="L16" s="264">
        <f t="shared" si="11"/>
        <v>0</v>
      </c>
      <c r="M16" s="264">
        <f>+M17+M28</f>
        <v>101349000</v>
      </c>
      <c r="N16" s="264">
        <f t="shared" ref="N16:T16" si="12">+N17+N28</f>
        <v>97632500</v>
      </c>
      <c r="O16" s="264">
        <f t="shared" si="12"/>
        <v>3716500</v>
      </c>
      <c r="P16" s="264">
        <f t="shared" si="12"/>
        <v>882527100</v>
      </c>
      <c r="Q16" s="264">
        <f t="shared" si="12"/>
        <v>38007400</v>
      </c>
      <c r="R16" s="264">
        <f t="shared" si="12"/>
        <v>69850000</v>
      </c>
      <c r="S16" s="264">
        <f t="shared" si="12"/>
        <v>1700000</v>
      </c>
      <c r="T16" s="264">
        <f t="shared" si="12"/>
        <v>854744600</v>
      </c>
      <c r="U16" s="264">
        <f>+U17+U28</f>
        <v>35990900</v>
      </c>
      <c r="V16" s="264">
        <f t="shared" ref="V16:AP16" si="13">+V17+V28</f>
        <v>922000000</v>
      </c>
      <c r="W16" s="264">
        <f t="shared" si="13"/>
        <v>0</v>
      </c>
      <c r="X16" s="264">
        <f t="shared" si="13"/>
        <v>922000000</v>
      </c>
      <c r="Y16" s="264">
        <f t="shared" si="13"/>
        <v>878838983</v>
      </c>
      <c r="Z16" s="264">
        <f t="shared" si="13"/>
        <v>43161017</v>
      </c>
      <c r="AA16" s="264">
        <f t="shared" si="13"/>
        <v>1033000000</v>
      </c>
      <c r="AB16" s="264">
        <f t="shared" si="13"/>
        <v>51000000</v>
      </c>
      <c r="AC16" s="264">
        <f t="shared" si="13"/>
        <v>0</v>
      </c>
      <c r="AD16" s="264">
        <f t="shared" si="13"/>
        <v>0</v>
      </c>
      <c r="AE16" s="264">
        <f t="shared" si="13"/>
        <v>154161017</v>
      </c>
      <c r="AF16" s="264">
        <f t="shared" si="13"/>
        <v>7838983</v>
      </c>
      <c r="AG16" s="372">
        <f>+AG17+AG28</f>
        <v>486995200</v>
      </c>
      <c r="AH16" s="264">
        <f t="shared" ref="AH16:AM16" si="14">+AH17+AH28</f>
        <v>3000000</v>
      </c>
      <c r="AI16" s="264">
        <f t="shared" si="14"/>
        <v>3000000</v>
      </c>
      <c r="AJ16" s="264">
        <f t="shared" si="14"/>
        <v>0</v>
      </c>
      <c r="AK16" s="264">
        <f>+AK17+AK28</f>
        <v>483995200</v>
      </c>
      <c r="AL16" s="264">
        <f t="shared" si="14"/>
        <v>460884183</v>
      </c>
      <c r="AM16" s="264">
        <f t="shared" si="14"/>
        <v>23111017</v>
      </c>
      <c r="AN16" s="265">
        <f t="shared" si="10"/>
        <v>47.271495395594485</v>
      </c>
      <c r="AO16" s="266">
        <f t="shared" si="13"/>
        <v>0</v>
      </c>
      <c r="AP16" s="266">
        <f t="shared" si="13"/>
        <v>0</v>
      </c>
      <c r="AT16" s="209"/>
      <c r="AU16" s="209"/>
      <c r="AV16" s="210"/>
      <c r="AW16" s="210"/>
      <c r="AX16" s="211"/>
    </row>
    <row r="17" spans="1:50" s="208" customFormat="1" ht="33" customHeight="1">
      <c r="A17" s="267">
        <v>1</v>
      </c>
      <c r="B17" s="268" t="s">
        <v>215</v>
      </c>
      <c r="C17" s="201">
        <f t="shared" si="5"/>
        <v>10500000</v>
      </c>
      <c r="D17" s="201">
        <f t="shared" si="6"/>
        <v>0</v>
      </c>
      <c r="E17" s="201">
        <f t="shared" ref="E17:F32" si="15">+G17+I17-K17</f>
        <v>0</v>
      </c>
      <c r="F17" s="201">
        <f t="shared" si="15"/>
        <v>0</v>
      </c>
      <c r="G17" s="222">
        <f t="shared" ref="G17:L17" si="16">SUM(G18:G27)</f>
        <v>1100000</v>
      </c>
      <c r="H17" s="222">
        <f t="shared" si="16"/>
        <v>0</v>
      </c>
      <c r="I17" s="222">
        <f t="shared" si="16"/>
        <v>0</v>
      </c>
      <c r="J17" s="222">
        <f t="shared" si="16"/>
        <v>0</v>
      </c>
      <c r="K17" s="222">
        <f t="shared" si="16"/>
        <v>1100000</v>
      </c>
      <c r="L17" s="222">
        <f t="shared" si="16"/>
        <v>0</v>
      </c>
      <c r="M17" s="222">
        <f>SUM(M18:M27)</f>
        <v>500000</v>
      </c>
      <c r="N17" s="222">
        <f t="shared" ref="N17:AP17" si="17">SUM(N18:N27)</f>
        <v>500000</v>
      </c>
      <c r="O17" s="222">
        <f t="shared" si="17"/>
        <v>0</v>
      </c>
      <c r="P17" s="222">
        <f t="shared" si="17"/>
        <v>465047500</v>
      </c>
      <c r="Q17" s="222">
        <f t="shared" si="17"/>
        <v>22377000</v>
      </c>
      <c r="R17" s="222">
        <f t="shared" si="17"/>
        <v>0</v>
      </c>
      <c r="S17" s="222">
        <f t="shared" si="17"/>
        <v>0</v>
      </c>
      <c r="T17" s="222">
        <f t="shared" si="17"/>
        <v>464547500</v>
      </c>
      <c r="U17" s="222">
        <f t="shared" si="17"/>
        <v>22377000</v>
      </c>
      <c r="V17" s="222">
        <f t="shared" si="17"/>
        <v>10000000</v>
      </c>
      <c r="W17" s="222">
        <f t="shared" si="17"/>
        <v>0</v>
      </c>
      <c r="X17" s="222">
        <f t="shared" si="17"/>
        <v>10000000</v>
      </c>
      <c r="Y17" s="222">
        <f t="shared" si="17"/>
        <v>9500000</v>
      </c>
      <c r="Z17" s="222">
        <f t="shared" si="17"/>
        <v>500000</v>
      </c>
      <c r="AA17" s="222">
        <f t="shared" si="17"/>
        <v>58000000</v>
      </c>
      <c r="AB17" s="222">
        <f t="shared" si="17"/>
        <v>3000000</v>
      </c>
      <c r="AC17" s="222">
        <f t="shared" si="17"/>
        <v>0</v>
      </c>
      <c r="AD17" s="222">
        <f t="shared" si="17"/>
        <v>0</v>
      </c>
      <c r="AE17" s="222">
        <f t="shared" si="17"/>
        <v>48500000</v>
      </c>
      <c r="AF17" s="222">
        <f t="shared" si="17"/>
        <v>2500000</v>
      </c>
      <c r="AG17" s="373">
        <f>SUM(AG18:AG27)</f>
        <v>10000000</v>
      </c>
      <c r="AH17" s="222">
        <f t="shared" si="17"/>
        <v>0</v>
      </c>
      <c r="AI17" s="222">
        <f t="shared" si="17"/>
        <v>0</v>
      </c>
      <c r="AJ17" s="222">
        <f t="shared" si="17"/>
        <v>0</v>
      </c>
      <c r="AK17" s="222">
        <f t="shared" si="17"/>
        <v>10000000</v>
      </c>
      <c r="AL17" s="222">
        <f t="shared" si="17"/>
        <v>9500000</v>
      </c>
      <c r="AM17" s="222">
        <f t="shared" si="17"/>
        <v>500000</v>
      </c>
      <c r="AN17" s="206">
        <f t="shared" si="10"/>
        <v>95.238095238095227</v>
      </c>
      <c r="AO17" s="269">
        <f t="shared" si="17"/>
        <v>0</v>
      </c>
      <c r="AP17" s="269">
        <f t="shared" si="17"/>
        <v>0</v>
      </c>
      <c r="AT17" s="209"/>
      <c r="AU17" s="209"/>
      <c r="AV17" s="210"/>
      <c r="AW17" s="210"/>
      <c r="AX17" s="211"/>
    </row>
    <row r="18" spans="1:50" s="208" customFormat="1">
      <c r="A18" s="237" t="s">
        <v>195</v>
      </c>
      <c r="B18" s="236" t="s">
        <v>213</v>
      </c>
      <c r="C18" s="200">
        <f t="shared" si="5"/>
        <v>0</v>
      </c>
      <c r="D18" s="201">
        <f t="shared" si="6"/>
        <v>0</v>
      </c>
      <c r="E18" s="201">
        <f t="shared" si="15"/>
        <v>0</v>
      </c>
      <c r="F18" s="201">
        <f t="shared" si="15"/>
        <v>0</v>
      </c>
      <c r="G18" s="202"/>
      <c r="H18" s="202"/>
      <c r="I18" s="202"/>
      <c r="J18" s="202"/>
      <c r="K18" s="202"/>
      <c r="L18" s="202"/>
      <c r="M18" s="202">
        <f>SUM(N18:O18)</f>
        <v>0</v>
      </c>
      <c r="N18" s="202">
        <f t="shared" ref="N18:O22" si="18">+P18+R18-T18</f>
        <v>0</v>
      </c>
      <c r="O18" s="202">
        <f t="shared" si="18"/>
        <v>0</v>
      </c>
      <c r="P18" s="202"/>
      <c r="Q18" s="202"/>
      <c r="R18" s="202"/>
      <c r="S18" s="202"/>
      <c r="T18" s="202"/>
      <c r="U18" s="202"/>
      <c r="V18" s="202">
        <f>SUM(W18:X18)</f>
        <v>0</v>
      </c>
      <c r="W18" s="202"/>
      <c r="X18" s="204">
        <f>SUM(Y18:Z18)</f>
        <v>0</v>
      </c>
      <c r="Y18" s="204">
        <f>+AA18+AC18-AE18</f>
        <v>0</v>
      </c>
      <c r="Z18" s="204">
        <f>+AB18+AD18-AF18</f>
        <v>0</v>
      </c>
      <c r="AA18" s="202"/>
      <c r="AB18" s="202"/>
      <c r="AC18" s="202"/>
      <c r="AD18" s="202"/>
      <c r="AE18" s="202"/>
      <c r="AF18" s="202"/>
      <c r="AG18" s="340">
        <f>+AK18+AH18</f>
        <v>0</v>
      </c>
      <c r="AH18" s="202">
        <f>SUM(AI18:AJ18)</f>
        <v>0</v>
      </c>
      <c r="AI18" s="202"/>
      <c r="AJ18" s="202"/>
      <c r="AK18" s="202">
        <f>SUM(AL18:AM18)</f>
        <v>0</v>
      </c>
      <c r="AL18" s="202"/>
      <c r="AM18" s="202"/>
      <c r="AN18" s="206"/>
      <c r="AO18" s="207"/>
      <c r="AP18" s="207"/>
      <c r="AT18" s="209"/>
      <c r="AU18" s="209"/>
      <c r="AV18" s="210"/>
      <c r="AW18" s="210"/>
      <c r="AX18" s="211"/>
    </row>
    <row r="19" spans="1:50" s="208" customFormat="1">
      <c r="A19" s="237" t="s">
        <v>195</v>
      </c>
      <c r="B19" s="236" t="s">
        <v>210</v>
      </c>
      <c r="C19" s="200">
        <f t="shared" si="5"/>
        <v>0</v>
      </c>
      <c r="D19" s="201">
        <f t="shared" si="6"/>
        <v>0</v>
      </c>
      <c r="E19" s="201">
        <f t="shared" si="15"/>
        <v>0</v>
      </c>
      <c r="F19" s="201">
        <f t="shared" si="15"/>
        <v>0</v>
      </c>
      <c r="G19" s="202"/>
      <c r="H19" s="202"/>
      <c r="I19" s="202"/>
      <c r="J19" s="202"/>
      <c r="K19" s="202"/>
      <c r="L19" s="202"/>
      <c r="M19" s="202">
        <f t="shared" ref="M19:M27" si="19">SUM(N19:O19)</f>
        <v>0</v>
      </c>
      <c r="N19" s="202">
        <f t="shared" si="18"/>
        <v>0</v>
      </c>
      <c r="O19" s="202">
        <f t="shared" si="18"/>
        <v>0</v>
      </c>
      <c r="P19" s="202"/>
      <c r="Q19" s="202"/>
      <c r="R19" s="202"/>
      <c r="S19" s="202"/>
      <c r="T19" s="202"/>
      <c r="U19" s="202"/>
      <c r="V19" s="202">
        <f>SUM(W19:X19)</f>
        <v>0</v>
      </c>
      <c r="W19" s="202"/>
      <c r="X19" s="204">
        <f t="shared" ref="X19:X26" si="20">SUM(Y19:Z19)</f>
        <v>0</v>
      </c>
      <c r="Y19" s="204">
        <f t="shared" ref="Y19:Z26" si="21">+AA19+AC19-AE19</f>
        <v>0</v>
      </c>
      <c r="Z19" s="204">
        <f t="shared" si="21"/>
        <v>0</v>
      </c>
      <c r="AA19" s="202">
        <v>38000000</v>
      </c>
      <c r="AB19" s="202">
        <v>2000000</v>
      </c>
      <c r="AC19" s="202"/>
      <c r="AD19" s="202"/>
      <c r="AE19" s="202">
        <v>38000000</v>
      </c>
      <c r="AF19" s="202">
        <v>2000000</v>
      </c>
      <c r="AG19" s="340">
        <f t="shared" ref="AG19:AG44" si="22">+AK19+AH19</f>
        <v>0</v>
      </c>
      <c r="AH19" s="202">
        <f t="shared" ref="AH19:AH27" si="23">SUM(AI19:AJ19)</f>
        <v>0</v>
      </c>
      <c r="AI19" s="202"/>
      <c r="AJ19" s="202"/>
      <c r="AK19" s="202">
        <f t="shared" ref="AK19:AK27" si="24">SUM(AL19:AM19)</f>
        <v>0</v>
      </c>
      <c r="AL19" s="202"/>
      <c r="AM19" s="202"/>
      <c r="AN19" s="206"/>
      <c r="AO19" s="207"/>
      <c r="AP19" s="207"/>
      <c r="AT19" s="209"/>
      <c r="AU19" s="209"/>
      <c r="AV19" s="210"/>
      <c r="AW19" s="210"/>
      <c r="AX19" s="211"/>
    </row>
    <row r="20" spans="1:50" s="208" customFormat="1">
      <c r="A20" s="237" t="s">
        <v>195</v>
      </c>
      <c r="B20" s="236" t="s">
        <v>209</v>
      </c>
      <c r="C20" s="200">
        <f t="shared" si="5"/>
        <v>10000000</v>
      </c>
      <c r="D20" s="201">
        <f t="shared" si="6"/>
        <v>0</v>
      </c>
      <c r="E20" s="201">
        <f t="shared" si="15"/>
        <v>0</v>
      </c>
      <c r="F20" s="201">
        <f t="shared" si="15"/>
        <v>0</v>
      </c>
      <c r="G20" s="202"/>
      <c r="H20" s="202"/>
      <c r="I20" s="202"/>
      <c r="J20" s="202"/>
      <c r="K20" s="202"/>
      <c r="L20" s="202"/>
      <c r="M20" s="202">
        <f t="shared" si="19"/>
        <v>0</v>
      </c>
      <c r="N20" s="202">
        <f t="shared" si="18"/>
        <v>0</v>
      </c>
      <c r="O20" s="202">
        <f t="shared" si="18"/>
        <v>0</v>
      </c>
      <c r="P20" s="202"/>
      <c r="Q20" s="202"/>
      <c r="R20" s="202"/>
      <c r="S20" s="202"/>
      <c r="T20" s="202"/>
      <c r="U20" s="202"/>
      <c r="V20" s="202">
        <f>SUM(W20:X20)</f>
        <v>10000000</v>
      </c>
      <c r="W20" s="202"/>
      <c r="X20" s="204">
        <f t="shared" si="20"/>
        <v>10000000</v>
      </c>
      <c r="Y20" s="204">
        <f t="shared" si="21"/>
        <v>9500000</v>
      </c>
      <c r="Z20" s="204">
        <f t="shared" si="21"/>
        <v>500000</v>
      </c>
      <c r="AA20" s="202">
        <v>9500000</v>
      </c>
      <c r="AB20" s="202">
        <v>500000</v>
      </c>
      <c r="AC20" s="202"/>
      <c r="AD20" s="202"/>
      <c r="AE20" s="202"/>
      <c r="AF20" s="202"/>
      <c r="AG20" s="340">
        <f t="shared" si="22"/>
        <v>10000000</v>
      </c>
      <c r="AH20" s="202">
        <f t="shared" si="23"/>
        <v>0</v>
      </c>
      <c r="AI20" s="202"/>
      <c r="AJ20" s="202"/>
      <c r="AK20" s="202">
        <f t="shared" si="24"/>
        <v>10000000</v>
      </c>
      <c r="AL20" s="204">
        <v>9500000</v>
      </c>
      <c r="AM20" s="204">
        <v>500000</v>
      </c>
      <c r="AN20" s="206">
        <f t="shared" si="10"/>
        <v>100</v>
      </c>
      <c r="AO20" s="207"/>
      <c r="AP20" s="207"/>
      <c r="AT20" s="209"/>
      <c r="AU20" s="209"/>
      <c r="AV20" s="210"/>
      <c r="AW20" s="210"/>
      <c r="AX20" s="211"/>
    </row>
    <row r="21" spans="1:50" s="208" customFormat="1">
      <c r="A21" s="237" t="s">
        <v>195</v>
      </c>
      <c r="B21" s="236" t="s">
        <v>199</v>
      </c>
      <c r="C21" s="200">
        <f t="shared" si="5"/>
        <v>0</v>
      </c>
      <c r="D21" s="201">
        <f t="shared" si="6"/>
        <v>0</v>
      </c>
      <c r="E21" s="201">
        <f t="shared" si="15"/>
        <v>0</v>
      </c>
      <c r="F21" s="201">
        <f t="shared" si="15"/>
        <v>0</v>
      </c>
      <c r="G21" s="202"/>
      <c r="H21" s="202"/>
      <c r="I21" s="202"/>
      <c r="J21" s="202"/>
      <c r="K21" s="202"/>
      <c r="L21" s="202"/>
      <c r="M21" s="202">
        <f t="shared" si="19"/>
        <v>0</v>
      </c>
      <c r="N21" s="202">
        <f t="shared" si="18"/>
        <v>0</v>
      </c>
      <c r="O21" s="202">
        <f t="shared" si="18"/>
        <v>0</v>
      </c>
      <c r="P21" s="202">
        <v>6000000</v>
      </c>
      <c r="Q21" s="202"/>
      <c r="R21" s="202"/>
      <c r="S21" s="202"/>
      <c r="T21" s="202">
        <v>6000000</v>
      </c>
      <c r="U21" s="202"/>
      <c r="V21" s="202">
        <f t="shared" ref="V21:V27" si="25">SUM(W21:X21)</f>
        <v>0</v>
      </c>
      <c r="W21" s="202"/>
      <c r="X21" s="204">
        <f t="shared" si="20"/>
        <v>0</v>
      </c>
      <c r="Y21" s="204">
        <f t="shared" si="21"/>
        <v>0</v>
      </c>
      <c r="Z21" s="204">
        <f t="shared" si="21"/>
        <v>0</v>
      </c>
      <c r="AA21" s="202"/>
      <c r="AB21" s="202"/>
      <c r="AC21" s="202"/>
      <c r="AD21" s="202"/>
      <c r="AE21" s="202"/>
      <c r="AF21" s="202"/>
      <c r="AG21" s="340">
        <f t="shared" si="22"/>
        <v>0</v>
      </c>
      <c r="AH21" s="202">
        <f t="shared" si="23"/>
        <v>0</v>
      </c>
      <c r="AI21" s="202"/>
      <c r="AJ21" s="202"/>
      <c r="AK21" s="202">
        <f t="shared" si="24"/>
        <v>0</v>
      </c>
      <c r="AL21" s="202"/>
      <c r="AM21" s="202"/>
      <c r="AN21" s="206"/>
      <c r="AO21" s="207"/>
      <c r="AP21" s="207"/>
      <c r="AT21" s="209"/>
      <c r="AU21" s="209"/>
      <c r="AV21" s="210"/>
      <c r="AW21" s="210"/>
      <c r="AX21" s="211"/>
    </row>
    <row r="22" spans="1:50" s="208" customFormat="1">
      <c r="A22" s="237" t="s">
        <v>195</v>
      </c>
      <c r="B22" s="236" t="s">
        <v>207</v>
      </c>
      <c r="C22" s="200">
        <f t="shared" si="5"/>
        <v>500000</v>
      </c>
      <c r="D22" s="201">
        <f t="shared" si="6"/>
        <v>0</v>
      </c>
      <c r="E22" s="201">
        <f t="shared" si="15"/>
        <v>0</v>
      </c>
      <c r="F22" s="201">
        <f t="shared" si="15"/>
        <v>0</v>
      </c>
      <c r="G22" s="202"/>
      <c r="H22" s="202"/>
      <c r="I22" s="202"/>
      <c r="J22" s="202"/>
      <c r="K22" s="202"/>
      <c r="L22" s="202"/>
      <c r="M22" s="202">
        <f t="shared" si="19"/>
        <v>500000</v>
      </c>
      <c r="N22" s="202">
        <f>+P22+R22-T22</f>
        <v>500000</v>
      </c>
      <c r="O22" s="202">
        <f t="shared" si="18"/>
        <v>0</v>
      </c>
      <c r="P22" s="202">
        <v>585500</v>
      </c>
      <c r="Q22" s="202">
        <v>254000</v>
      </c>
      <c r="R22" s="202"/>
      <c r="S22" s="202"/>
      <c r="T22" s="202">
        <v>85500</v>
      </c>
      <c r="U22" s="202">
        <v>254000</v>
      </c>
      <c r="V22" s="202">
        <f t="shared" si="25"/>
        <v>0</v>
      </c>
      <c r="W22" s="202"/>
      <c r="X22" s="204">
        <f t="shared" si="20"/>
        <v>0</v>
      </c>
      <c r="Y22" s="204">
        <f t="shared" si="21"/>
        <v>0</v>
      </c>
      <c r="Z22" s="204">
        <f t="shared" si="21"/>
        <v>0</v>
      </c>
      <c r="AA22" s="202"/>
      <c r="AB22" s="202"/>
      <c r="AC22" s="202"/>
      <c r="AD22" s="202"/>
      <c r="AE22" s="202"/>
      <c r="AF22" s="202"/>
      <c r="AG22" s="340">
        <f t="shared" si="22"/>
        <v>0</v>
      </c>
      <c r="AH22" s="202">
        <f t="shared" si="23"/>
        <v>0</v>
      </c>
      <c r="AI22" s="202"/>
      <c r="AJ22" s="202"/>
      <c r="AK22" s="202">
        <f t="shared" si="24"/>
        <v>0</v>
      </c>
      <c r="AL22" s="204"/>
      <c r="AM22" s="204"/>
      <c r="AN22" s="206">
        <f>+AG4/C22*100</f>
        <v>0</v>
      </c>
      <c r="AO22" s="207"/>
      <c r="AP22" s="207"/>
      <c r="AT22" s="209"/>
      <c r="AU22" s="209"/>
      <c r="AV22" s="210"/>
      <c r="AW22" s="210"/>
      <c r="AX22" s="211"/>
    </row>
    <row r="23" spans="1:50" s="208" customFormat="1">
      <c r="A23" s="237" t="s">
        <v>195</v>
      </c>
      <c r="B23" s="236" t="s">
        <v>200</v>
      </c>
      <c r="C23" s="200">
        <f t="shared" si="5"/>
        <v>0</v>
      </c>
      <c r="D23" s="201">
        <f t="shared" si="6"/>
        <v>0</v>
      </c>
      <c r="E23" s="201">
        <f t="shared" si="15"/>
        <v>0</v>
      </c>
      <c r="F23" s="201">
        <f t="shared" si="15"/>
        <v>0</v>
      </c>
      <c r="G23" s="202">
        <v>1100000</v>
      </c>
      <c r="H23" s="202"/>
      <c r="I23" s="202"/>
      <c r="J23" s="202"/>
      <c r="K23" s="202">
        <f>+G23</f>
        <v>1100000</v>
      </c>
      <c r="L23" s="202"/>
      <c r="M23" s="202">
        <f t="shared" si="19"/>
        <v>0</v>
      </c>
      <c r="N23" s="202">
        <f>+P23+R23-T23</f>
        <v>0</v>
      </c>
      <c r="O23" s="202">
        <f>+Q23+S23-U23</f>
        <v>0</v>
      </c>
      <c r="P23" s="202">
        <v>20000000</v>
      </c>
      <c r="Q23" s="202">
        <v>1100000</v>
      </c>
      <c r="R23" s="202"/>
      <c r="S23" s="202"/>
      <c r="T23" s="202">
        <v>20000000</v>
      </c>
      <c r="U23" s="202">
        <v>1100000</v>
      </c>
      <c r="V23" s="202">
        <f t="shared" si="25"/>
        <v>0</v>
      </c>
      <c r="W23" s="202"/>
      <c r="X23" s="204">
        <f t="shared" si="20"/>
        <v>0</v>
      </c>
      <c r="Y23" s="204">
        <f t="shared" si="21"/>
        <v>0</v>
      </c>
      <c r="Z23" s="204">
        <f t="shared" si="21"/>
        <v>0</v>
      </c>
      <c r="AA23" s="202"/>
      <c r="AB23" s="202"/>
      <c r="AC23" s="202"/>
      <c r="AD23" s="202"/>
      <c r="AE23" s="202"/>
      <c r="AF23" s="202"/>
      <c r="AG23" s="340">
        <f t="shared" si="22"/>
        <v>0</v>
      </c>
      <c r="AH23" s="202">
        <f t="shared" si="23"/>
        <v>0</v>
      </c>
      <c r="AI23" s="202"/>
      <c r="AJ23" s="202"/>
      <c r="AK23" s="202">
        <f t="shared" si="24"/>
        <v>0</v>
      </c>
      <c r="AL23" s="202"/>
      <c r="AM23" s="202"/>
      <c r="AN23" s="206"/>
      <c r="AO23" s="207"/>
      <c r="AP23" s="207"/>
      <c r="AT23" s="209"/>
      <c r="AU23" s="209"/>
      <c r="AV23" s="210"/>
      <c r="AW23" s="210"/>
      <c r="AX23" s="211"/>
    </row>
    <row r="24" spans="1:50" s="208" customFormat="1">
      <c r="A24" s="237" t="s">
        <v>195</v>
      </c>
      <c r="B24" s="236" t="s">
        <v>208</v>
      </c>
      <c r="C24" s="200">
        <f t="shared" si="5"/>
        <v>0</v>
      </c>
      <c r="D24" s="201">
        <f t="shared" si="6"/>
        <v>0</v>
      </c>
      <c r="E24" s="201">
        <f t="shared" si="15"/>
        <v>0</v>
      </c>
      <c r="F24" s="201">
        <f t="shared" si="15"/>
        <v>0</v>
      </c>
      <c r="G24" s="202"/>
      <c r="H24" s="202"/>
      <c r="I24" s="202"/>
      <c r="J24" s="202"/>
      <c r="K24" s="202"/>
      <c r="L24" s="202"/>
      <c r="M24" s="202">
        <f t="shared" si="19"/>
        <v>0</v>
      </c>
      <c r="N24" s="202">
        <f t="shared" ref="N24:O27" si="26">+P24+R24-T24</f>
        <v>0</v>
      </c>
      <c r="O24" s="202">
        <f t="shared" si="26"/>
        <v>0</v>
      </c>
      <c r="P24" s="202">
        <v>11000000</v>
      </c>
      <c r="Q24" s="202"/>
      <c r="R24" s="202"/>
      <c r="S24" s="202"/>
      <c r="T24" s="202">
        <v>11000000</v>
      </c>
      <c r="U24" s="202"/>
      <c r="V24" s="202">
        <f t="shared" si="25"/>
        <v>0</v>
      </c>
      <c r="W24" s="202"/>
      <c r="X24" s="204">
        <f t="shared" si="20"/>
        <v>0</v>
      </c>
      <c r="Y24" s="204">
        <f t="shared" si="21"/>
        <v>0</v>
      </c>
      <c r="Z24" s="204">
        <f t="shared" si="21"/>
        <v>0</v>
      </c>
      <c r="AA24" s="202"/>
      <c r="AB24" s="202"/>
      <c r="AC24" s="202"/>
      <c r="AD24" s="202"/>
      <c r="AE24" s="202"/>
      <c r="AF24" s="202"/>
      <c r="AG24" s="340">
        <f t="shared" si="22"/>
        <v>0</v>
      </c>
      <c r="AH24" s="202">
        <f t="shared" si="23"/>
        <v>0</v>
      </c>
      <c r="AI24" s="202"/>
      <c r="AJ24" s="202"/>
      <c r="AK24" s="202">
        <f t="shared" si="24"/>
        <v>0</v>
      </c>
      <c r="AL24" s="202"/>
      <c r="AM24" s="202"/>
      <c r="AN24" s="206"/>
      <c r="AO24" s="207"/>
      <c r="AP24" s="207"/>
      <c r="AT24" s="209"/>
      <c r="AU24" s="209"/>
      <c r="AV24" s="210"/>
      <c r="AW24" s="210"/>
      <c r="AX24" s="211"/>
    </row>
    <row r="25" spans="1:50" s="208" customFormat="1">
      <c r="A25" s="237" t="s">
        <v>195</v>
      </c>
      <c r="B25" s="236" t="s">
        <v>211</v>
      </c>
      <c r="C25" s="200">
        <f t="shared" si="5"/>
        <v>0</v>
      </c>
      <c r="D25" s="201">
        <f t="shared" si="6"/>
        <v>0</v>
      </c>
      <c r="E25" s="201">
        <f t="shared" si="15"/>
        <v>0</v>
      </c>
      <c r="F25" s="201">
        <f t="shared" si="15"/>
        <v>0</v>
      </c>
      <c r="G25" s="202"/>
      <c r="H25" s="202"/>
      <c r="I25" s="202"/>
      <c r="J25" s="202"/>
      <c r="K25" s="202"/>
      <c r="L25" s="202"/>
      <c r="M25" s="202">
        <f t="shared" si="19"/>
        <v>0</v>
      </c>
      <c r="N25" s="202">
        <f t="shared" si="26"/>
        <v>0</v>
      </c>
      <c r="O25" s="202">
        <f t="shared" si="26"/>
        <v>0</v>
      </c>
      <c r="P25" s="202">
        <v>12927000</v>
      </c>
      <c r="Q25" s="202">
        <v>523000</v>
      </c>
      <c r="R25" s="202"/>
      <c r="S25" s="202"/>
      <c r="T25" s="202">
        <v>12927000</v>
      </c>
      <c r="U25" s="202">
        <v>523000</v>
      </c>
      <c r="V25" s="202">
        <f t="shared" si="25"/>
        <v>0</v>
      </c>
      <c r="W25" s="202"/>
      <c r="X25" s="204">
        <f t="shared" si="20"/>
        <v>0</v>
      </c>
      <c r="Y25" s="204">
        <f t="shared" si="21"/>
        <v>0</v>
      </c>
      <c r="Z25" s="204">
        <f t="shared" si="21"/>
        <v>0</v>
      </c>
      <c r="AA25" s="202"/>
      <c r="AB25" s="202"/>
      <c r="AC25" s="202"/>
      <c r="AD25" s="202"/>
      <c r="AE25" s="202"/>
      <c r="AF25" s="202"/>
      <c r="AG25" s="340">
        <f t="shared" si="22"/>
        <v>0</v>
      </c>
      <c r="AH25" s="202">
        <f t="shared" si="23"/>
        <v>0</v>
      </c>
      <c r="AI25" s="202"/>
      <c r="AJ25" s="202"/>
      <c r="AK25" s="202">
        <f t="shared" si="24"/>
        <v>0</v>
      </c>
      <c r="AL25" s="202"/>
      <c r="AM25" s="202"/>
      <c r="AN25" s="206"/>
      <c r="AO25" s="207"/>
      <c r="AP25" s="207"/>
      <c r="AT25" s="209"/>
      <c r="AU25" s="209"/>
      <c r="AV25" s="210"/>
      <c r="AW25" s="210"/>
      <c r="AX25" s="211"/>
    </row>
    <row r="26" spans="1:50" s="208" customFormat="1">
      <c r="A26" s="237" t="s">
        <v>195</v>
      </c>
      <c r="B26" s="236" t="s">
        <v>209</v>
      </c>
      <c r="C26" s="200">
        <f t="shared" si="5"/>
        <v>0</v>
      </c>
      <c r="D26" s="201">
        <f t="shared" si="6"/>
        <v>0</v>
      </c>
      <c r="E26" s="201">
        <f t="shared" si="15"/>
        <v>0</v>
      </c>
      <c r="F26" s="201">
        <f t="shared" si="15"/>
        <v>0</v>
      </c>
      <c r="G26" s="202"/>
      <c r="H26" s="202"/>
      <c r="I26" s="202"/>
      <c r="J26" s="202"/>
      <c r="K26" s="202"/>
      <c r="L26" s="202"/>
      <c r="M26" s="202">
        <f t="shared" si="19"/>
        <v>0</v>
      </c>
      <c r="N26" s="202">
        <f t="shared" si="26"/>
        <v>0</v>
      </c>
      <c r="O26" s="202">
        <f t="shared" si="26"/>
        <v>0</v>
      </c>
      <c r="P26" s="202">
        <v>30000000</v>
      </c>
      <c r="Q26" s="202">
        <v>1500000</v>
      </c>
      <c r="R26" s="202"/>
      <c r="S26" s="202"/>
      <c r="T26" s="202">
        <v>30000000</v>
      </c>
      <c r="U26" s="202">
        <v>1500000</v>
      </c>
      <c r="V26" s="202">
        <f t="shared" si="25"/>
        <v>0</v>
      </c>
      <c r="W26" s="202"/>
      <c r="X26" s="204">
        <f t="shared" si="20"/>
        <v>0</v>
      </c>
      <c r="Y26" s="204">
        <f t="shared" si="21"/>
        <v>0</v>
      </c>
      <c r="Z26" s="204">
        <f t="shared" si="21"/>
        <v>0</v>
      </c>
      <c r="AA26" s="205">
        <v>9500000</v>
      </c>
      <c r="AB26" s="205">
        <v>500000</v>
      </c>
      <c r="AC26" s="205"/>
      <c r="AD26" s="205"/>
      <c r="AE26" s="205">
        <v>9500000</v>
      </c>
      <c r="AF26" s="205">
        <v>500000</v>
      </c>
      <c r="AG26" s="340">
        <f t="shared" si="22"/>
        <v>0</v>
      </c>
      <c r="AH26" s="202">
        <f t="shared" si="23"/>
        <v>0</v>
      </c>
      <c r="AI26" s="202"/>
      <c r="AJ26" s="202"/>
      <c r="AK26" s="202">
        <f t="shared" si="24"/>
        <v>0</v>
      </c>
      <c r="AL26" s="202"/>
      <c r="AM26" s="202"/>
      <c r="AN26" s="206"/>
      <c r="AO26" s="207"/>
      <c r="AP26" s="207"/>
      <c r="AT26" s="209"/>
      <c r="AU26" s="209"/>
      <c r="AV26" s="210"/>
      <c r="AW26" s="210"/>
      <c r="AX26" s="211"/>
    </row>
    <row r="27" spans="1:50" s="208" customFormat="1">
      <c r="A27" s="237" t="s">
        <v>195</v>
      </c>
      <c r="B27" s="236" t="s">
        <v>183</v>
      </c>
      <c r="C27" s="200">
        <f t="shared" si="5"/>
        <v>0</v>
      </c>
      <c r="D27" s="201">
        <f t="shared" si="6"/>
        <v>0</v>
      </c>
      <c r="E27" s="201">
        <f t="shared" si="15"/>
        <v>0</v>
      </c>
      <c r="F27" s="201">
        <f t="shared" si="15"/>
        <v>0</v>
      </c>
      <c r="G27" s="202"/>
      <c r="H27" s="202"/>
      <c r="I27" s="202"/>
      <c r="J27" s="202"/>
      <c r="K27" s="202"/>
      <c r="L27" s="202"/>
      <c r="M27" s="202">
        <f t="shared" si="19"/>
        <v>0</v>
      </c>
      <c r="N27" s="202">
        <f t="shared" si="26"/>
        <v>0</v>
      </c>
      <c r="O27" s="202">
        <f t="shared" si="26"/>
        <v>0</v>
      </c>
      <c r="P27" s="202">
        <v>384535000</v>
      </c>
      <c r="Q27" s="202">
        <v>19000000</v>
      </c>
      <c r="R27" s="202"/>
      <c r="S27" s="202"/>
      <c r="T27" s="202">
        <v>384535000</v>
      </c>
      <c r="U27" s="202">
        <v>19000000</v>
      </c>
      <c r="V27" s="202">
        <f t="shared" si="25"/>
        <v>0</v>
      </c>
      <c r="W27" s="202"/>
      <c r="X27" s="204">
        <f>SUM(Y27:Z27)</f>
        <v>0</v>
      </c>
      <c r="Y27" s="204">
        <f>+AA27+AC27-AE27</f>
        <v>0</v>
      </c>
      <c r="Z27" s="204">
        <f>+AB27+AD27-AF27</f>
        <v>0</v>
      </c>
      <c r="AA27" s="205">
        <v>1000000</v>
      </c>
      <c r="AB27" s="205"/>
      <c r="AC27" s="205"/>
      <c r="AD27" s="205"/>
      <c r="AE27" s="205">
        <f>+AA27</f>
        <v>1000000</v>
      </c>
      <c r="AF27" s="205"/>
      <c r="AG27" s="340">
        <f t="shared" si="22"/>
        <v>0</v>
      </c>
      <c r="AH27" s="202">
        <f t="shared" si="23"/>
        <v>0</v>
      </c>
      <c r="AI27" s="202"/>
      <c r="AJ27" s="202"/>
      <c r="AK27" s="202">
        <f t="shared" si="24"/>
        <v>0</v>
      </c>
      <c r="AL27" s="202"/>
      <c r="AM27" s="202"/>
      <c r="AN27" s="206"/>
      <c r="AO27" s="207"/>
      <c r="AP27" s="207"/>
      <c r="AT27" s="209"/>
      <c r="AU27" s="209"/>
      <c r="AV27" s="210"/>
      <c r="AW27" s="210"/>
      <c r="AX27" s="211"/>
    </row>
    <row r="28" spans="1:50" s="232" customFormat="1" ht="31.5" customHeight="1">
      <c r="A28" s="270">
        <v>2</v>
      </c>
      <c r="B28" s="271" t="s">
        <v>230</v>
      </c>
      <c r="C28" s="201">
        <f t="shared" si="5"/>
        <v>1019709000</v>
      </c>
      <c r="D28" s="201">
        <f t="shared" si="6"/>
        <v>6860000</v>
      </c>
      <c r="E28" s="201">
        <f t="shared" si="15"/>
        <v>6860000</v>
      </c>
      <c r="F28" s="201">
        <f t="shared" si="15"/>
        <v>0</v>
      </c>
      <c r="G28" s="272">
        <f t="shared" ref="G28:L28" si="27">SUM(G29:G44)</f>
        <v>5860000</v>
      </c>
      <c r="H28" s="272">
        <f t="shared" si="27"/>
        <v>0</v>
      </c>
      <c r="I28" s="272">
        <f t="shared" si="27"/>
        <v>1000000</v>
      </c>
      <c r="J28" s="272">
        <f t="shared" si="27"/>
        <v>0</v>
      </c>
      <c r="K28" s="272">
        <f t="shared" si="27"/>
        <v>0</v>
      </c>
      <c r="L28" s="272">
        <f t="shared" si="27"/>
        <v>0</v>
      </c>
      <c r="M28" s="272">
        <f>SUM(M29:M44)</f>
        <v>100849000</v>
      </c>
      <c r="N28" s="272">
        <f t="shared" ref="N28:O28" si="28">SUM(N29:N44)</f>
        <v>97132500</v>
      </c>
      <c r="O28" s="272">
        <f t="shared" si="28"/>
        <v>3716500</v>
      </c>
      <c r="P28" s="272">
        <f>SUM(P29:P44)</f>
        <v>417479600</v>
      </c>
      <c r="Q28" s="272">
        <f t="shared" ref="Q28:W28" si="29">SUM(Q29:Q44)</f>
        <v>15630400</v>
      </c>
      <c r="R28" s="272">
        <f t="shared" si="29"/>
        <v>69850000</v>
      </c>
      <c r="S28" s="272">
        <f t="shared" si="29"/>
        <v>1700000</v>
      </c>
      <c r="T28" s="272">
        <f t="shared" si="29"/>
        <v>390197100</v>
      </c>
      <c r="U28" s="272">
        <f t="shared" si="29"/>
        <v>13613900</v>
      </c>
      <c r="V28" s="272">
        <f t="shared" si="29"/>
        <v>912000000</v>
      </c>
      <c r="W28" s="272">
        <f t="shared" si="29"/>
        <v>0</v>
      </c>
      <c r="X28" s="272">
        <f>SUM(X29:X44)</f>
        <v>912000000</v>
      </c>
      <c r="Y28" s="272">
        <f t="shared" ref="Y28:AF28" si="30">SUM(Y29:Y44)</f>
        <v>869338983</v>
      </c>
      <c r="Z28" s="272">
        <f t="shared" si="30"/>
        <v>42661017</v>
      </c>
      <c r="AA28" s="272">
        <f t="shared" si="30"/>
        <v>975000000</v>
      </c>
      <c r="AB28" s="272">
        <f t="shared" si="30"/>
        <v>48000000</v>
      </c>
      <c r="AC28" s="272">
        <f t="shared" si="30"/>
        <v>0</v>
      </c>
      <c r="AD28" s="272">
        <f t="shared" si="30"/>
        <v>0</v>
      </c>
      <c r="AE28" s="272">
        <f t="shared" si="30"/>
        <v>105661017</v>
      </c>
      <c r="AF28" s="272">
        <f t="shared" si="30"/>
        <v>5338983</v>
      </c>
      <c r="AG28" s="374">
        <f>SUM(AG29:AG44)</f>
        <v>476995200</v>
      </c>
      <c r="AH28" s="272">
        <f t="shared" ref="AH28:AM28" si="31">SUM(AH29:AH44)</f>
        <v>3000000</v>
      </c>
      <c r="AI28" s="272">
        <f t="shared" si="31"/>
        <v>3000000</v>
      </c>
      <c r="AJ28" s="272">
        <f t="shared" si="31"/>
        <v>0</v>
      </c>
      <c r="AK28" s="272">
        <f t="shared" si="31"/>
        <v>473995200</v>
      </c>
      <c r="AL28" s="272">
        <f t="shared" si="31"/>
        <v>451384183</v>
      </c>
      <c r="AM28" s="272">
        <f t="shared" si="31"/>
        <v>22611017</v>
      </c>
      <c r="AN28" s="206">
        <f t="shared" si="10"/>
        <v>46.777580662718485</v>
      </c>
      <c r="AO28" s="273">
        <f>SUM(AO29:AO44)</f>
        <v>0</v>
      </c>
      <c r="AP28" s="273">
        <f>SUM(AP29:AP44)</f>
        <v>0</v>
      </c>
      <c r="AT28" s="233"/>
      <c r="AU28" s="233"/>
      <c r="AV28" s="234"/>
      <c r="AW28" s="234"/>
      <c r="AX28" s="235"/>
    </row>
    <row r="29" spans="1:50" s="208" customFormat="1">
      <c r="A29" s="237" t="s">
        <v>195</v>
      </c>
      <c r="B29" s="236" t="s">
        <v>213</v>
      </c>
      <c r="C29" s="200">
        <f t="shared" si="5"/>
        <v>81000000</v>
      </c>
      <c r="D29" s="201">
        <f t="shared" si="6"/>
        <v>0</v>
      </c>
      <c r="E29" s="201">
        <f t="shared" si="15"/>
        <v>0</v>
      </c>
      <c r="F29" s="201">
        <f t="shared" si="15"/>
        <v>0</v>
      </c>
      <c r="G29" s="205"/>
      <c r="H29" s="205"/>
      <c r="I29" s="205"/>
      <c r="J29" s="205"/>
      <c r="K29" s="205"/>
      <c r="L29" s="205"/>
      <c r="M29" s="202">
        <f t="shared" ref="M29" si="32">SUM(N29:O29)</f>
        <v>0</v>
      </c>
      <c r="N29" s="202">
        <f>+P29+R29-T29</f>
        <v>0</v>
      </c>
      <c r="O29" s="202">
        <f t="shared" ref="O29:O44" si="33">+Q29+S29-U29</f>
        <v>0</v>
      </c>
      <c r="P29" s="205">
        <v>7550000</v>
      </c>
      <c r="Q29" s="205">
        <v>4600000</v>
      </c>
      <c r="R29" s="205"/>
      <c r="S29" s="205"/>
      <c r="T29" s="205">
        <v>7550000</v>
      </c>
      <c r="U29" s="205">
        <v>4600000</v>
      </c>
      <c r="V29" s="205">
        <f t="shared" ref="V29:V41" si="34">SUM(W29:X29)</f>
        <v>81000000</v>
      </c>
      <c r="W29" s="202"/>
      <c r="X29" s="204">
        <f>SUM(Y29:Z29)</f>
        <v>81000000</v>
      </c>
      <c r="Y29" s="204">
        <f>+AA29+AC29-AE29</f>
        <v>77338983</v>
      </c>
      <c r="Z29" s="204">
        <f>+AB29+AD29-AF29</f>
        <v>3661017</v>
      </c>
      <c r="AA29" s="202">
        <v>169000000</v>
      </c>
      <c r="AB29" s="202">
        <v>8000000</v>
      </c>
      <c r="AC29" s="202"/>
      <c r="AD29" s="202"/>
      <c r="AE29" s="202">
        <v>91661017</v>
      </c>
      <c r="AF29" s="202">
        <v>4338983</v>
      </c>
      <c r="AG29" s="340">
        <f t="shared" si="22"/>
        <v>80565000</v>
      </c>
      <c r="AH29" s="202"/>
      <c r="AI29" s="202"/>
      <c r="AJ29" s="202"/>
      <c r="AK29" s="340">
        <f>SUM(AL29:AM29)</f>
        <v>80565000</v>
      </c>
      <c r="AL29" s="340">
        <v>76953983</v>
      </c>
      <c r="AM29" s="340">
        <v>3611017</v>
      </c>
      <c r="AN29" s="206">
        <f t="shared" si="10"/>
        <v>99.462962962962962</v>
      </c>
      <c r="AO29" s="207"/>
      <c r="AP29" s="207"/>
      <c r="AT29" s="209"/>
      <c r="AU29" s="209"/>
      <c r="AV29" s="210"/>
      <c r="AW29" s="210"/>
      <c r="AX29" s="211"/>
    </row>
    <row r="30" spans="1:50" s="208" customFormat="1">
      <c r="A30" s="237" t="s">
        <v>195</v>
      </c>
      <c r="B30" s="236" t="s">
        <v>210</v>
      </c>
      <c r="C30" s="200">
        <f t="shared" si="5"/>
        <v>63000000</v>
      </c>
      <c r="D30" s="201">
        <f t="shared" si="6"/>
        <v>0</v>
      </c>
      <c r="E30" s="201">
        <f t="shared" si="15"/>
        <v>0</v>
      </c>
      <c r="F30" s="201">
        <f t="shared" si="15"/>
        <v>0</v>
      </c>
      <c r="G30" s="205"/>
      <c r="H30" s="205"/>
      <c r="I30" s="205"/>
      <c r="J30" s="205"/>
      <c r="K30" s="205"/>
      <c r="L30" s="205"/>
      <c r="M30" s="202">
        <f t="shared" ref="M30:M44" si="35">SUM(N30:O30)</f>
        <v>0</v>
      </c>
      <c r="N30" s="202">
        <f t="shared" ref="N30:N44" si="36">+P30+R30-T30</f>
        <v>0</v>
      </c>
      <c r="O30" s="202">
        <f t="shared" si="33"/>
        <v>0</v>
      </c>
      <c r="P30" s="205">
        <v>145092000</v>
      </c>
      <c r="Q30" s="205"/>
      <c r="R30" s="205"/>
      <c r="S30" s="205"/>
      <c r="T30" s="205">
        <v>145092000</v>
      </c>
      <c r="U30" s="205"/>
      <c r="V30" s="205">
        <f t="shared" si="34"/>
        <v>63000000</v>
      </c>
      <c r="W30" s="202"/>
      <c r="X30" s="204">
        <f>SUM(Y30:Z30)</f>
        <v>63000000</v>
      </c>
      <c r="Y30" s="204">
        <f>+AA30+AC30-AE30</f>
        <v>60000000</v>
      </c>
      <c r="Z30" s="204">
        <f>+AB30+AD30-AF30</f>
        <v>3000000</v>
      </c>
      <c r="AA30" s="202">
        <v>74000000</v>
      </c>
      <c r="AB30" s="202">
        <v>4000000</v>
      </c>
      <c r="AC30" s="202"/>
      <c r="AD30" s="202"/>
      <c r="AE30" s="202">
        <v>14000000</v>
      </c>
      <c r="AF30" s="202">
        <v>1000000</v>
      </c>
      <c r="AG30" s="340">
        <f t="shared" si="22"/>
        <v>63000000</v>
      </c>
      <c r="AH30" s="202"/>
      <c r="AI30" s="202"/>
      <c r="AJ30" s="202"/>
      <c r="AK30" s="340">
        <f>SUM(AL30:AM30)</f>
        <v>63000000</v>
      </c>
      <c r="AL30" s="340">
        <v>60000000</v>
      </c>
      <c r="AM30" s="340">
        <v>3000000</v>
      </c>
      <c r="AN30" s="206">
        <f t="shared" si="10"/>
        <v>100</v>
      </c>
      <c r="AO30" s="207"/>
      <c r="AP30" s="207"/>
      <c r="AT30" s="209"/>
      <c r="AU30" s="209"/>
      <c r="AV30" s="210"/>
      <c r="AW30" s="210"/>
      <c r="AX30" s="211"/>
    </row>
    <row r="31" spans="1:50" s="208" customFormat="1">
      <c r="A31" s="237" t="s">
        <v>195</v>
      </c>
      <c r="B31" s="274" t="s">
        <v>156</v>
      </c>
      <c r="C31" s="200">
        <f t="shared" si="5"/>
        <v>0</v>
      </c>
      <c r="D31" s="201">
        <f t="shared" si="6"/>
        <v>0</v>
      </c>
      <c r="E31" s="201">
        <f t="shared" si="15"/>
        <v>0</v>
      </c>
      <c r="F31" s="201">
        <f t="shared" si="15"/>
        <v>0</v>
      </c>
      <c r="G31" s="205"/>
      <c r="H31" s="205"/>
      <c r="I31" s="205"/>
      <c r="J31" s="205"/>
      <c r="K31" s="205"/>
      <c r="L31" s="205"/>
      <c r="M31" s="202">
        <f t="shared" si="35"/>
        <v>0</v>
      </c>
      <c r="N31" s="202">
        <f t="shared" si="36"/>
        <v>0</v>
      </c>
      <c r="O31" s="202">
        <f t="shared" si="33"/>
        <v>0</v>
      </c>
      <c r="P31" s="205"/>
      <c r="Q31" s="205"/>
      <c r="R31" s="205"/>
      <c r="S31" s="205"/>
      <c r="T31" s="205"/>
      <c r="U31" s="205"/>
      <c r="V31" s="205">
        <f t="shared" si="34"/>
        <v>0</v>
      </c>
      <c r="W31" s="202"/>
      <c r="X31" s="204">
        <f t="shared" ref="X31:X42" si="37">SUM(Y31:Z31)</f>
        <v>0</v>
      </c>
      <c r="Y31" s="204">
        <f t="shared" ref="Y31:Z42" si="38">+AA31+AC31-AE31</f>
        <v>0</v>
      </c>
      <c r="Z31" s="204">
        <f t="shared" si="38"/>
        <v>0</v>
      </c>
      <c r="AA31" s="202"/>
      <c r="AB31" s="202"/>
      <c r="AC31" s="202"/>
      <c r="AD31" s="202"/>
      <c r="AE31" s="202"/>
      <c r="AF31" s="202"/>
      <c r="AG31" s="340">
        <f t="shared" si="22"/>
        <v>0</v>
      </c>
      <c r="AH31" s="202"/>
      <c r="AI31" s="202"/>
      <c r="AJ31" s="202"/>
      <c r="AK31" s="202">
        <f t="shared" ref="AK31:AK43" si="39">SUM(AL31:AM31)</f>
        <v>0</v>
      </c>
      <c r="AL31" s="202"/>
      <c r="AM31" s="202"/>
      <c r="AN31" s="206"/>
      <c r="AO31" s="207"/>
      <c r="AP31" s="207"/>
      <c r="AT31" s="209"/>
      <c r="AU31" s="209"/>
      <c r="AV31" s="210"/>
      <c r="AW31" s="210"/>
      <c r="AX31" s="211"/>
    </row>
    <row r="32" spans="1:50" s="208" customFormat="1">
      <c r="A32" s="237" t="s">
        <v>195</v>
      </c>
      <c r="B32" s="274" t="s">
        <v>157</v>
      </c>
      <c r="C32" s="200">
        <f t="shared" si="5"/>
        <v>0</v>
      </c>
      <c r="D32" s="201">
        <f t="shared" si="6"/>
        <v>0</v>
      </c>
      <c r="E32" s="201">
        <f t="shared" si="15"/>
        <v>0</v>
      </c>
      <c r="F32" s="201">
        <f t="shared" si="15"/>
        <v>0</v>
      </c>
      <c r="G32" s="205"/>
      <c r="H32" s="205"/>
      <c r="I32" s="205"/>
      <c r="J32" s="205"/>
      <c r="K32" s="205"/>
      <c r="L32" s="205"/>
      <c r="M32" s="202">
        <f t="shared" si="35"/>
        <v>0</v>
      </c>
      <c r="N32" s="202">
        <f t="shared" si="36"/>
        <v>0</v>
      </c>
      <c r="O32" s="202">
        <f t="shared" si="33"/>
        <v>0</v>
      </c>
      <c r="P32" s="205">
        <v>19933000</v>
      </c>
      <c r="Q32" s="205"/>
      <c r="R32" s="205"/>
      <c r="S32" s="205"/>
      <c r="T32" s="205">
        <v>19933000</v>
      </c>
      <c r="U32" s="205"/>
      <c r="V32" s="205">
        <f t="shared" si="34"/>
        <v>0</v>
      </c>
      <c r="W32" s="202"/>
      <c r="X32" s="204">
        <f t="shared" si="37"/>
        <v>0</v>
      </c>
      <c r="Y32" s="204">
        <f t="shared" si="38"/>
        <v>0</v>
      </c>
      <c r="Z32" s="204">
        <f t="shared" si="38"/>
        <v>0</v>
      </c>
      <c r="AA32" s="202"/>
      <c r="AB32" s="202"/>
      <c r="AC32" s="202"/>
      <c r="AD32" s="202"/>
      <c r="AE32" s="202"/>
      <c r="AF32" s="202"/>
      <c r="AG32" s="340">
        <f t="shared" si="22"/>
        <v>0</v>
      </c>
      <c r="AH32" s="202"/>
      <c r="AI32" s="202"/>
      <c r="AJ32" s="202"/>
      <c r="AK32" s="202">
        <f t="shared" si="39"/>
        <v>0</v>
      </c>
      <c r="AL32" s="202"/>
      <c r="AM32" s="202"/>
      <c r="AN32" s="206"/>
      <c r="AO32" s="207"/>
      <c r="AP32" s="207"/>
      <c r="AT32" s="209"/>
      <c r="AU32" s="209"/>
      <c r="AV32" s="210"/>
      <c r="AW32" s="210"/>
      <c r="AX32" s="211"/>
    </row>
    <row r="33" spans="1:50" s="208" customFormat="1">
      <c r="A33" s="237" t="s">
        <v>195</v>
      </c>
      <c r="B33" s="236" t="s">
        <v>199</v>
      </c>
      <c r="C33" s="200">
        <f t="shared" si="5"/>
        <v>96000000</v>
      </c>
      <c r="D33" s="201">
        <f t="shared" si="6"/>
        <v>0</v>
      </c>
      <c r="E33" s="201">
        <f t="shared" ref="E33:F96" si="40">+G33+I33-K33</f>
        <v>0</v>
      </c>
      <c r="F33" s="201">
        <f t="shared" si="40"/>
        <v>0</v>
      </c>
      <c r="G33" s="205"/>
      <c r="H33" s="205"/>
      <c r="I33" s="205"/>
      <c r="J33" s="205"/>
      <c r="K33" s="205"/>
      <c r="L33" s="205"/>
      <c r="M33" s="202">
        <f t="shared" si="35"/>
        <v>0</v>
      </c>
      <c r="N33" s="202">
        <f t="shared" si="36"/>
        <v>0</v>
      </c>
      <c r="O33" s="202">
        <f t="shared" si="33"/>
        <v>0</v>
      </c>
      <c r="P33" s="205">
        <v>6064000</v>
      </c>
      <c r="Q33" s="205"/>
      <c r="R33" s="205"/>
      <c r="S33" s="205"/>
      <c r="T33" s="205">
        <v>6064000</v>
      </c>
      <c r="U33" s="205"/>
      <c r="V33" s="205">
        <f t="shared" si="34"/>
        <v>96000000</v>
      </c>
      <c r="W33" s="202"/>
      <c r="X33" s="204">
        <f t="shared" si="37"/>
        <v>96000000</v>
      </c>
      <c r="Y33" s="204">
        <f t="shared" si="38"/>
        <v>92000000</v>
      </c>
      <c r="Z33" s="204">
        <f t="shared" si="38"/>
        <v>4000000</v>
      </c>
      <c r="AA33" s="202">
        <v>92000000</v>
      </c>
      <c r="AB33" s="202">
        <v>4000000</v>
      </c>
      <c r="AC33" s="202"/>
      <c r="AD33" s="202"/>
      <c r="AE33" s="202"/>
      <c r="AF33" s="202"/>
      <c r="AG33" s="340">
        <f t="shared" si="22"/>
        <v>95905000</v>
      </c>
      <c r="AH33" s="202"/>
      <c r="AI33" s="202"/>
      <c r="AJ33" s="202"/>
      <c r="AK33" s="340">
        <f t="shared" si="39"/>
        <v>95905000</v>
      </c>
      <c r="AL33" s="340">
        <v>91905000</v>
      </c>
      <c r="AM33" s="340">
        <v>4000000</v>
      </c>
      <c r="AN33" s="206">
        <f t="shared" si="10"/>
        <v>99.901041666666671</v>
      </c>
      <c r="AO33" s="207"/>
      <c r="AP33" s="207"/>
      <c r="AT33" s="209"/>
      <c r="AU33" s="209"/>
      <c r="AV33" s="210"/>
      <c r="AW33" s="210"/>
      <c r="AX33" s="211"/>
    </row>
    <row r="34" spans="1:50" s="208" customFormat="1">
      <c r="A34" s="237" t="s">
        <v>195</v>
      </c>
      <c r="B34" s="274" t="s">
        <v>153</v>
      </c>
      <c r="C34" s="200">
        <f t="shared" si="5"/>
        <v>28600000</v>
      </c>
      <c r="D34" s="201">
        <f t="shared" si="6"/>
        <v>6860000</v>
      </c>
      <c r="E34" s="201">
        <f t="shared" si="40"/>
        <v>6860000</v>
      </c>
      <c r="F34" s="201">
        <f t="shared" si="40"/>
        <v>0</v>
      </c>
      <c r="G34" s="205">
        <v>5860000</v>
      </c>
      <c r="H34" s="205"/>
      <c r="I34" s="202">
        <v>1000000</v>
      </c>
      <c r="J34" s="205"/>
      <c r="K34" s="205"/>
      <c r="L34" s="205"/>
      <c r="M34" s="202">
        <f t="shared" si="35"/>
        <v>21740000</v>
      </c>
      <c r="N34" s="202">
        <f t="shared" si="36"/>
        <v>20100000</v>
      </c>
      <c r="O34" s="202">
        <f t="shared" si="33"/>
        <v>1640000</v>
      </c>
      <c r="P34" s="205"/>
      <c r="Q34" s="205">
        <v>540000</v>
      </c>
      <c r="R34" s="205">
        <v>20100000</v>
      </c>
      <c r="S34" s="205">
        <v>1100000</v>
      </c>
      <c r="T34" s="205"/>
      <c r="U34" s="205"/>
      <c r="V34" s="205">
        <f t="shared" si="34"/>
        <v>0</v>
      </c>
      <c r="W34" s="202"/>
      <c r="X34" s="204">
        <f t="shared" si="37"/>
        <v>0</v>
      </c>
      <c r="Y34" s="204">
        <f t="shared" si="38"/>
        <v>0</v>
      </c>
      <c r="Z34" s="204">
        <f t="shared" si="38"/>
        <v>0</v>
      </c>
      <c r="AA34" s="202"/>
      <c r="AB34" s="202"/>
      <c r="AC34" s="202"/>
      <c r="AD34" s="202"/>
      <c r="AE34" s="202"/>
      <c r="AF34" s="202"/>
      <c r="AG34" s="340">
        <f t="shared" si="22"/>
        <v>0</v>
      </c>
      <c r="AH34" s="202"/>
      <c r="AI34" s="202"/>
      <c r="AJ34" s="202"/>
      <c r="AK34" s="202">
        <f t="shared" si="39"/>
        <v>0</v>
      </c>
      <c r="AL34" s="202"/>
      <c r="AM34" s="202"/>
      <c r="AN34" s="206">
        <f t="shared" si="10"/>
        <v>0</v>
      </c>
      <c r="AO34" s="207"/>
      <c r="AP34" s="207"/>
      <c r="AT34" s="209"/>
      <c r="AU34" s="209"/>
      <c r="AV34" s="210"/>
      <c r="AW34" s="210"/>
      <c r="AX34" s="211"/>
    </row>
    <row r="35" spans="1:50" s="208" customFormat="1">
      <c r="A35" s="237" t="s">
        <v>195</v>
      </c>
      <c r="B35" s="274" t="s">
        <v>159</v>
      </c>
      <c r="C35" s="200">
        <f t="shared" si="5"/>
        <v>17130000</v>
      </c>
      <c r="D35" s="201">
        <f t="shared" si="6"/>
        <v>0</v>
      </c>
      <c r="E35" s="201">
        <f t="shared" si="40"/>
        <v>0</v>
      </c>
      <c r="F35" s="201">
        <f t="shared" si="40"/>
        <v>0</v>
      </c>
      <c r="G35" s="205"/>
      <c r="H35" s="205"/>
      <c r="I35" s="205"/>
      <c r="J35" s="205"/>
      <c r="K35" s="205"/>
      <c r="L35" s="205"/>
      <c r="M35" s="202">
        <f t="shared" si="35"/>
        <v>17130000</v>
      </c>
      <c r="N35" s="202">
        <f t="shared" si="36"/>
        <v>15653500</v>
      </c>
      <c r="O35" s="202">
        <f t="shared" si="33"/>
        <v>1476500</v>
      </c>
      <c r="P35" s="205">
        <v>15653500</v>
      </c>
      <c r="Q35" s="205">
        <v>1476500</v>
      </c>
      <c r="R35" s="205"/>
      <c r="S35" s="205"/>
      <c r="T35" s="205"/>
      <c r="U35" s="205"/>
      <c r="V35" s="205">
        <f t="shared" si="34"/>
        <v>0</v>
      </c>
      <c r="W35" s="202"/>
      <c r="X35" s="204">
        <f t="shared" si="37"/>
        <v>0</v>
      </c>
      <c r="Y35" s="204">
        <f t="shared" si="38"/>
        <v>0</v>
      </c>
      <c r="Z35" s="204">
        <f t="shared" si="38"/>
        <v>0</v>
      </c>
      <c r="AA35" s="202"/>
      <c r="AB35" s="202"/>
      <c r="AC35" s="202"/>
      <c r="AD35" s="202"/>
      <c r="AE35" s="202"/>
      <c r="AF35" s="202"/>
      <c r="AG35" s="340">
        <f t="shared" si="22"/>
        <v>0</v>
      </c>
      <c r="AH35" s="202"/>
      <c r="AI35" s="202"/>
      <c r="AJ35" s="202"/>
      <c r="AK35" s="202">
        <f t="shared" si="39"/>
        <v>0</v>
      </c>
      <c r="AL35" s="202"/>
      <c r="AM35" s="202"/>
      <c r="AN35" s="206">
        <f t="shared" si="10"/>
        <v>0</v>
      </c>
      <c r="AO35" s="207"/>
      <c r="AP35" s="207"/>
      <c r="AT35" s="209"/>
      <c r="AU35" s="209"/>
      <c r="AV35" s="210"/>
      <c r="AW35" s="210"/>
      <c r="AX35" s="211"/>
    </row>
    <row r="36" spans="1:50" s="208" customFormat="1">
      <c r="A36" s="237" t="s">
        <v>195</v>
      </c>
      <c r="B36" s="236" t="s">
        <v>207</v>
      </c>
      <c r="C36" s="200">
        <f t="shared" si="5"/>
        <v>204000000</v>
      </c>
      <c r="D36" s="201">
        <f t="shared" si="6"/>
        <v>0</v>
      </c>
      <c r="E36" s="201">
        <f t="shared" si="40"/>
        <v>0</v>
      </c>
      <c r="F36" s="201">
        <f t="shared" si="40"/>
        <v>0</v>
      </c>
      <c r="G36" s="205"/>
      <c r="H36" s="205"/>
      <c r="I36" s="205"/>
      <c r="J36" s="205"/>
      <c r="K36" s="205"/>
      <c r="L36" s="205"/>
      <c r="M36" s="202">
        <f t="shared" si="35"/>
        <v>0</v>
      </c>
      <c r="N36" s="202">
        <f t="shared" si="36"/>
        <v>0</v>
      </c>
      <c r="O36" s="202">
        <f t="shared" si="33"/>
        <v>0</v>
      </c>
      <c r="P36" s="205">
        <v>3600000</v>
      </c>
      <c r="Q36" s="205"/>
      <c r="R36" s="205"/>
      <c r="S36" s="205"/>
      <c r="T36" s="205">
        <v>3600000</v>
      </c>
      <c r="U36" s="205"/>
      <c r="V36" s="205">
        <f t="shared" si="34"/>
        <v>204000000</v>
      </c>
      <c r="W36" s="202"/>
      <c r="X36" s="204">
        <f t="shared" si="37"/>
        <v>204000000</v>
      </c>
      <c r="Y36" s="204">
        <f t="shared" si="38"/>
        <v>195000000</v>
      </c>
      <c r="Z36" s="204">
        <f t="shared" si="38"/>
        <v>9000000</v>
      </c>
      <c r="AA36" s="202">
        <v>195000000</v>
      </c>
      <c r="AB36" s="202">
        <v>9000000</v>
      </c>
      <c r="AC36" s="202"/>
      <c r="AD36" s="202"/>
      <c r="AE36" s="202"/>
      <c r="AF36" s="202"/>
      <c r="AG36" s="340">
        <f t="shared" si="22"/>
        <v>0</v>
      </c>
      <c r="AH36" s="202"/>
      <c r="AI36" s="202"/>
      <c r="AJ36" s="202"/>
      <c r="AK36" s="202">
        <f t="shared" si="39"/>
        <v>0</v>
      </c>
      <c r="AL36" s="202"/>
      <c r="AM36" s="202"/>
      <c r="AN36" s="206">
        <f t="shared" si="10"/>
        <v>0</v>
      </c>
      <c r="AO36" s="207"/>
      <c r="AP36" s="207"/>
      <c r="AT36" s="209"/>
      <c r="AU36" s="209"/>
      <c r="AV36" s="210"/>
      <c r="AW36" s="210"/>
      <c r="AX36" s="211"/>
    </row>
    <row r="37" spans="1:50" s="208" customFormat="1">
      <c r="A37" s="237" t="s">
        <v>195</v>
      </c>
      <c r="B37" s="274" t="s">
        <v>160</v>
      </c>
      <c r="C37" s="200">
        <f t="shared" si="5"/>
        <v>0</v>
      </c>
      <c r="D37" s="201">
        <f t="shared" si="6"/>
        <v>0</v>
      </c>
      <c r="E37" s="201">
        <f t="shared" si="40"/>
        <v>0</v>
      </c>
      <c r="F37" s="201">
        <f t="shared" si="40"/>
        <v>0</v>
      </c>
      <c r="G37" s="205"/>
      <c r="H37" s="205"/>
      <c r="I37" s="205"/>
      <c r="J37" s="205"/>
      <c r="K37" s="205"/>
      <c r="L37" s="205"/>
      <c r="M37" s="202">
        <f t="shared" si="35"/>
        <v>0</v>
      </c>
      <c r="N37" s="202">
        <f t="shared" si="36"/>
        <v>0</v>
      </c>
      <c r="O37" s="202">
        <f t="shared" si="33"/>
        <v>0</v>
      </c>
      <c r="P37" s="205">
        <v>10636100</v>
      </c>
      <c r="Q37" s="205">
        <v>401900</v>
      </c>
      <c r="R37" s="205"/>
      <c r="S37" s="205"/>
      <c r="T37" s="205">
        <v>10636100</v>
      </c>
      <c r="U37" s="205">
        <v>401900</v>
      </c>
      <c r="V37" s="205">
        <f t="shared" si="34"/>
        <v>0</v>
      </c>
      <c r="W37" s="202"/>
      <c r="X37" s="204">
        <f t="shared" si="37"/>
        <v>0</v>
      </c>
      <c r="Y37" s="204">
        <f t="shared" si="38"/>
        <v>0</v>
      </c>
      <c r="Z37" s="204">
        <f t="shared" si="38"/>
        <v>0</v>
      </c>
      <c r="AA37" s="202"/>
      <c r="AB37" s="202"/>
      <c r="AC37" s="202"/>
      <c r="AD37" s="202"/>
      <c r="AE37" s="202"/>
      <c r="AF37" s="202"/>
      <c r="AG37" s="340">
        <f t="shared" si="22"/>
        <v>0</v>
      </c>
      <c r="AH37" s="202"/>
      <c r="AI37" s="202"/>
      <c r="AJ37" s="202"/>
      <c r="AK37" s="202">
        <f t="shared" si="39"/>
        <v>0</v>
      </c>
      <c r="AL37" s="202"/>
      <c r="AM37" s="202"/>
      <c r="AN37" s="206"/>
      <c r="AO37" s="207"/>
      <c r="AP37" s="207"/>
      <c r="AT37" s="209"/>
      <c r="AU37" s="209"/>
      <c r="AV37" s="210"/>
      <c r="AW37" s="210"/>
      <c r="AX37" s="211"/>
    </row>
    <row r="38" spans="1:50" s="208" customFormat="1">
      <c r="A38" s="237" t="s">
        <v>195</v>
      </c>
      <c r="B38" s="236" t="s">
        <v>203</v>
      </c>
      <c r="C38" s="200">
        <f t="shared" si="5"/>
        <v>273979000</v>
      </c>
      <c r="D38" s="201">
        <f t="shared" si="6"/>
        <v>0</v>
      </c>
      <c r="E38" s="201">
        <f t="shared" si="40"/>
        <v>0</v>
      </c>
      <c r="F38" s="201">
        <f t="shared" si="40"/>
        <v>0</v>
      </c>
      <c r="G38" s="205"/>
      <c r="H38" s="205"/>
      <c r="I38" s="205"/>
      <c r="J38" s="205"/>
      <c r="K38" s="205"/>
      <c r="L38" s="205"/>
      <c r="M38" s="202">
        <f t="shared" si="35"/>
        <v>45979000</v>
      </c>
      <c r="N38" s="202">
        <f t="shared" si="36"/>
        <v>45379000</v>
      </c>
      <c r="O38" s="202">
        <f t="shared" si="33"/>
        <v>600000</v>
      </c>
      <c r="P38" s="205">
        <v>7629000</v>
      </c>
      <c r="Q38" s="205"/>
      <c r="R38" s="205">
        <v>37750000</v>
      </c>
      <c r="S38" s="205">
        <v>600000</v>
      </c>
      <c r="T38" s="205"/>
      <c r="U38" s="205"/>
      <c r="V38" s="205">
        <f t="shared" si="34"/>
        <v>228000000</v>
      </c>
      <c r="W38" s="202"/>
      <c r="X38" s="204">
        <f t="shared" si="37"/>
        <v>228000000</v>
      </c>
      <c r="Y38" s="204">
        <f t="shared" si="38"/>
        <v>217000000</v>
      </c>
      <c r="Z38" s="204">
        <f t="shared" si="38"/>
        <v>11000000</v>
      </c>
      <c r="AA38" s="202">
        <v>217000000</v>
      </c>
      <c r="AB38" s="202">
        <v>11000000</v>
      </c>
      <c r="AC38" s="202"/>
      <c r="AD38" s="202"/>
      <c r="AE38" s="202"/>
      <c r="AF38" s="202"/>
      <c r="AG38" s="340">
        <f t="shared" si="22"/>
        <v>5200000</v>
      </c>
      <c r="AH38" s="202"/>
      <c r="AI38" s="202"/>
      <c r="AJ38" s="202"/>
      <c r="AK38" s="340">
        <f t="shared" si="39"/>
        <v>5200000</v>
      </c>
      <c r="AL38" s="340">
        <v>5200000</v>
      </c>
      <c r="AM38" s="340"/>
      <c r="AN38" s="206">
        <f t="shared" si="10"/>
        <v>1.8979556827348081</v>
      </c>
      <c r="AO38" s="207"/>
      <c r="AP38" s="207"/>
      <c r="AT38" s="209"/>
      <c r="AU38" s="209"/>
      <c r="AV38" s="210"/>
      <c r="AW38" s="210"/>
      <c r="AX38" s="211"/>
    </row>
    <row r="39" spans="1:50" s="208" customFormat="1">
      <c r="A39" s="237" t="s">
        <v>195</v>
      </c>
      <c r="B39" s="236" t="s">
        <v>208</v>
      </c>
      <c r="C39" s="200">
        <f t="shared" si="5"/>
        <v>45000000</v>
      </c>
      <c r="D39" s="201">
        <f t="shared" si="6"/>
        <v>0</v>
      </c>
      <c r="E39" s="201">
        <f t="shared" si="40"/>
        <v>0</v>
      </c>
      <c r="F39" s="201">
        <f t="shared" si="40"/>
        <v>0</v>
      </c>
      <c r="G39" s="205"/>
      <c r="H39" s="205"/>
      <c r="I39" s="205"/>
      <c r="J39" s="205"/>
      <c r="K39" s="205"/>
      <c r="L39" s="205"/>
      <c r="M39" s="202">
        <f>SUM(N39:O39)</f>
        <v>12000000</v>
      </c>
      <c r="N39" s="202">
        <f>+P39+R39-T39</f>
        <v>12000000</v>
      </c>
      <c r="O39" s="202">
        <f t="shared" si="33"/>
        <v>0</v>
      </c>
      <c r="P39" s="205">
        <v>1000000</v>
      </c>
      <c r="Q39" s="205"/>
      <c r="R39" s="205">
        <v>12000000</v>
      </c>
      <c r="S39" s="205"/>
      <c r="T39" s="205">
        <v>1000000</v>
      </c>
      <c r="U39" s="205"/>
      <c r="V39" s="205">
        <f t="shared" si="34"/>
        <v>33000000</v>
      </c>
      <c r="W39" s="202"/>
      <c r="X39" s="204">
        <f t="shared" si="37"/>
        <v>33000000</v>
      </c>
      <c r="Y39" s="204">
        <f t="shared" si="38"/>
        <v>31000000</v>
      </c>
      <c r="Z39" s="204">
        <f t="shared" si="38"/>
        <v>2000000</v>
      </c>
      <c r="AA39" s="202">
        <v>31000000</v>
      </c>
      <c r="AB39" s="202">
        <v>2000000</v>
      </c>
      <c r="AC39" s="202"/>
      <c r="AD39" s="202"/>
      <c r="AE39" s="202"/>
      <c r="AF39" s="202"/>
      <c r="AG39" s="340">
        <f t="shared" si="22"/>
        <v>32240000</v>
      </c>
      <c r="AH39" s="202"/>
      <c r="AI39" s="202"/>
      <c r="AJ39" s="202"/>
      <c r="AK39" s="340">
        <f t="shared" si="39"/>
        <v>32240000</v>
      </c>
      <c r="AL39" s="340">
        <v>30240000</v>
      </c>
      <c r="AM39" s="340">
        <v>2000000</v>
      </c>
      <c r="AN39" s="206">
        <f t="shared" si="10"/>
        <v>71.644444444444446</v>
      </c>
      <c r="AO39" s="207"/>
      <c r="AP39" s="207"/>
      <c r="AT39" s="209"/>
      <c r="AU39" s="209"/>
      <c r="AV39" s="210"/>
      <c r="AW39" s="210"/>
      <c r="AX39" s="211"/>
    </row>
    <row r="40" spans="1:50" s="208" customFormat="1">
      <c r="A40" s="237" t="s">
        <v>195</v>
      </c>
      <c r="B40" s="236" t="s">
        <v>204</v>
      </c>
      <c r="C40" s="200">
        <f t="shared" si="5"/>
        <v>33000000</v>
      </c>
      <c r="D40" s="201">
        <f t="shared" si="6"/>
        <v>0</v>
      </c>
      <c r="E40" s="201">
        <f t="shared" si="40"/>
        <v>0</v>
      </c>
      <c r="F40" s="201">
        <f t="shared" si="40"/>
        <v>0</v>
      </c>
      <c r="G40" s="205"/>
      <c r="H40" s="205"/>
      <c r="I40" s="205"/>
      <c r="J40" s="205"/>
      <c r="K40" s="205"/>
      <c r="L40" s="205"/>
      <c r="M40" s="202">
        <f t="shared" si="35"/>
        <v>0</v>
      </c>
      <c r="N40" s="202">
        <f t="shared" si="36"/>
        <v>0</v>
      </c>
      <c r="O40" s="202">
        <f t="shared" si="33"/>
        <v>0</v>
      </c>
      <c r="P40" s="205">
        <v>6080000</v>
      </c>
      <c r="Q40" s="205"/>
      <c r="R40" s="205"/>
      <c r="S40" s="205"/>
      <c r="T40" s="205">
        <v>6080000</v>
      </c>
      <c r="U40" s="205"/>
      <c r="V40" s="205">
        <f t="shared" si="34"/>
        <v>33000000</v>
      </c>
      <c r="W40" s="202"/>
      <c r="X40" s="204">
        <f t="shared" si="37"/>
        <v>33000000</v>
      </c>
      <c r="Y40" s="204">
        <f t="shared" si="38"/>
        <v>31000000</v>
      </c>
      <c r="Z40" s="204">
        <f t="shared" si="38"/>
        <v>2000000</v>
      </c>
      <c r="AA40" s="202">
        <v>31000000</v>
      </c>
      <c r="AB40" s="202">
        <v>2000000</v>
      </c>
      <c r="AC40" s="202"/>
      <c r="AD40" s="202"/>
      <c r="AE40" s="202"/>
      <c r="AF40" s="202"/>
      <c r="AG40" s="340">
        <f t="shared" si="22"/>
        <v>23200000</v>
      </c>
      <c r="AH40" s="202"/>
      <c r="AI40" s="202"/>
      <c r="AJ40" s="202"/>
      <c r="AK40" s="340">
        <f t="shared" si="39"/>
        <v>23200000</v>
      </c>
      <c r="AL40" s="340">
        <v>21200000</v>
      </c>
      <c r="AM40" s="340">
        <v>2000000</v>
      </c>
      <c r="AN40" s="206">
        <f t="shared" si="10"/>
        <v>70.303030303030297</v>
      </c>
      <c r="AO40" s="207"/>
      <c r="AP40" s="207"/>
      <c r="AT40" s="209"/>
      <c r="AU40" s="209"/>
      <c r="AV40" s="210"/>
      <c r="AW40" s="210"/>
      <c r="AX40" s="211"/>
    </row>
    <row r="41" spans="1:50" s="208" customFormat="1">
      <c r="A41" s="237" t="s">
        <v>195</v>
      </c>
      <c r="B41" s="236" t="s">
        <v>212</v>
      </c>
      <c r="C41" s="200">
        <f t="shared" si="5"/>
        <v>82000000</v>
      </c>
      <c r="D41" s="201">
        <f t="shared" si="6"/>
        <v>0</v>
      </c>
      <c r="E41" s="201">
        <f t="shared" si="40"/>
        <v>0</v>
      </c>
      <c r="F41" s="201">
        <f t="shared" si="40"/>
        <v>0</v>
      </c>
      <c r="G41" s="205"/>
      <c r="H41" s="205"/>
      <c r="I41" s="205"/>
      <c r="J41" s="205"/>
      <c r="K41" s="205"/>
      <c r="L41" s="205"/>
      <c r="M41" s="202">
        <f>SUM(N41:O41)</f>
        <v>4000000</v>
      </c>
      <c r="N41" s="202">
        <f>+P41+R41-T41</f>
        <v>4000000</v>
      </c>
      <c r="O41" s="202">
        <f t="shared" si="33"/>
        <v>0</v>
      </c>
      <c r="P41" s="205">
        <v>4000000</v>
      </c>
      <c r="Q41" s="205"/>
      <c r="R41" s="205"/>
      <c r="S41" s="205"/>
      <c r="T41" s="205"/>
      <c r="U41" s="205"/>
      <c r="V41" s="205">
        <f t="shared" si="34"/>
        <v>78000000</v>
      </c>
      <c r="W41" s="202"/>
      <c r="X41" s="204">
        <f t="shared" si="37"/>
        <v>78000000</v>
      </c>
      <c r="Y41" s="204">
        <f t="shared" si="38"/>
        <v>74000000</v>
      </c>
      <c r="Z41" s="204">
        <f t="shared" si="38"/>
        <v>4000000</v>
      </c>
      <c r="AA41" s="202">
        <v>74000000</v>
      </c>
      <c r="AB41" s="202">
        <v>4000000</v>
      </c>
      <c r="AC41" s="202"/>
      <c r="AD41" s="202"/>
      <c r="AE41" s="202"/>
      <c r="AF41" s="202"/>
      <c r="AG41" s="340">
        <f t="shared" si="22"/>
        <v>81000000</v>
      </c>
      <c r="AH41" s="202">
        <f>SUM(AI41:AJ41)</f>
        <v>3000000</v>
      </c>
      <c r="AI41" s="202">
        <v>3000000</v>
      </c>
      <c r="AJ41" s="202"/>
      <c r="AK41" s="340">
        <f t="shared" si="39"/>
        <v>78000000</v>
      </c>
      <c r="AL41" s="340">
        <v>74000000</v>
      </c>
      <c r="AM41" s="340">
        <v>4000000</v>
      </c>
      <c r="AN41" s="206">
        <f t="shared" si="10"/>
        <v>98.780487804878049</v>
      </c>
      <c r="AO41" s="207"/>
      <c r="AP41" s="207"/>
      <c r="AT41" s="209"/>
      <c r="AU41" s="209"/>
      <c r="AV41" s="210"/>
      <c r="AW41" s="210"/>
      <c r="AX41" s="211"/>
    </row>
    <row r="42" spans="1:50" s="208" customFormat="1">
      <c r="A42" s="237" t="s">
        <v>195</v>
      </c>
      <c r="B42" s="236" t="s">
        <v>209</v>
      </c>
      <c r="C42" s="200">
        <f t="shared" si="5"/>
        <v>96000000</v>
      </c>
      <c r="D42" s="201">
        <f t="shared" si="6"/>
        <v>0</v>
      </c>
      <c r="E42" s="201">
        <f t="shared" si="40"/>
        <v>0</v>
      </c>
      <c r="F42" s="201">
        <f t="shared" si="40"/>
        <v>0</v>
      </c>
      <c r="G42" s="205"/>
      <c r="H42" s="205"/>
      <c r="I42" s="205"/>
      <c r="J42" s="205"/>
      <c r="K42" s="205"/>
      <c r="L42" s="205"/>
      <c r="M42" s="202">
        <f>SUM(N42:O42)</f>
        <v>0</v>
      </c>
      <c r="N42" s="202">
        <f t="shared" si="36"/>
        <v>0</v>
      </c>
      <c r="O42" s="202">
        <f t="shared" si="33"/>
        <v>0</v>
      </c>
      <c r="P42" s="205">
        <v>7800000</v>
      </c>
      <c r="Q42" s="205">
        <v>150000</v>
      </c>
      <c r="R42" s="205"/>
      <c r="S42" s="205"/>
      <c r="T42" s="205">
        <v>7800000</v>
      </c>
      <c r="U42" s="205">
        <v>150000</v>
      </c>
      <c r="V42" s="205">
        <f>SUM(W42:X42)</f>
        <v>96000000</v>
      </c>
      <c r="W42" s="202"/>
      <c r="X42" s="204">
        <f t="shared" si="37"/>
        <v>96000000</v>
      </c>
      <c r="Y42" s="204">
        <f t="shared" si="38"/>
        <v>92000000</v>
      </c>
      <c r="Z42" s="204">
        <f t="shared" si="38"/>
        <v>4000000</v>
      </c>
      <c r="AA42" s="202">
        <v>92000000</v>
      </c>
      <c r="AB42" s="202">
        <v>4000000</v>
      </c>
      <c r="AC42" s="202"/>
      <c r="AD42" s="202"/>
      <c r="AE42" s="202"/>
      <c r="AF42" s="202"/>
      <c r="AG42" s="340">
        <f>+AK42+AH42</f>
        <v>95885200</v>
      </c>
      <c r="AH42" s="202"/>
      <c r="AI42" s="202"/>
      <c r="AJ42" s="202"/>
      <c r="AK42" s="340">
        <f t="shared" si="39"/>
        <v>95885200</v>
      </c>
      <c r="AL42" s="340">
        <f>101385200-AL20</f>
        <v>91885200</v>
      </c>
      <c r="AM42" s="340">
        <v>4000000</v>
      </c>
      <c r="AN42" s="206">
        <f t="shared" si="10"/>
        <v>99.880416666666676</v>
      </c>
      <c r="AO42" s="207"/>
      <c r="AP42" s="207"/>
      <c r="AT42" s="209"/>
      <c r="AU42" s="209"/>
      <c r="AV42" s="210"/>
      <c r="AW42" s="210"/>
      <c r="AX42" s="211"/>
    </row>
    <row r="43" spans="1:50" s="208" customFormat="1">
      <c r="A43" s="237" t="s">
        <v>195</v>
      </c>
      <c r="B43" s="236" t="s">
        <v>238</v>
      </c>
      <c r="C43" s="200">
        <f t="shared" si="5"/>
        <v>0</v>
      </c>
      <c r="D43" s="201">
        <f t="shared" si="6"/>
        <v>0</v>
      </c>
      <c r="E43" s="201">
        <f t="shared" si="40"/>
        <v>0</v>
      </c>
      <c r="F43" s="201">
        <f t="shared" si="40"/>
        <v>0</v>
      </c>
      <c r="G43" s="205"/>
      <c r="H43" s="205"/>
      <c r="I43" s="205"/>
      <c r="J43" s="205"/>
      <c r="K43" s="205"/>
      <c r="L43" s="205"/>
      <c r="M43" s="202">
        <f t="shared" si="35"/>
        <v>0</v>
      </c>
      <c r="N43" s="202">
        <f t="shared" si="36"/>
        <v>0</v>
      </c>
      <c r="O43" s="202">
        <f t="shared" si="33"/>
        <v>0</v>
      </c>
      <c r="P43" s="205">
        <v>47292000</v>
      </c>
      <c r="Q43" s="205">
        <v>1612000</v>
      </c>
      <c r="R43" s="205"/>
      <c r="S43" s="205"/>
      <c r="T43" s="205">
        <v>47292000</v>
      </c>
      <c r="U43" s="205">
        <v>1612000</v>
      </c>
      <c r="V43" s="205">
        <f>SUM(W43:X43)</f>
        <v>0</v>
      </c>
      <c r="W43" s="202"/>
      <c r="X43" s="202"/>
      <c r="Y43" s="202"/>
      <c r="Z43" s="202"/>
      <c r="AA43" s="202"/>
      <c r="AB43" s="202"/>
      <c r="AC43" s="202"/>
      <c r="AD43" s="202"/>
      <c r="AE43" s="202"/>
      <c r="AF43" s="202"/>
      <c r="AG43" s="340">
        <f t="shared" si="22"/>
        <v>0</v>
      </c>
      <c r="AH43" s="202"/>
      <c r="AI43" s="202"/>
      <c r="AJ43" s="202"/>
      <c r="AK43" s="202">
        <f t="shared" si="39"/>
        <v>0</v>
      </c>
      <c r="AL43" s="202"/>
      <c r="AM43" s="202"/>
      <c r="AN43" s="206"/>
      <c r="AO43" s="207"/>
      <c r="AP43" s="207"/>
      <c r="AT43" s="209"/>
      <c r="AU43" s="209"/>
      <c r="AV43" s="210"/>
      <c r="AW43" s="210"/>
      <c r="AX43" s="211"/>
    </row>
    <row r="44" spans="1:50" s="208" customFormat="1">
      <c r="A44" s="237" t="s">
        <v>195</v>
      </c>
      <c r="B44" s="236" t="s">
        <v>154</v>
      </c>
      <c r="C44" s="200">
        <f t="shared" si="5"/>
        <v>0</v>
      </c>
      <c r="D44" s="201">
        <f t="shared" si="6"/>
        <v>0</v>
      </c>
      <c r="E44" s="201">
        <f t="shared" si="40"/>
        <v>0</v>
      </c>
      <c r="F44" s="201">
        <f t="shared" si="40"/>
        <v>0</v>
      </c>
      <c r="G44" s="202"/>
      <c r="H44" s="202"/>
      <c r="I44" s="202"/>
      <c r="J44" s="202"/>
      <c r="K44" s="202"/>
      <c r="L44" s="202"/>
      <c r="M44" s="202">
        <f t="shared" si="35"/>
        <v>0</v>
      </c>
      <c r="N44" s="202">
        <f t="shared" si="36"/>
        <v>0</v>
      </c>
      <c r="O44" s="202">
        <f t="shared" si="33"/>
        <v>0</v>
      </c>
      <c r="P44" s="202">
        <v>135150000</v>
      </c>
      <c r="Q44" s="202">
        <v>6850000</v>
      </c>
      <c r="R44" s="202"/>
      <c r="S44" s="202"/>
      <c r="T44" s="202">
        <v>135150000</v>
      </c>
      <c r="U44" s="202">
        <v>6850000</v>
      </c>
      <c r="V44" s="202">
        <f>SUM(W44:X44)</f>
        <v>0</v>
      </c>
      <c r="W44" s="202"/>
      <c r="X44" s="202"/>
      <c r="Y44" s="202"/>
      <c r="Z44" s="202"/>
      <c r="AA44" s="202"/>
      <c r="AB44" s="202"/>
      <c r="AC44" s="202"/>
      <c r="AD44" s="202"/>
      <c r="AE44" s="202"/>
      <c r="AF44" s="202"/>
      <c r="AG44" s="340">
        <f t="shared" si="22"/>
        <v>0</v>
      </c>
      <c r="AH44" s="202"/>
      <c r="AI44" s="202"/>
      <c r="AJ44" s="202"/>
      <c r="AK44" s="202"/>
      <c r="AL44" s="202"/>
      <c r="AM44" s="202"/>
      <c r="AN44" s="206"/>
      <c r="AO44" s="207"/>
      <c r="AP44" s="207"/>
      <c r="AT44" s="209"/>
      <c r="AU44" s="209"/>
      <c r="AV44" s="210"/>
      <c r="AW44" s="210"/>
      <c r="AX44" s="211"/>
    </row>
    <row r="45" spans="1:50" s="208" customFormat="1" ht="75" customHeight="1">
      <c r="A45" s="225" t="s">
        <v>13</v>
      </c>
      <c r="B45" s="226" t="s">
        <v>15</v>
      </c>
      <c r="C45" s="264">
        <f t="shared" si="5"/>
        <v>38589028112</v>
      </c>
      <c r="D45" s="264">
        <f t="shared" si="6"/>
        <v>258273539</v>
      </c>
      <c r="E45" s="264">
        <f t="shared" si="40"/>
        <v>237928539</v>
      </c>
      <c r="F45" s="264">
        <f t="shared" si="40"/>
        <v>20345000</v>
      </c>
      <c r="G45" s="264">
        <f t="shared" ref="G45:AF45" si="41">+G46+G62</f>
        <v>10895835601</v>
      </c>
      <c r="H45" s="264">
        <f t="shared" si="41"/>
        <v>85331000</v>
      </c>
      <c r="I45" s="264">
        <f t="shared" si="41"/>
        <v>0</v>
      </c>
      <c r="J45" s="264">
        <f t="shared" si="41"/>
        <v>0</v>
      </c>
      <c r="K45" s="264">
        <f t="shared" si="41"/>
        <v>10657907062</v>
      </c>
      <c r="L45" s="264">
        <f t="shared" si="41"/>
        <v>64986000</v>
      </c>
      <c r="M45" s="264">
        <f t="shared" si="41"/>
        <v>9525040605</v>
      </c>
      <c r="N45" s="264">
        <f t="shared" si="41"/>
        <v>9285899548</v>
      </c>
      <c r="O45" s="264">
        <f t="shared" si="41"/>
        <v>239141057</v>
      </c>
      <c r="P45" s="264">
        <f t="shared" si="41"/>
        <v>17571055585</v>
      </c>
      <c r="Q45" s="264">
        <f t="shared" si="41"/>
        <v>3271100</v>
      </c>
      <c r="R45" s="264">
        <f t="shared" si="41"/>
        <v>7514559962</v>
      </c>
      <c r="S45" s="264">
        <f t="shared" si="41"/>
        <v>239141057</v>
      </c>
      <c r="T45" s="264">
        <f t="shared" si="41"/>
        <v>14967105999</v>
      </c>
      <c r="U45" s="264">
        <f t="shared" si="41"/>
        <v>3271100</v>
      </c>
      <c r="V45" s="264">
        <f t="shared" si="41"/>
        <v>28805713968</v>
      </c>
      <c r="W45" s="264">
        <f t="shared" si="41"/>
        <v>832610000</v>
      </c>
      <c r="X45" s="264">
        <f t="shared" si="41"/>
        <v>27973103968</v>
      </c>
      <c r="Y45" s="264">
        <f t="shared" si="41"/>
        <v>26279823893</v>
      </c>
      <c r="Z45" s="264">
        <f>+Z46+Z62</f>
        <v>1693280075</v>
      </c>
      <c r="AA45" s="264">
        <f t="shared" si="41"/>
        <v>25249000000</v>
      </c>
      <c r="AB45" s="264">
        <f t="shared" si="41"/>
        <v>1309000000</v>
      </c>
      <c r="AC45" s="264">
        <f t="shared" si="41"/>
        <v>2450621000</v>
      </c>
      <c r="AD45" s="264">
        <f t="shared" si="41"/>
        <v>410152000</v>
      </c>
      <c r="AE45" s="264">
        <f t="shared" si="41"/>
        <v>1419797107</v>
      </c>
      <c r="AF45" s="264">
        <f t="shared" si="41"/>
        <v>25871925</v>
      </c>
      <c r="AG45" s="372">
        <f>+AG46+AG62</f>
        <v>9260423489</v>
      </c>
      <c r="AH45" s="264">
        <f>+AH46+AH62</f>
        <v>2032004469</v>
      </c>
      <c r="AI45" s="264">
        <f t="shared" ref="AI45:AM45" si="42">+AI46+AI62</f>
        <v>2011659469</v>
      </c>
      <c r="AJ45" s="264">
        <f t="shared" si="42"/>
        <v>20345000</v>
      </c>
      <c r="AK45" s="264">
        <f t="shared" si="42"/>
        <v>7228419020</v>
      </c>
      <c r="AL45" s="264">
        <f t="shared" si="42"/>
        <v>6568163810</v>
      </c>
      <c r="AM45" s="264">
        <f t="shared" si="42"/>
        <v>660255210</v>
      </c>
      <c r="AN45" s="206">
        <f t="shared" si="10"/>
        <v>23.997555631934386</v>
      </c>
      <c r="AO45" s="275">
        <f>+AO46+AO62</f>
        <v>0</v>
      </c>
      <c r="AP45" s="275"/>
      <c r="AT45" s="209"/>
      <c r="AU45" s="209"/>
      <c r="AV45" s="210"/>
      <c r="AW45" s="210"/>
      <c r="AX45" s="211"/>
    </row>
    <row r="46" spans="1:50" s="208" customFormat="1" ht="60.75" customHeight="1">
      <c r="A46" s="237">
        <v>1</v>
      </c>
      <c r="B46" s="276" t="s">
        <v>107</v>
      </c>
      <c r="C46" s="201">
        <f t="shared" si="5"/>
        <v>14929767303</v>
      </c>
      <c r="D46" s="201">
        <f t="shared" si="6"/>
        <v>134598539</v>
      </c>
      <c r="E46" s="201">
        <f t="shared" si="40"/>
        <v>134598539</v>
      </c>
      <c r="F46" s="201">
        <f t="shared" si="40"/>
        <v>0</v>
      </c>
      <c r="G46" s="204">
        <f t="shared" ref="G46:U46" si="43">SUM(G47:G61)</f>
        <v>10755195701</v>
      </c>
      <c r="H46" s="204">
        <f t="shared" si="43"/>
        <v>0</v>
      </c>
      <c r="I46" s="204">
        <f t="shared" si="43"/>
        <v>0</v>
      </c>
      <c r="J46" s="204">
        <f t="shared" si="43"/>
        <v>0</v>
      </c>
      <c r="K46" s="204">
        <f t="shared" si="43"/>
        <v>10620597162</v>
      </c>
      <c r="L46" s="204">
        <f t="shared" si="43"/>
        <v>0</v>
      </c>
      <c r="M46" s="204">
        <f t="shared" si="43"/>
        <v>1771339586</v>
      </c>
      <c r="N46" s="204">
        <f t="shared" si="43"/>
        <v>1771339586</v>
      </c>
      <c r="O46" s="204">
        <f t="shared" si="43"/>
        <v>0</v>
      </c>
      <c r="P46" s="204">
        <f>SUM(P47:P61)</f>
        <v>17525296085</v>
      </c>
      <c r="Q46" s="204">
        <f t="shared" si="43"/>
        <v>0</v>
      </c>
      <c r="R46" s="204">
        <f t="shared" si="43"/>
        <v>0</v>
      </c>
      <c r="S46" s="204">
        <f t="shared" si="43"/>
        <v>0</v>
      </c>
      <c r="T46" s="204">
        <f t="shared" si="43"/>
        <v>14921346499</v>
      </c>
      <c r="U46" s="204">
        <f t="shared" si="43"/>
        <v>0</v>
      </c>
      <c r="V46" s="204">
        <f>SUM(V47:V61)</f>
        <v>13023829178</v>
      </c>
      <c r="W46" s="204">
        <f>SUM(W47:W61)</f>
        <v>832610000</v>
      </c>
      <c r="X46" s="204">
        <f>SUM(X47:X61)</f>
        <v>12191219178</v>
      </c>
      <c r="Y46" s="204">
        <f t="shared" ref="Y46:AF46" si="44">SUM(Y47:Y61)</f>
        <v>12191219178</v>
      </c>
      <c r="Z46" s="204">
        <f t="shared" si="44"/>
        <v>0</v>
      </c>
      <c r="AA46" s="204">
        <f>SUM(AA47:AA61)</f>
        <v>13261000000</v>
      </c>
      <c r="AB46" s="204">
        <f t="shared" si="44"/>
        <v>0</v>
      </c>
      <c r="AC46" s="204">
        <f t="shared" si="44"/>
        <v>0</v>
      </c>
      <c r="AD46" s="204">
        <f t="shared" si="44"/>
        <v>0</v>
      </c>
      <c r="AE46" s="204">
        <f>SUM(AE47:AE61)</f>
        <v>1069780822</v>
      </c>
      <c r="AF46" s="204">
        <f t="shared" si="44"/>
        <v>0</v>
      </c>
      <c r="AG46" s="342">
        <f>SUM(AG47:AG61)</f>
        <v>2172901969</v>
      </c>
      <c r="AH46" s="204">
        <f>SUM(AH47:AH61)</f>
        <v>1908329469</v>
      </c>
      <c r="AI46" s="204">
        <f>SUM(AI47:AI61)</f>
        <v>1908329469</v>
      </c>
      <c r="AJ46" s="204">
        <f t="shared" ref="AJ46:AM46" si="45">SUM(AJ47:AJ61)</f>
        <v>0</v>
      </c>
      <c r="AK46" s="204">
        <f t="shared" si="45"/>
        <v>264572500</v>
      </c>
      <c r="AL46" s="204">
        <f t="shared" si="45"/>
        <v>264572500</v>
      </c>
      <c r="AM46" s="204">
        <f t="shared" si="45"/>
        <v>0</v>
      </c>
      <c r="AN46" s="206">
        <f t="shared" si="10"/>
        <v>14.554158312724507</v>
      </c>
      <c r="AO46" s="231">
        <f>SUM(AO47:AO61)</f>
        <v>0</v>
      </c>
      <c r="AP46" s="231"/>
      <c r="AT46" s="209"/>
      <c r="AU46" s="209"/>
      <c r="AV46" s="210"/>
      <c r="AW46" s="210"/>
      <c r="AX46" s="211"/>
    </row>
    <row r="47" spans="1:50" s="208" customFormat="1">
      <c r="A47" s="237" t="s">
        <v>195</v>
      </c>
      <c r="B47" s="236" t="s">
        <v>213</v>
      </c>
      <c r="C47" s="200">
        <f t="shared" si="5"/>
        <v>558945000</v>
      </c>
      <c r="D47" s="201">
        <f t="shared" si="6"/>
        <v>0</v>
      </c>
      <c r="E47" s="201">
        <f t="shared" si="40"/>
        <v>0</v>
      </c>
      <c r="F47" s="201">
        <f t="shared" si="40"/>
        <v>0</v>
      </c>
      <c r="G47" s="202">
        <v>407914500.00000006</v>
      </c>
      <c r="H47" s="202"/>
      <c r="I47" s="202"/>
      <c r="J47" s="202"/>
      <c r="K47" s="202">
        <v>407914500.00000006</v>
      </c>
      <c r="L47" s="202"/>
      <c r="M47" s="202">
        <f>SUM(N47:O47)</f>
        <v>0</v>
      </c>
      <c r="N47" s="202">
        <f t="shared" ref="N47:O61" si="46">+P47+R47-T47</f>
        <v>0</v>
      </c>
      <c r="O47" s="202">
        <f t="shared" si="46"/>
        <v>0</v>
      </c>
      <c r="P47" s="202">
        <v>358298856</v>
      </c>
      <c r="Q47" s="202"/>
      <c r="R47" s="202"/>
      <c r="S47" s="202"/>
      <c r="T47" s="202">
        <v>358298856</v>
      </c>
      <c r="U47" s="202"/>
      <c r="V47" s="202">
        <f t="shared" ref="V47:V60" si="47">SUM(W47:X47)</f>
        <v>558945000</v>
      </c>
      <c r="W47" s="202"/>
      <c r="X47" s="204">
        <f>SUM(Y47:Z47)</f>
        <v>558945000</v>
      </c>
      <c r="Y47" s="204">
        <f>+AA47+AC47-AE47</f>
        <v>558945000</v>
      </c>
      <c r="Z47" s="204">
        <f>+AB47+AD47-AF47</f>
        <v>0</v>
      </c>
      <c r="AA47" s="202">
        <f>729000000</f>
        <v>729000000</v>
      </c>
      <c r="AB47" s="202"/>
      <c r="AC47" s="202"/>
      <c r="AD47" s="202"/>
      <c r="AE47" s="202">
        <v>170055000</v>
      </c>
      <c r="AF47" s="202"/>
      <c r="AG47" s="340">
        <f>+AK47+AH47</f>
        <v>0</v>
      </c>
      <c r="AH47" s="202">
        <f t="shared" ref="AH47:AH55" si="48">SUM(AI47:AJ47)</f>
        <v>0</v>
      </c>
      <c r="AI47" s="203"/>
      <c r="AJ47" s="203"/>
      <c r="AK47" s="202">
        <f t="shared" ref="AK47:AK80" si="49">SUM(AL47:AM47)</f>
        <v>0</v>
      </c>
      <c r="AL47" s="203"/>
      <c r="AM47" s="203"/>
      <c r="AN47" s="206">
        <f t="shared" si="10"/>
        <v>0</v>
      </c>
      <c r="AO47" s="207"/>
      <c r="AP47" s="207"/>
      <c r="AT47" s="209"/>
      <c r="AU47" s="209"/>
      <c r="AV47" s="210"/>
      <c r="AW47" s="210"/>
      <c r="AX47" s="211"/>
    </row>
    <row r="48" spans="1:50" s="208" customFormat="1">
      <c r="A48" s="237" t="s">
        <v>195</v>
      </c>
      <c r="B48" s="236" t="s">
        <v>210</v>
      </c>
      <c r="C48" s="200">
        <f t="shared" si="5"/>
        <v>128706100</v>
      </c>
      <c r="D48" s="201">
        <f t="shared" si="6"/>
        <v>0</v>
      </c>
      <c r="E48" s="201">
        <f t="shared" si="40"/>
        <v>0</v>
      </c>
      <c r="F48" s="201">
        <f t="shared" si="40"/>
        <v>0</v>
      </c>
      <c r="G48" s="202">
        <v>121590000</v>
      </c>
      <c r="H48" s="202"/>
      <c r="I48" s="202"/>
      <c r="J48" s="202"/>
      <c r="K48" s="202">
        <v>121590000</v>
      </c>
      <c r="L48" s="202"/>
      <c r="M48" s="202">
        <f t="shared" ref="M48:M49" si="50">SUM(N48:O48)</f>
        <v>20434100</v>
      </c>
      <c r="N48" s="202">
        <f t="shared" si="46"/>
        <v>20434100</v>
      </c>
      <c r="O48" s="202">
        <f t="shared" si="46"/>
        <v>0</v>
      </c>
      <c r="P48" s="202">
        <v>48844100</v>
      </c>
      <c r="Q48" s="202"/>
      <c r="R48" s="202"/>
      <c r="S48" s="202"/>
      <c r="T48" s="202">
        <v>28410000</v>
      </c>
      <c r="U48" s="202"/>
      <c r="V48" s="202">
        <f t="shared" si="47"/>
        <v>108272000</v>
      </c>
      <c r="W48" s="202">
        <v>9272000</v>
      </c>
      <c r="X48" s="204">
        <f t="shared" ref="X48:X61" si="51">SUM(Y48:Z48)</f>
        <v>99000000</v>
      </c>
      <c r="Y48" s="204">
        <f t="shared" ref="Y48:Z61" si="52">+AA48+AC48-AE48</f>
        <v>99000000</v>
      </c>
      <c r="Z48" s="204">
        <f t="shared" si="52"/>
        <v>0</v>
      </c>
      <c r="AA48" s="202">
        <v>99000000</v>
      </c>
      <c r="AB48" s="202"/>
      <c r="AC48" s="202"/>
      <c r="AD48" s="202"/>
      <c r="AE48" s="202"/>
      <c r="AF48" s="202"/>
      <c r="AG48" s="340">
        <f t="shared" ref="AG48:AG61" si="53">+AK48+AH48</f>
        <v>0</v>
      </c>
      <c r="AH48" s="202">
        <f t="shared" si="48"/>
        <v>0</v>
      </c>
      <c r="AI48" s="203"/>
      <c r="AJ48" s="203"/>
      <c r="AK48" s="202">
        <f t="shared" si="49"/>
        <v>0</v>
      </c>
      <c r="AL48" s="203"/>
      <c r="AM48" s="203"/>
      <c r="AN48" s="206">
        <f t="shared" si="10"/>
        <v>0</v>
      </c>
      <c r="AO48" s="207"/>
      <c r="AP48" s="207"/>
      <c r="AT48" s="209"/>
      <c r="AU48" s="209"/>
      <c r="AV48" s="210"/>
      <c r="AW48" s="210"/>
      <c r="AX48" s="211"/>
    </row>
    <row r="49" spans="1:50" s="208" customFormat="1">
      <c r="A49" s="237" t="s">
        <v>195</v>
      </c>
      <c r="B49" s="236" t="s">
        <v>214</v>
      </c>
      <c r="C49" s="200">
        <f t="shared" si="5"/>
        <v>450000000</v>
      </c>
      <c r="D49" s="201">
        <f t="shared" si="6"/>
        <v>0</v>
      </c>
      <c r="E49" s="201">
        <f t="shared" si="40"/>
        <v>0</v>
      </c>
      <c r="F49" s="201">
        <f t="shared" si="40"/>
        <v>0</v>
      </c>
      <c r="G49" s="202">
        <v>55421845.999999985</v>
      </c>
      <c r="H49" s="202"/>
      <c r="I49" s="202"/>
      <c r="J49" s="202"/>
      <c r="K49" s="202">
        <v>55421845.999999985</v>
      </c>
      <c r="L49" s="202"/>
      <c r="M49" s="202">
        <f t="shared" si="50"/>
        <v>0</v>
      </c>
      <c r="N49" s="202">
        <f t="shared" si="46"/>
        <v>0</v>
      </c>
      <c r="O49" s="202">
        <f t="shared" si="46"/>
        <v>0</v>
      </c>
      <c r="P49" s="202">
        <v>54879500.000000037</v>
      </c>
      <c r="Q49" s="202"/>
      <c r="R49" s="202"/>
      <c r="S49" s="202"/>
      <c r="T49" s="202">
        <v>54879500.000000037</v>
      </c>
      <c r="U49" s="202"/>
      <c r="V49" s="202">
        <f t="shared" si="47"/>
        <v>450000000</v>
      </c>
      <c r="W49" s="202"/>
      <c r="X49" s="204">
        <f t="shared" si="51"/>
        <v>450000000</v>
      </c>
      <c r="Y49" s="204">
        <f t="shared" si="52"/>
        <v>450000000</v>
      </c>
      <c r="Z49" s="204">
        <f t="shared" si="52"/>
        <v>0</v>
      </c>
      <c r="AA49" s="202">
        <f>830000000</f>
        <v>830000000</v>
      </c>
      <c r="AB49" s="202"/>
      <c r="AC49" s="202"/>
      <c r="AD49" s="202"/>
      <c r="AE49" s="202">
        <v>380000000</v>
      </c>
      <c r="AF49" s="202"/>
      <c r="AG49" s="340">
        <f t="shared" si="53"/>
        <v>6500000</v>
      </c>
      <c r="AH49" s="340">
        <f t="shared" si="48"/>
        <v>0</v>
      </c>
      <c r="AI49" s="341"/>
      <c r="AJ49" s="341"/>
      <c r="AK49" s="340">
        <f t="shared" si="49"/>
        <v>6500000</v>
      </c>
      <c r="AL49" s="340">
        <v>6500000</v>
      </c>
      <c r="AM49" s="202"/>
      <c r="AN49" s="206">
        <f t="shared" si="10"/>
        <v>1.4444444444444444</v>
      </c>
      <c r="AO49" s="207"/>
      <c r="AP49" s="207"/>
      <c r="AT49" s="209"/>
      <c r="AU49" s="209"/>
      <c r="AV49" s="210"/>
      <c r="AW49" s="210"/>
      <c r="AX49" s="211"/>
    </row>
    <row r="50" spans="1:50" s="208" customFormat="1">
      <c r="A50" s="237" t="s">
        <v>195</v>
      </c>
      <c r="B50" s="236" t="s">
        <v>206</v>
      </c>
      <c r="C50" s="200">
        <f t="shared" si="5"/>
        <v>760059153</v>
      </c>
      <c r="D50" s="201">
        <f t="shared" si="6"/>
        <v>23511999.99999997</v>
      </c>
      <c r="E50" s="201">
        <f t="shared" si="40"/>
        <v>23511999.99999997</v>
      </c>
      <c r="F50" s="201">
        <f t="shared" si="40"/>
        <v>0</v>
      </c>
      <c r="G50" s="202">
        <v>93511999.99999997</v>
      </c>
      <c r="H50" s="202"/>
      <c r="I50" s="202"/>
      <c r="J50" s="202"/>
      <c r="K50" s="202">
        <v>70000000</v>
      </c>
      <c r="L50" s="202"/>
      <c r="M50" s="202">
        <f t="shared" ref="M50:M56" si="54">SUM(N50:O50)</f>
        <v>6547153</v>
      </c>
      <c r="N50" s="202">
        <f t="shared" si="46"/>
        <v>6547153</v>
      </c>
      <c r="O50" s="202">
        <f t="shared" si="46"/>
        <v>0</v>
      </c>
      <c r="P50" s="202">
        <v>6547153</v>
      </c>
      <c r="Q50" s="202"/>
      <c r="R50" s="202"/>
      <c r="S50" s="202"/>
      <c r="T50" s="202"/>
      <c r="U50" s="202"/>
      <c r="V50" s="202">
        <f t="shared" si="47"/>
        <v>730000000</v>
      </c>
      <c r="W50" s="202"/>
      <c r="X50" s="204">
        <f t="shared" si="51"/>
        <v>730000000</v>
      </c>
      <c r="Y50" s="204">
        <f t="shared" si="52"/>
        <v>730000000</v>
      </c>
      <c r="Z50" s="204">
        <f t="shared" si="52"/>
        <v>0</v>
      </c>
      <c r="AA50" s="202">
        <v>730000000</v>
      </c>
      <c r="AB50" s="202"/>
      <c r="AC50" s="202"/>
      <c r="AD50" s="202"/>
      <c r="AE50" s="202"/>
      <c r="AF50" s="202"/>
      <c r="AG50" s="340">
        <f t="shared" si="53"/>
        <v>0</v>
      </c>
      <c r="AH50" s="202">
        <f t="shared" si="48"/>
        <v>0</v>
      </c>
      <c r="AI50" s="203"/>
      <c r="AJ50" s="203"/>
      <c r="AK50" s="202">
        <f t="shared" si="49"/>
        <v>0</v>
      </c>
      <c r="AL50" s="203"/>
      <c r="AM50" s="203"/>
      <c r="AN50" s="206">
        <f t="shared" si="10"/>
        <v>0</v>
      </c>
      <c r="AO50" s="207"/>
      <c r="AP50" s="207"/>
      <c r="AT50" s="209"/>
      <c r="AU50" s="209"/>
      <c r="AV50" s="210"/>
      <c r="AW50" s="210"/>
      <c r="AX50" s="211"/>
    </row>
    <row r="51" spans="1:50" s="208" customFormat="1">
      <c r="A51" s="237" t="s">
        <v>195</v>
      </c>
      <c r="B51" s="236" t="s">
        <v>199</v>
      </c>
      <c r="C51" s="200">
        <f t="shared" si="5"/>
        <v>2167000000</v>
      </c>
      <c r="D51" s="201">
        <f t="shared" si="6"/>
        <v>0</v>
      </c>
      <c r="E51" s="201">
        <f t="shared" si="40"/>
        <v>0</v>
      </c>
      <c r="F51" s="201">
        <f t="shared" si="40"/>
        <v>0</v>
      </c>
      <c r="G51" s="202">
        <v>1027539499.9999999</v>
      </c>
      <c r="H51" s="202"/>
      <c r="I51" s="202"/>
      <c r="J51" s="202"/>
      <c r="K51" s="202">
        <v>1027539499.9999999</v>
      </c>
      <c r="L51" s="202"/>
      <c r="M51" s="202">
        <f t="shared" si="54"/>
        <v>0</v>
      </c>
      <c r="N51" s="202">
        <f t="shared" si="46"/>
        <v>0</v>
      </c>
      <c r="O51" s="202">
        <f t="shared" si="46"/>
        <v>0</v>
      </c>
      <c r="P51" s="202">
        <v>599308000</v>
      </c>
      <c r="Q51" s="202"/>
      <c r="R51" s="202"/>
      <c r="S51" s="202"/>
      <c r="T51" s="202">
        <v>599308000</v>
      </c>
      <c r="U51" s="202"/>
      <c r="V51" s="202">
        <f t="shared" si="47"/>
        <v>2167000000</v>
      </c>
      <c r="W51" s="202"/>
      <c r="X51" s="204">
        <f t="shared" si="51"/>
        <v>2167000000</v>
      </c>
      <c r="Y51" s="204">
        <f t="shared" si="52"/>
        <v>2167000000</v>
      </c>
      <c r="Z51" s="204">
        <f t="shared" si="52"/>
        <v>0</v>
      </c>
      <c r="AA51" s="202">
        <v>2167000000</v>
      </c>
      <c r="AB51" s="202"/>
      <c r="AC51" s="202"/>
      <c r="AD51" s="202"/>
      <c r="AE51" s="202"/>
      <c r="AF51" s="202"/>
      <c r="AG51" s="340">
        <f t="shared" si="53"/>
        <v>6344000</v>
      </c>
      <c r="AH51" s="202">
        <f t="shared" si="48"/>
        <v>0</v>
      </c>
      <c r="AI51" s="203"/>
      <c r="AJ51" s="203"/>
      <c r="AK51" s="340">
        <f t="shared" si="49"/>
        <v>6344000</v>
      </c>
      <c r="AL51" s="340">
        <v>6344000</v>
      </c>
      <c r="AM51" s="340"/>
      <c r="AN51" s="206">
        <f t="shared" si="10"/>
        <v>0.29275496077526536</v>
      </c>
      <c r="AO51" s="207"/>
      <c r="AP51" s="207"/>
      <c r="AT51" s="209"/>
      <c r="AU51" s="209"/>
      <c r="AV51" s="210"/>
      <c r="AW51" s="210"/>
      <c r="AX51" s="211"/>
    </row>
    <row r="52" spans="1:50" s="208" customFormat="1" ht="16.5" customHeight="1">
      <c r="A52" s="237" t="s">
        <v>195</v>
      </c>
      <c r="B52" s="236" t="s">
        <v>207</v>
      </c>
      <c r="C52" s="200">
        <f t="shared" si="5"/>
        <v>779224381</v>
      </c>
      <c r="D52" s="201">
        <f t="shared" si="6"/>
        <v>0</v>
      </c>
      <c r="E52" s="201">
        <f t="shared" si="40"/>
        <v>0</v>
      </c>
      <c r="F52" s="201">
        <f t="shared" si="40"/>
        <v>0</v>
      </c>
      <c r="G52" s="202">
        <v>0</v>
      </c>
      <c r="H52" s="202"/>
      <c r="I52" s="202"/>
      <c r="J52" s="202"/>
      <c r="K52" s="202">
        <v>0</v>
      </c>
      <c r="L52" s="202"/>
      <c r="M52" s="202">
        <f t="shared" si="54"/>
        <v>0</v>
      </c>
      <c r="N52" s="202">
        <f t="shared" si="46"/>
        <v>0</v>
      </c>
      <c r="O52" s="202">
        <f t="shared" si="46"/>
        <v>0</v>
      </c>
      <c r="P52" s="202">
        <v>340224381.00000006</v>
      </c>
      <c r="Q52" s="202"/>
      <c r="R52" s="202"/>
      <c r="S52" s="202"/>
      <c r="T52" s="202">
        <v>340224381.00000006</v>
      </c>
      <c r="U52" s="202"/>
      <c r="V52" s="202">
        <f t="shared" si="47"/>
        <v>779224381</v>
      </c>
      <c r="W52" s="202"/>
      <c r="X52" s="204">
        <f t="shared" si="51"/>
        <v>779224381</v>
      </c>
      <c r="Y52" s="204">
        <f t="shared" si="52"/>
        <v>779224381</v>
      </c>
      <c r="Z52" s="204">
        <f t="shared" si="52"/>
        <v>0</v>
      </c>
      <c r="AA52" s="202">
        <f>834000000</f>
        <v>834000000</v>
      </c>
      <c r="AB52" s="202"/>
      <c r="AC52" s="202"/>
      <c r="AD52" s="202"/>
      <c r="AE52" s="202">
        <v>54775619</v>
      </c>
      <c r="AF52" s="202"/>
      <c r="AG52" s="340">
        <f t="shared" si="53"/>
        <v>0</v>
      </c>
      <c r="AH52" s="202">
        <f t="shared" si="48"/>
        <v>0</v>
      </c>
      <c r="AI52" s="203"/>
      <c r="AJ52" s="203"/>
      <c r="AK52" s="202">
        <f t="shared" si="49"/>
        <v>0</v>
      </c>
      <c r="AL52" s="203"/>
      <c r="AM52" s="203"/>
      <c r="AN52" s="206">
        <f t="shared" si="10"/>
        <v>0</v>
      </c>
      <c r="AO52" s="207"/>
      <c r="AP52" s="207"/>
      <c r="AT52" s="209"/>
      <c r="AU52" s="209"/>
      <c r="AV52" s="210"/>
      <c r="AW52" s="210"/>
      <c r="AX52" s="211"/>
    </row>
    <row r="53" spans="1:50" s="208" customFormat="1">
      <c r="A53" s="237" t="s">
        <v>195</v>
      </c>
      <c r="B53" s="236" t="s">
        <v>200</v>
      </c>
      <c r="C53" s="200">
        <f t="shared" si="5"/>
        <v>956224500</v>
      </c>
      <c r="D53" s="201">
        <f t="shared" si="6"/>
        <v>110267999.99999997</v>
      </c>
      <c r="E53" s="201">
        <f t="shared" si="40"/>
        <v>110267999.99999997</v>
      </c>
      <c r="F53" s="201">
        <f t="shared" si="40"/>
        <v>0</v>
      </c>
      <c r="G53" s="202">
        <v>110267999.99999997</v>
      </c>
      <c r="H53" s="202"/>
      <c r="I53" s="202"/>
      <c r="J53" s="202"/>
      <c r="K53" s="202"/>
      <c r="L53" s="202"/>
      <c r="M53" s="202">
        <f t="shared" si="54"/>
        <v>257956500</v>
      </c>
      <c r="N53" s="202">
        <f t="shared" si="46"/>
        <v>257956500</v>
      </c>
      <c r="O53" s="202">
        <f t="shared" si="46"/>
        <v>0</v>
      </c>
      <c r="P53" s="202">
        <v>257956500</v>
      </c>
      <c r="Q53" s="202"/>
      <c r="R53" s="202"/>
      <c r="S53" s="202"/>
      <c r="T53" s="202"/>
      <c r="U53" s="202"/>
      <c r="V53" s="202">
        <f t="shared" si="47"/>
        <v>588000000</v>
      </c>
      <c r="W53" s="202"/>
      <c r="X53" s="204">
        <f t="shared" si="51"/>
        <v>588000000</v>
      </c>
      <c r="Y53" s="204">
        <f t="shared" si="52"/>
        <v>588000000</v>
      </c>
      <c r="Z53" s="204">
        <f t="shared" si="52"/>
        <v>0</v>
      </c>
      <c r="AA53" s="202">
        <v>588000000</v>
      </c>
      <c r="AB53" s="202"/>
      <c r="AC53" s="202"/>
      <c r="AD53" s="202"/>
      <c r="AE53" s="202"/>
      <c r="AF53" s="202"/>
      <c r="AG53" s="340">
        <f t="shared" si="53"/>
        <v>29308500</v>
      </c>
      <c r="AH53" s="202">
        <f t="shared" si="48"/>
        <v>0</v>
      </c>
      <c r="AI53" s="203"/>
      <c r="AJ53" s="203"/>
      <c r="AK53" s="340">
        <f t="shared" si="49"/>
        <v>29308500</v>
      </c>
      <c r="AL53" s="340">
        <v>29308500</v>
      </c>
      <c r="AM53" s="341"/>
      <c r="AN53" s="206">
        <f t="shared" si="10"/>
        <v>3.0650229104148661</v>
      </c>
      <c r="AO53" s="207"/>
      <c r="AP53" s="207"/>
      <c r="AT53" s="209"/>
      <c r="AU53" s="209"/>
      <c r="AV53" s="210"/>
      <c r="AW53" s="210"/>
      <c r="AX53" s="211"/>
    </row>
    <row r="54" spans="1:50" s="208" customFormat="1">
      <c r="A54" s="237" t="s">
        <v>195</v>
      </c>
      <c r="B54" s="236" t="s">
        <v>201</v>
      </c>
      <c r="C54" s="200">
        <f t="shared" si="5"/>
        <v>515536539</v>
      </c>
      <c r="D54" s="201">
        <f t="shared" si="6"/>
        <v>818539.00000000128</v>
      </c>
      <c r="E54" s="201">
        <f t="shared" si="40"/>
        <v>818539.00000000128</v>
      </c>
      <c r="F54" s="201">
        <f t="shared" si="40"/>
        <v>0</v>
      </c>
      <c r="G54" s="202">
        <v>818539.00000000128</v>
      </c>
      <c r="H54" s="202"/>
      <c r="I54" s="202"/>
      <c r="J54" s="202"/>
      <c r="K54" s="202"/>
      <c r="L54" s="202"/>
      <c r="M54" s="202">
        <f t="shared" si="54"/>
        <v>58000000</v>
      </c>
      <c r="N54" s="202">
        <f t="shared" si="46"/>
        <v>58000000</v>
      </c>
      <c r="O54" s="202">
        <f t="shared" si="46"/>
        <v>0</v>
      </c>
      <c r="P54" s="202">
        <v>58000000</v>
      </c>
      <c r="Q54" s="202"/>
      <c r="R54" s="202"/>
      <c r="S54" s="202"/>
      <c r="T54" s="202"/>
      <c r="U54" s="202"/>
      <c r="V54" s="202">
        <f t="shared" si="47"/>
        <v>456718000</v>
      </c>
      <c r="W54" s="202">
        <v>275718000</v>
      </c>
      <c r="X54" s="204">
        <f t="shared" si="51"/>
        <v>181000000</v>
      </c>
      <c r="Y54" s="204">
        <f t="shared" si="52"/>
        <v>181000000</v>
      </c>
      <c r="Z54" s="204">
        <f t="shared" si="52"/>
        <v>0</v>
      </c>
      <c r="AA54" s="202">
        <v>181000000</v>
      </c>
      <c r="AB54" s="202"/>
      <c r="AC54" s="202"/>
      <c r="AD54" s="202"/>
      <c r="AE54" s="202"/>
      <c r="AF54" s="202"/>
      <c r="AG54" s="340">
        <f t="shared" si="53"/>
        <v>154764000</v>
      </c>
      <c r="AH54" s="340">
        <f t="shared" si="48"/>
        <v>154764000</v>
      </c>
      <c r="AI54" s="340">
        <v>154764000</v>
      </c>
      <c r="AJ54" s="341"/>
      <c r="AK54" s="340">
        <f t="shared" si="49"/>
        <v>0</v>
      </c>
      <c r="AL54" s="341"/>
      <c r="AM54" s="203"/>
      <c r="AN54" s="206">
        <f t="shared" si="10"/>
        <v>30.019986614372645</v>
      </c>
      <c r="AO54" s="207"/>
      <c r="AP54" s="207"/>
      <c r="AT54" s="209"/>
      <c r="AU54" s="209"/>
      <c r="AV54" s="210"/>
      <c r="AW54" s="210"/>
      <c r="AX54" s="211"/>
    </row>
    <row r="55" spans="1:50" s="208" customFormat="1">
      <c r="A55" s="237" t="s">
        <v>195</v>
      </c>
      <c r="B55" s="236" t="s">
        <v>216</v>
      </c>
      <c r="C55" s="200">
        <f t="shared" si="5"/>
        <v>908000000</v>
      </c>
      <c r="D55" s="201">
        <f t="shared" si="6"/>
        <v>0</v>
      </c>
      <c r="E55" s="201">
        <f t="shared" si="40"/>
        <v>0</v>
      </c>
      <c r="F55" s="201">
        <f t="shared" si="40"/>
        <v>0</v>
      </c>
      <c r="G55" s="202">
        <v>448588500.00000006</v>
      </c>
      <c r="H55" s="202"/>
      <c r="I55" s="202"/>
      <c r="J55" s="202"/>
      <c r="K55" s="202">
        <v>448588500.00000006</v>
      </c>
      <c r="L55" s="202"/>
      <c r="M55" s="202">
        <f t="shared" si="54"/>
        <v>0</v>
      </c>
      <c r="N55" s="202">
        <f t="shared" si="46"/>
        <v>0</v>
      </c>
      <c r="O55" s="202">
        <f t="shared" si="46"/>
        <v>0</v>
      </c>
      <c r="P55" s="202">
        <f>27019500+524331820</f>
        <v>551351320</v>
      </c>
      <c r="Q55" s="202"/>
      <c r="R55" s="202"/>
      <c r="S55" s="202"/>
      <c r="T55" s="202">
        <f>+P55</f>
        <v>551351320</v>
      </c>
      <c r="U55" s="202"/>
      <c r="V55" s="202">
        <f t="shared" si="47"/>
        <v>908000000</v>
      </c>
      <c r="W55" s="202"/>
      <c r="X55" s="204">
        <f t="shared" si="51"/>
        <v>908000000</v>
      </c>
      <c r="Y55" s="204">
        <f t="shared" si="52"/>
        <v>908000000</v>
      </c>
      <c r="Z55" s="204">
        <f t="shared" si="52"/>
        <v>0</v>
      </c>
      <c r="AA55" s="202">
        <v>908000000</v>
      </c>
      <c r="AB55" s="202"/>
      <c r="AC55" s="202"/>
      <c r="AD55" s="202"/>
      <c r="AE55" s="202"/>
      <c r="AF55" s="202"/>
      <c r="AG55" s="340">
        <f t="shared" si="53"/>
        <v>0</v>
      </c>
      <c r="AH55" s="202">
        <f t="shared" si="48"/>
        <v>0</v>
      </c>
      <c r="AI55" s="203"/>
      <c r="AJ55" s="203"/>
      <c r="AK55" s="202">
        <f t="shared" si="49"/>
        <v>0</v>
      </c>
      <c r="AL55" s="203"/>
      <c r="AM55" s="203"/>
      <c r="AN55" s="206">
        <f t="shared" si="10"/>
        <v>0</v>
      </c>
      <c r="AO55" s="207"/>
      <c r="AP55" s="207"/>
      <c r="AT55" s="209"/>
      <c r="AU55" s="209"/>
      <c r="AV55" s="210"/>
      <c r="AW55" s="210"/>
      <c r="AX55" s="211"/>
    </row>
    <row r="56" spans="1:50" s="208" customFormat="1">
      <c r="A56" s="237" t="s">
        <v>195</v>
      </c>
      <c r="B56" s="236" t="s">
        <v>203</v>
      </c>
      <c r="C56" s="200">
        <f t="shared" si="5"/>
        <v>2250041364</v>
      </c>
      <c r="D56" s="201">
        <f t="shared" si="6"/>
        <v>0</v>
      </c>
      <c r="E56" s="201">
        <f t="shared" si="40"/>
        <v>0</v>
      </c>
      <c r="F56" s="201">
        <f t="shared" si="40"/>
        <v>0</v>
      </c>
      <c r="G56" s="202">
        <v>0</v>
      </c>
      <c r="H56" s="202"/>
      <c r="I56" s="202"/>
      <c r="J56" s="202"/>
      <c r="K56" s="202">
        <v>0</v>
      </c>
      <c r="L56" s="202"/>
      <c r="M56" s="202">
        <f t="shared" si="54"/>
        <v>222421363.99999997</v>
      </c>
      <c r="N56" s="202">
        <f t="shared" si="46"/>
        <v>222421363.99999997</v>
      </c>
      <c r="O56" s="202">
        <f t="shared" si="46"/>
        <v>0</v>
      </c>
      <c r="P56" s="202">
        <v>222421363.99999997</v>
      </c>
      <c r="Q56" s="202"/>
      <c r="R56" s="202"/>
      <c r="S56" s="202"/>
      <c r="T56" s="202"/>
      <c r="U56" s="202"/>
      <c r="V56" s="202">
        <f t="shared" si="47"/>
        <v>2027620000</v>
      </c>
      <c r="W56" s="202">
        <v>547620000</v>
      </c>
      <c r="X56" s="204">
        <f t="shared" si="51"/>
        <v>1480000000</v>
      </c>
      <c r="Y56" s="204">
        <f t="shared" si="52"/>
        <v>1480000000</v>
      </c>
      <c r="Z56" s="204">
        <f t="shared" si="52"/>
        <v>0</v>
      </c>
      <c r="AA56" s="202">
        <v>1480000000</v>
      </c>
      <c r="AB56" s="202"/>
      <c r="AC56" s="202"/>
      <c r="AD56" s="202"/>
      <c r="AE56" s="202"/>
      <c r="AF56" s="202"/>
      <c r="AG56" s="340">
        <f t="shared" si="53"/>
        <v>770040000</v>
      </c>
      <c r="AH56" s="340">
        <f>SUM(AI56:AJ56)</f>
        <v>547620000</v>
      </c>
      <c r="AI56" s="340">
        <f>+W56</f>
        <v>547620000</v>
      </c>
      <c r="AJ56" s="341"/>
      <c r="AK56" s="340">
        <f t="shared" si="49"/>
        <v>222420000</v>
      </c>
      <c r="AL56" s="340">
        <f>770040000-AI56</f>
        <v>222420000</v>
      </c>
      <c r="AM56" s="202"/>
      <c r="AN56" s="206">
        <f t="shared" si="10"/>
        <v>34.223370837550519</v>
      </c>
      <c r="AO56" s="207"/>
      <c r="AP56" s="207"/>
      <c r="AT56" s="209"/>
      <c r="AU56" s="209"/>
      <c r="AV56" s="210"/>
      <c r="AW56" s="210"/>
      <c r="AX56" s="211"/>
    </row>
    <row r="57" spans="1:50" s="208" customFormat="1">
      <c r="A57" s="237" t="s">
        <v>195</v>
      </c>
      <c r="B57" s="236" t="s">
        <v>208</v>
      </c>
      <c r="C57" s="200">
        <f t="shared" si="5"/>
        <v>885661244</v>
      </c>
      <c r="D57" s="201">
        <f t="shared" si="6"/>
        <v>0</v>
      </c>
      <c r="E57" s="201">
        <f t="shared" si="40"/>
        <v>0</v>
      </c>
      <c r="F57" s="201">
        <f t="shared" si="40"/>
        <v>0</v>
      </c>
      <c r="G57" s="202">
        <v>132313999.99999997</v>
      </c>
      <c r="H57" s="202"/>
      <c r="I57" s="202"/>
      <c r="J57" s="202"/>
      <c r="K57" s="202">
        <f>+G57</f>
        <v>132313999.99999997</v>
      </c>
      <c r="L57" s="202"/>
      <c r="M57" s="202">
        <f t="shared" ref="M57" si="55">SUM(N57:O57)</f>
        <v>427664469</v>
      </c>
      <c r="N57" s="202">
        <f t="shared" si="46"/>
        <v>427664469</v>
      </c>
      <c r="O57" s="202">
        <f t="shared" si="46"/>
        <v>0</v>
      </c>
      <c r="P57" s="202">
        <v>554888000</v>
      </c>
      <c r="Q57" s="202"/>
      <c r="R57" s="202"/>
      <c r="S57" s="202"/>
      <c r="T57" s="202">
        <v>127223531</v>
      </c>
      <c r="U57" s="202"/>
      <c r="V57" s="202">
        <f t="shared" si="47"/>
        <v>457996775</v>
      </c>
      <c r="W57" s="202"/>
      <c r="X57" s="204">
        <f t="shared" si="51"/>
        <v>457996775</v>
      </c>
      <c r="Y57" s="204">
        <f t="shared" si="52"/>
        <v>457996775</v>
      </c>
      <c r="Z57" s="204">
        <f t="shared" si="52"/>
        <v>0</v>
      </c>
      <c r="AA57" s="202">
        <f>514000000</f>
        <v>514000000</v>
      </c>
      <c r="AB57" s="202"/>
      <c r="AC57" s="202"/>
      <c r="AD57" s="202"/>
      <c r="AE57" s="202">
        <v>56003225</v>
      </c>
      <c r="AF57" s="202"/>
      <c r="AG57" s="340">
        <f t="shared" si="53"/>
        <v>427664469</v>
      </c>
      <c r="AH57" s="340">
        <f>SUM(AI57:AJ57)</f>
        <v>427664469</v>
      </c>
      <c r="AI57" s="340">
        <v>427664469</v>
      </c>
      <c r="AJ57" s="202"/>
      <c r="AK57" s="202">
        <f t="shared" si="49"/>
        <v>0</v>
      </c>
      <c r="AL57" s="202"/>
      <c r="AM57" s="202"/>
      <c r="AN57" s="206">
        <f t="shared" si="10"/>
        <v>48.287589854163251</v>
      </c>
      <c r="AO57" s="207"/>
      <c r="AP57" s="207"/>
      <c r="AT57" s="209"/>
      <c r="AU57" s="209"/>
      <c r="AV57" s="210"/>
      <c r="AW57" s="210"/>
      <c r="AX57" s="211"/>
    </row>
    <row r="58" spans="1:50" s="208" customFormat="1">
      <c r="A58" s="237" t="s">
        <v>195</v>
      </c>
      <c r="B58" s="236" t="s">
        <v>212</v>
      </c>
      <c r="C58" s="200">
        <f t="shared" si="5"/>
        <v>1950005234</v>
      </c>
      <c r="D58" s="201">
        <f t="shared" si="6"/>
        <v>0</v>
      </c>
      <c r="E58" s="201">
        <f t="shared" si="40"/>
        <v>0</v>
      </c>
      <c r="F58" s="201">
        <f t="shared" si="40"/>
        <v>0</v>
      </c>
      <c r="G58" s="202">
        <v>1313853999.9999998</v>
      </c>
      <c r="H58" s="202"/>
      <c r="I58" s="202"/>
      <c r="J58" s="202"/>
      <c r="K58" s="202">
        <v>1313853999.9999998</v>
      </c>
      <c r="L58" s="202"/>
      <c r="M58" s="202">
        <f t="shared" ref="M58:M60" si="56">SUM(N58:O58)</f>
        <v>778316000</v>
      </c>
      <c r="N58" s="202">
        <f t="shared" si="46"/>
        <v>778316000</v>
      </c>
      <c r="O58" s="202">
        <f t="shared" si="46"/>
        <v>0</v>
      </c>
      <c r="P58" s="202">
        <v>1904000000</v>
      </c>
      <c r="Q58" s="202"/>
      <c r="R58" s="202"/>
      <c r="S58" s="202"/>
      <c r="T58" s="202">
        <v>1125684000</v>
      </c>
      <c r="U58" s="202"/>
      <c r="V58" s="202">
        <f t="shared" si="47"/>
        <v>1171689234</v>
      </c>
      <c r="W58" s="202"/>
      <c r="X58" s="204">
        <f t="shared" si="51"/>
        <v>1171689234</v>
      </c>
      <c r="Y58" s="204">
        <f t="shared" si="52"/>
        <v>1171689234</v>
      </c>
      <c r="Z58" s="204">
        <f t="shared" si="52"/>
        <v>0</v>
      </c>
      <c r="AA58" s="202">
        <f>1277000000</f>
        <v>1277000000</v>
      </c>
      <c r="AB58" s="202"/>
      <c r="AC58" s="202"/>
      <c r="AD58" s="202"/>
      <c r="AE58" s="202">
        <v>105310766</v>
      </c>
      <c r="AF58" s="202"/>
      <c r="AG58" s="340">
        <f t="shared" si="53"/>
        <v>778281000</v>
      </c>
      <c r="AH58" s="340">
        <f t="shared" ref="AH58:AH61" si="57">SUM(AI58:AJ58)</f>
        <v>778281000</v>
      </c>
      <c r="AI58" s="340">
        <v>778281000</v>
      </c>
      <c r="AJ58" s="203"/>
      <c r="AK58" s="202">
        <f t="shared" si="49"/>
        <v>0</v>
      </c>
      <c r="AL58" s="203"/>
      <c r="AM58" s="203"/>
      <c r="AN58" s="206">
        <f t="shared" si="10"/>
        <v>39.911739026645094</v>
      </c>
      <c r="AO58" s="207"/>
      <c r="AP58" s="207"/>
      <c r="AT58" s="209"/>
      <c r="AU58" s="209"/>
      <c r="AV58" s="210"/>
      <c r="AW58" s="210"/>
      <c r="AX58" s="211"/>
    </row>
    <row r="59" spans="1:50" s="208" customFormat="1">
      <c r="A59" s="237" t="s">
        <v>195</v>
      </c>
      <c r="B59" s="236" t="s">
        <v>211</v>
      </c>
      <c r="C59" s="200">
        <f t="shared" si="5"/>
        <v>1729000000</v>
      </c>
      <c r="D59" s="201">
        <f t="shared" si="6"/>
        <v>0</v>
      </c>
      <c r="E59" s="201">
        <f t="shared" si="40"/>
        <v>0</v>
      </c>
      <c r="F59" s="201">
        <f t="shared" si="40"/>
        <v>0</v>
      </c>
      <c r="G59" s="202">
        <v>714284816</v>
      </c>
      <c r="H59" s="202"/>
      <c r="I59" s="202"/>
      <c r="J59" s="202"/>
      <c r="K59" s="202">
        <v>714284816</v>
      </c>
      <c r="L59" s="202"/>
      <c r="M59" s="202">
        <f t="shared" si="56"/>
        <v>0</v>
      </c>
      <c r="N59" s="202">
        <f t="shared" si="46"/>
        <v>0</v>
      </c>
      <c r="O59" s="202">
        <f t="shared" si="46"/>
        <v>0</v>
      </c>
      <c r="P59" s="202">
        <v>626024000</v>
      </c>
      <c r="Q59" s="202"/>
      <c r="R59" s="202"/>
      <c r="S59" s="202"/>
      <c r="T59" s="202">
        <v>626024000</v>
      </c>
      <c r="U59" s="202"/>
      <c r="V59" s="202">
        <f t="shared" si="47"/>
        <v>1729000000</v>
      </c>
      <c r="W59" s="202"/>
      <c r="X59" s="204">
        <f t="shared" si="51"/>
        <v>1729000000</v>
      </c>
      <c r="Y59" s="204">
        <f t="shared" si="52"/>
        <v>1729000000</v>
      </c>
      <c r="Z59" s="204">
        <f t="shared" si="52"/>
        <v>0</v>
      </c>
      <c r="AA59" s="202">
        <v>1729000000</v>
      </c>
      <c r="AB59" s="202"/>
      <c r="AC59" s="202"/>
      <c r="AD59" s="202"/>
      <c r="AE59" s="202"/>
      <c r="AF59" s="202"/>
      <c r="AG59" s="340">
        <f t="shared" si="53"/>
        <v>0</v>
      </c>
      <c r="AH59" s="202">
        <f t="shared" si="57"/>
        <v>0</v>
      </c>
      <c r="AI59" s="203"/>
      <c r="AJ59" s="203"/>
      <c r="AK59" s="202">
        <f t="shared" si="49"/>
        <v>0</v>
      </c>
      <c r="AL59" s="203"/>
      <c r="AM59" s="203"/>
      <c r="AN59" s="206">
        <f t="shared" si="10"/>
        <v>0</v>
      </c>
      <c r="AO59" s="207"/>
      <c r="AP59" s="207"/>
      <c r="AT59" s="209"/>
      <c r="AU59" s="209"/>
      <c r="AV59" s="210"/>
      <c r="AW59" s="210"/>
      <c r="AX59" s="211"/>
    </row>
    <row r="60" spans="1:50" s="208" customFormat="1">
      <c r="A60" s="237" t="s">
        <v>195</v>
      </c>
      <c r="B60" s="236" t="s">
        <v>209</v>
      </c>
      <c r="C60" s="200">
        <f t="shared" si="5"/>
        <v>891363788</v>
      </c>
      <c r="D60" s="201">
        <f t="shared" si="6"/>
        <v>0</v>
      </c>
      <c r="E60" s="201">
        <f t="shared" si="40"/>
        <v>0</v>
      </c>
      <c r="F60" s="201">
        <f t="shared" si="40"/>
        <v>0</v>
      </c>
      <c r="G60" s="202">
        <v>49500000</v>
      </c>
      <c r="H60" s="202"/>
      <c r="I60" s="202"/>
      <c r="J60" s="202"/>
      <c r="K60" s="202">
        <v>49500000</v>
      </c>
      <c r="L60" s="202"/>
      <c r="M60" s="202">
        <f t="shared" si="56"/>
        <v>0</v>
      </c>
      <c r="N60" s="202">
        <f t="shared" si="46"/>
        <v>0</v>
      </c>
      <c r="O60" s="202">
        <f t="shared" si="46"/>
        <v>0</v>
      </c>
      <c r="P60" s="202">
        <v>218552911</v>
      </c>
      <c r="Q60" s="202"/>
      <c r="R60" s="202"/>
      <c r="S60" s="202"/>
      <c r="T60" s="202">
        <v>218552911</v>
      </c>
      <c r="U60" s="202"/>
      <c r="V60" s="202">
        <f t="shared" si="47"/>
        <v>891363788</v>
      </c>
      <c r="W60" s="202"/>
      <c r="X60" s="204">
        <f t="shared" si="51"/>
        <v>891363788</v>
      </c>
      <c r="Y60" s="204">
        <f t="shared" si="52"/>
        <v>891363788</v>
      </c>
      <c r="Z60" s="204">
        <f t="shared" si="52"/>
        <v>0</v>
      </c>
      <c r="AA60" s="202">
        <f>1195000000</f>
        <v>1195000000</v>
      </c>
      <c r="AB60" s="202"/>
      <c r="AC60" s="202"/>
      <c r="AD60" s="202"/>
      <c r="AE60" s="202">
        <v>303636212</v>
      </c>
      <c r="AF60" s="202"/>
      <c r="AG60" s="340">
        <f t="shared" si="53"/>
        <v>0</v>
      </c>
      <c r="AH60" s="202">
        <f t="shared" si="57"/>
        <v>0</v>
      </c>
      <c r="AI60" s="203"/>
      <c r="AJ60" s="203"/>
      <c r="AK60" s="202">
        <f t="shared" si="49"/>
        <v>0</v>
      </c>
      <c r="AL60" s="203"/>
      <c r="AM60" s="203"/>
      <c r="AN60" s="206">
        <f t="shared" si="10"/>
        <v>0</v>
      </c>
      <c r="AO60" s="207"/>
      <c r="AP60" s="207"/>
      <c r="AT60" s="209"/>
      <c r="AU60" s="209"/>
      <c r="AV60" s="210"/>
      <c r="AW60" s="210"/>
      <c r="AX60" s="211"/>
    </row>
    <row r="61" spans="1:50" s="208" customFormat="1">
      <c r="A61" s="237" t="s">
        <v>195</v>
      </c>
      <c r="B61" s="236" t="s">
        <v>231</v>
      </c>
      <c r="C61" s="200">
        <f t="shared" si="5"/>
        <v>0</v>
      </c>
      <c r="D61" s="201">
        <f t="shared" si="6"/>
        <v>0</v>
      </c>
      <c r="E61" s="201">
        <f t="shared" si="40"/>
        <v>0</v>
      </c>
      <c r="F61" s="201">
        <f t="shared" si="40"/>
        <v>0</v>
      </c>
      <c r="G61" s="202">
        <v>6279590000</v>
      </c>
      <c r="H61" s="202"/>
      <c r="I61" s="202"/>
      <c r="J61" s="202"/>
      <c r="K61" s="202">
        <v>6279590000</v>
      </c>
      <c r="L61" s="202"/>
      <c r="M61" s="202">
        <f>SUM(N61:O61)</f>
        <v>0</v>
      </c>
      <c r="N61" s="202"/>
      <c r="O61" s="202">
        <f t="shared" si="46"/>
        <v>0</v>
      </c>
      <c r="P61" s="202">
        <v>11724000000</v>
      </c>
      <c r="Q61" s="202"/>
      <c r="R61" s="202"/>
      <c r="S61" s="202"/>
      <c r="T61" s="202">
        <f>11724000000-832610000</f>
        <v>10891390000</v>
      </c>
      <c r="U61" s="202"/>
      <c r="V61" s="202"/>
      <c r="W61" s="202"/>
      <c r="X61" s="204">
        <f t="shared" si="51"/>
        <v>0</v>
      </c>
      <c r="Y61" s="204">
        <f t="shared" si="52"/>
        <v>0</v>
      </c>
      <c r="Z61" s="204">
        <f t="shared" si="52"/>
        <v>0</v>
      </c>
      <c r="AA61" s="202"/>
      <c r="AB61" s="202"/>
      <c r="AC61" s="202"/>
      <c r="AD61" s="202"/>
      <c r="AE61" s="202"/>
      <c r="AF61" s="202"/>
      <c r="AG61" s="340">
        <f t="shared" si="53"/>
        <v>0</v>
      </c>
      <c r="AH61" s="202">
        <f t="shared" si="57"/>
        <v>0</v>
      </c>
      <c r="AI61" s="203"/>
      <c r="AJ61" s="203"/>
      <c r="AK61" s="202">
        <f t="shared" si="49"/>
        <v>0</v>
      </c>
      <c r="AL61" s="203"/>
      <c r="AM61" s="203"/>
      <c r="AN61" s="206"/>
      <c r="AO61" s="207"/>
      <c r="AP61" s="207"/>
      <c r="AT61" s="209"/>
      <c r="AU61" s="209"/>
      <c r="AV61" s="210"/>
      <c r="AW61" s="210"/>
      <c r="AX61" s="211"/>
    </row>
    <row r="62" spans="1:50" s="232" customFormat="1" ht="64.5" customHeight="1">
      <c r="A62" s="277">
        <v>2</v>
      </c>
      <c r="B62" s="238" t="s">
        <v>108</v>
      </c>
      <c r="C62" s="201">
        <f t="shared" si="5"/>
        <v>23659260809</v>
      </c>
      <c r="D62" s="201">
        <f t="shared" si="6"/>
        <v>123675000</v>
      </c>
      <c r="E62" s="201">
        <f t="shared" si="40"/>
        <v>103330000</v>
      </c>
      <c r="F62" s="201">
        <f t="shared" si="40"/>
        <v>20345000</v>
      </c>
      <c r="G62" s="204">
        <f t="shared" ref="G62:U62" si="58">SUM(G63:G80)</f>
        <v>140639900</v>
      </c>
      <c r="H62" s="204">
        <f t="shared" si="58"/>
        <v>85331000</v>
      </c>
      <c r="I62" s="204">
        <f t="shared" si="58"/>
        <v>0</v>
      </c>
      <c r="J62" s="204">
        <f t="shared" si="58"/>
        <v>0</v>
      </c>
      <c r="K62" s="204">
        <f t="shared" si="58"/>
        <v>37309900</v>
      </c>
      <c r="L62" s="204">
        <f t="shared" si="58"/>
        <v>64986000</v>
      </c>
      <c r="M62" s="204">
        <f>SUM(M63:M80)</f>
        <v>7753701019</v>
      </c>
      <c r="N62" s="204">
        <f t="shared" si="58"/>
        <v>7514559962</v>
      </c>
      <c r="O62" s="204">
        <f t="shared" si="58"/>
        <v>239141057</v>
      </c>
      <c r="P62" s="204">
        <f t="shared" si="58"/>
        <v>45759500</v>
      </c>
      <c r="Q62" s="204">
        <f t="shared" si="58"/>
        <v>3271100</v>
      </c>
      <c r="R62" s="204">
        <f t="shared" si="58"/>
        <v>7514559962</v>
      </c>
      <c r="S62" s="204">
        <f t="shared" si="58"/>
        <v>239141057</v>
      </c>
      <c r="T62" s="204">
        <f t="shared" si="58"/>
        <v>45759500</v>
      </c>
      <c r="U62" s="204">
        <f t="shared" si="58"/>
        <v>3271100</v>
      </c>
      <c r="V62" s="204">
        <f>SUM(V63:V80)</f>
        <v>15781884790</v>
      </c>
      <c r="W62" s="204">
        <f t="shared" ref="W62:Y62" si="59">SUM(W63:W80)</f>
        <v>0</v>
      </c>
      <c r="X62" s="204">
        <f>SUM(X63:X80)</f>
        <v>15781884790</v>
      </c>
      <c r="Y62" s="204">
        <f t="shared" si="59"/>
        <v>14088604715</v>
      </c>
      <c r="Z62" s="204">
        <f>SUM(Z63:Z80)</f>
        <v>1693280075</v>
      </c>
      <c r="AA62" s="204">
        <f t="shared" ref="AA62:AF62" si="60">SUM(AA63:AA80)</f>
        <v>11988000000</v>
      </c>
      <c r="AB62" s="204">
        <f t="shared" si="60"/>
        <v>1309000000</v>
      </c>
      <c r="AC62" s="204">
        <f t="shared" si="60"/>
        <v>2450621000</v>
      </c>
      <c r="AD62" s="204">
        <f t="shared" si="60"/>
        <v>410152000</v>
      </c>
      <c r="AE62" s="204">
        <f t="shared" si="60"/>
        <v>350016285</v>
      </c>
      <c r="AF62" s="204">
        <f t="shared" si="60"/>
        <v>25871925</v>
      </c>
      <c r="AG62" s="342">
        <f>SUM(AG63:AG80)</f>
        <v>7087521520</v>
      </c>
      <c r="AH62" s="204">
        <f t="shared" ref="AH62:AM62" si="61">SUM(AH63:AH80)</f>
        <v>123675000</v>
      </c>
      <c r="AI62" s="204">
        <f t="shared" si="61"/>
        <v>103330000</v>
      </c>
      <c r="AJ62" s="204">
        <f t="shared" si="61"/>
        <v>20345000</v>
      </c>
      <c r="AK62" s="204">
        <f t="shared" si="61"/>
        <v>6963846520</v>
      </c>
      <c r="AL62" s="204">
        <f t="shared" si="61"/>
        <v>6303591310</v>
      </c>
      <c r="AM62" s="204">
        <f t="shared" si="61"/>
        <v>660255210</v>
      </c>
      <c r="AN62" s="206">
        <f t="shared" si="10"/>
        <v>29.956648169261069</v>
      </c>
      <c r="AO62" s="230"/>
      <c r="AP62" s="278"/>
      <c r="AT62" s="233"/>
      <c r="AU62" s="233"/>
      <c r="AV62" s="234"/>
      <c r="AW62" s="234"/>
      <c r="AX62" s="235"/>
    </row>
    <row r="63" spans="1:50" s="232" customFormat="1" ht="33.75" customHeight="1">
      <c r="A63" s="228" t="s">
        <v>195</v>
      </c>
      <c r="B63" s="229" t="s">
        <v>217</v>
      </c>
      <c r="C63" s="200">
        <f t="shared" si="5"/>
        <v>5146474100</v>
      </c>
      <c r="D63" s="201">
        <f t="shared" si="6"/>
        <v>123675000</v>
      </c>
      <c r="E63" s="201">
        <f t="shared" si="40"/>
        <v>103330000</v>
      </c>
      <c r="F63" s="201">
        <f t="shared" si="40"/>
        <v>20345000</v>
      </c>
      <c r="G63" s="204">
        <v>137212400</v>
      </c>
      <c r="H63" s="204">
        <v>85331000</v>
      </c>
      <c r="I63" s="204"/>
      <c r="J63" s="204"/>
      <c r="K63" s="204">
        <v>33882400</v>
      </c>
      <c r="L63" s="204">
        <v>64986000</v>
      </c>
      <c r="M63" s="202">
        <f>SUM(N63:O63)</f>
        <v>0</v>
      </c>
      <c r="N63" s="202">
        <f t="shared" ref="N63:O78" si="62">+P63+R63-T63</f>
        <v>0</v>
      </c>
      <c r="O63" s="202">
        <f t="shared" si="62"/>
        <v>0</v>
      </c>
      <c r="P63" s="204"/>
      <c r="Q63" s="204"/>
      <c r="R63" s="204"/>
      <c r="S63" s="204"/>
      <c r="T63" s="204"/>
      <c r="U63" s="204"/>
      <c r="V63" s="205">
        <f t="shared" ref="V63:V79" si="63">SUM(W63:X63)</f>
        <v>5022799100</v>
      </c>
      <c r="W63" s="204"/>
      <c r="X63" s="204">
        <f>SUM(Y63:Z63)</f>
        <v>5022799100</v>
      </c>
      <c r="Y63" s="204">
        <f>+AA63+AC63-AE63</f>
        <v>4473454100</v>
      </c>
      <c r="Z63" s="204">
        <f>+AB63+AD63-AF63</f>
        <v>549345000</v>
      </c>
      <c r="AA63" s="204">
        <v>3827000000</v>
      </c>
      <c r="AB63" s="204">
        <v>418000000</v>
      </c>
      <c r="AC63" s="204">
        <v>825598000</v>
      </c>
      <c r="AD63" s="204">
        <v>150152000</v>
      </c>
      <c r="AE63" s="204">
        <v>179143900</v>
      </c>
      <c r="AF63" s="204">
        <v>18807000</v>
      </c>
      <c r="AG63" s="340">
        <f>+AK63+AH63</f>
        <v>2511866080</v>
      </c>
      <c r="AH63" s="342">
        <f>SUM(AI63:AJ63)</f>
        <v>123675000</v>
      </c>
      <c r="AI63" s="342">
        <v>103330000</v>
      </c>
      <c r="AJ63" s="342">
        <v>20345000</v>
      </c>
      <c r="AK63" s="340">
        <f t="shared" si="49"/>
        <v>2388191080</v>
      </c>
      <c r="AL63" s="342">
        <f>2284939548-AI63</f>
        <v>2181609548</v>
      </c>
      <c r="AM63" s="342">
        <f>226926532-AJ63</f>
        <v>206581532</v>
      </c>
      <c r="AN63" s="206">
        <f t="shared" si="10"/>
        <v>48.80751425524516</v>
      </c>
      <c r="AO63" s="230"/>
      <c r="AP63" s="279"/>
      <c r="AQ63" s="280">
        <f>+AI63+AL63</f>
        <v>2284939548</v>
      </c>
      <c r="AR63" s="280">
        <f>+AJ63+AM63</f>
        <v>226926532</v>
      </c>
      <c r="AT63" s="233"/>
      <c r="AU63" s="233"/>
      <c r="AV63" s="234"/>
      <c r="AW63" s="234"/>
      <c r="AX63" s="235"/>
    </row>
    <row r="64" spans="1:50" s="232" customFormat="1" ht="15" customHeight="1">
      <c r="A64" s="228" t="s">
        <v>195</v>
      </c>
      <c r="B64" s="229" t="s">
        <v>213</v>
      </c>
      <c r="C64" s="200">
        <f t="shared" si="5"/>
        <v>800000000</v>
      </c>
      <c r="D64" s="201">
        <f t="shared" si="6"/>
        <v>0</v>
      </c>
      <c r="E64" s="201">
        <f t="shared" si="40"/>
        <v>0</v>
      </c>
      <c r="F64" s="201">
        <f t="shared" si="40"/>
        <v>0</v>
      </c>
      <c r="G64" s="205"/>
      <c r="H64" s="205"/>
      <c r="I64" s="205"/>
      <c r="J64" s="205"/>
      <c r="K64" s="205"/>
      <c r="L64" s="205"/>
      <c r="M64" s="202">
        <f t="shared" ref="M64:M80" si="64">SUM(N64:O64)</f>
        <v>300000000</v>
      </c>
      <c r="N64" s="202">
        <f t="shared" si="62"/>
        <v>300000000</v>
      </c>
      <c r="O64" s="202">
        <f t="shared" si="62"/>
        <v>0</v>
      </c>
      <c r="P64" s="205"/>
      <c r="Q64" s="205"/>
      <c r="R64" s="205">
        <v>300000000</v>
      </c>
      <c r="S64" s="205"/>
      <c r="T64" s="205"/>
      <c r="U64" s="205"/>
      <c r="V64" s="205">
        <f t="shared" si="63"/>
        <v>500000000</v>
      </c>
      <c r="W64" s="223"/>
      <c r="X64" s="204">
        <f t="shared" ref="X64:X80" si="65">SUM(Y64:Z64)</f>
        <v>500000000</v>
      </c>
      <c r="Y64" s="204">
        <f t="shared" ref="Y64:Z80" si="66">+AA64+AC64-AE64</f>
        <v>451000000</v>
      </c>
      <c r="Z64" s="204">
        <f t="shared" si="66"/>
        <v>49000000</v>
      </c>
      <c r="AA64" s="281">
        <v>451000000</v>
      </c>
      <c r="AB64" s="281">
        <v>49000000</v>
      </c>
      <c r="AC64" s="205"/>
      <c r="AD64" s="205"/>
      <c r="AE64" s="205"/>
      <c r="AF64" s="205"/>
      <c r="AG64" s="340">
        <f t="shared" ref="AG64:AG80" si="67">+AK64+AH64</f>
        <v>0</v>
      </c>
      <c r="AH64" s="223"/>
      <c r="AI64" s="223"/>
      <c r="AJ64" s="223"/>
      <c r="AK64" s="202">
        <f t="shared" si="49"/>
        <v>0</v>
      </c>
      <c r="AL64" s="223"/>
      <c r="AM64" s="223"/>
      <c r="AN64" s="206">
        <f t="shared" si="10"/>
        <v>0</v>
      </c>
      <c r="AO64" s="230"/>
      <c r="AP64" s="230"/>
      <c r="AT64" s="233"/>
      <c r="AU64" s="233"/>
      <c r="AV64" s="234"/>
      <c r="AW64" s="234"/>
      <c r="AX64" s="235"/>
    </row>
    <row r="65" spans="1:50" s="232" customFormat="1" ht="15" customHeight="1">
      <c r="A65" s="228" t="s">
        <v>195</v>
      </c>
      <c r="B65" s="229" t="s">
        <v>210</v>
      </c>
      <c r="C65" s="200">
        <f t="shared" si="5"/>
        <v>520000000</v>
      </c>
      <c r="D65" s="201">
        <f t="shared" si="6"/>
        <v>0</v>
      </c>
      <c r="E65" s="201">
        <f t="shared" si="40"/>
        <v>0</v>
      </c>
      <c r="F65" s="201">
        <f t="shared" si="40"/>
        <v>0</v>
      </c>
      <c r="G65" s="205"/>
      <c r="H65" s="205"/>
      <c r="I65" s="205"/>
      <c r="J65" s="205"/>
      <c r="K65" s="205"/>
      <c r="L65" s="205"/>
      <c r="M65" s="202">
        <f t="shared" si="64"/>
        <v>0</v>
      </c>
      <c r="N65" s="202">
        <f t="shared" si="62"/>
        <v>0</v>
      </c>
      <c r="O65" s="202">
        <f t="shared" si="62"/>
        <v>0</v>
      </c>
      <c r="P65" s="205"/>
      <c r="Q65" s="205"/>
      <c r="R65" s="205"/>
      <c r="S65" s="205"/>
      <c r="T65" s="205"/>
      <c r="U65" s="205"/>
      <c r="V65" s="205">
        <f t="shared" si="63"/>
        <v>520000000</v>
      </c>
      <c r="W65" s="223"/>
      <c r="X65" s="204">
        <f t="shared" si="65"/>
        <v>520000000</v>
      </c>
      <c r="Y65" s="204">
        <f t="shared" si="66"/>
        <v>469000000</v>
      </c>
      <c r="Z65" s="204">
        <f t="shared" si="66"/>
        <v>51000000</v>
      </c>
      <c r="AA65" s="281">
        <v>469000000</v>
      </c>
      <c r="AB65" s="281">
        <v>51000000</v>
      </c>
      <c r="AC65" s="205"/>
      <c r="AD65" s="205"/>
      <c r="AE65" s="205"/>
      <c r="AF65" s="205"/>
      <c r="AG65" s="340">
        <f t="shared" si="67"/>
        <v>372208000</v>
      </c>
      <c r="AH65" s="223"/>
      <c r="AI65" s="223"/>
      <c r="AJ65" s="223"/>
      <c r="AK65" s="340">
        <f t="shared" si="49"/>
        <v>372208000</v>
      </c>
      <c r="AL65" s="343">
        <v>335208000</v>
      </c>
      <c r="AM65" s="343">
        <v>37000000</v>
      </c>
      <c r="AN65" s="206">
        <f t="shared" si="10"/>
        <v>71.578461538461539</v>
      </c>
      <c r="AO65" s="230"/>
      <c r="AP65" s="230"/>
      <c r="AT65" s="233"/>
      <c r="AU65" s="233"/>
      <c r="AV65" s="234"/>
      <c r="AW65" s="234"/>
      <c r="AX65" s="235"/>
    </row>
    <row r="66" spans="1:50" s="232" customFormat="1" ht="15" customHeight="1">
      <c r="A66" s="228" t="s">
        <v>195</v>
      </c>
      <c r="B66" s="229" t="s">
        <v>205</v>
      </c>
      <c r="C66" s="200">
        <f t="shared" si="5"/>
        <v>619832090</v>
      </c>
      <c r="D66" s="201">
        <f t="shared" si="6"/>
        <v>0</v>
      </c>
      <c r="E66" s="201">
        <f t="shared" si="40"/>
        <v>0</v>
      </c>
      <c r="F66" s="201">
        <f t="shared" si="40"/>
        <v>0</v>
      </c>
      <c r="G66" s="205"/>
      <c r="H66" s="205"/>
      <c r="I66" s="205"/>
      <c r="J66" s="205"/>
      <c r="K66" s="205"/>
      <c r="L66" s="205"/>
      <c r="M66" s="202">
        <f t="shared" si="64"/>
        <v>0</v>
      </c>
      <c r="N66" s="202">
        <f t="shared" si="62"/>
        <v>0</v>
      </c>
      <c r="O66" s="202">
        <f t="shared" si="62"/>
        <v>0</v>
      </c>
      <c r="P66" s="205"/>
      <c r="Q66" s="205"/>
      <c r="R66" s="205"/>
      <c r="S66" s="205"/>
      <c r="T66" s="205"/>
      <c r="U66" s="205"/>
      <c r="V66" s="205">
        <f t="shared" si="63"/>
        <v>619832090</v>
      </c>
      <c r="W66" s="223"/>
      <c r="X66" s="204">
        <f t="shared" si="65"/>
        <v>619832090</v>
      </c>
      <c r="Y66" s="204">
        <f t="shared" si="66"/>
        <v>550832090</v>
      </c>
      <c r="Z66" s="204">
        <f t="shared" si="66"/>
        <v>69000000</v>
      </c>
      <c r="AA66" s="281">
        <v>631000000</v>
      </c>
      <c r="AB66" s="281">
        <v>69000000</v>
      </c>
      <c r="AC66" s="205"/>
      <c r="AD66" s="205"/>
      <c r="AE66" s="205">
        <v>80167910</v>
      </c>
      <c r="AF66" s="205"/>
      <c r="AG66" s="340">
        <f t="shared" si="67"/>
        <v>619131340</v>
      </c>
      <c r="AH66" s="223"/>
      <c r="AI66" s="223"/>
      <c r="AJ66" s="223"/>
      <c r="AK66" s="340">
        <f t="shared" si="49"/>
        <v>619131340</v>
      </c>
      <c r="AL66" s="343">
        <v>550131340</v>
      </c>
      <c r="AM66" s="343">
        <v>69000000</v>
      </c>
      <c r="AN66" s="206">
        <f t="shared" si="10"/>
        <v>99.886945188655858</v>
      </c>
      <c r="AO66" s="230"/>
      <c r="AP66" s="279"/>
      <c r="AT66" s="233"/>
      <c r="AU66" s="233"/>
      <c r="AV66" s="234"/>
      <c r="AW66" s="234"/>
      <c r="AX66" s="235"/>
    </row>
    <row r="67" spans="1:50" s="232" customFormat="1" ht="15" customHeight="1">
      <c r="A67" s="228" t="s">
        <v>195</v>
      </c>
      <c r="B67" s="229" t="s">
        <v>214</v>
      </c>
      <c r="C67" s="200">
        <f t="shared" si="5"/>
        <v>2006855986</v>
      </c>
      <c r="D67" s="201">
        <f t="shared" si="6"/>
        <v>0</v>
      </c>
      <c r="E67" s="201">
        <f t="shared" si="40"/>
        <v>0</v>
      </c>
      <c r="F67" s="201">
        <f t="shared" si="40"/>
        <v>0</v>
      </c>
      <c r="G67" s="205"/>
      <c r="H67" s="205"/>
      <c r="I67" s="205"/>
      <c r="J67" s="205"/>
      <c r="K67" s="205"/>
      <c r="L67" s="205"/>
      <c r="M67" s="202">
        <f t="shared" si="64"/>
        <v>1516855986</v>
      </c>
      <c r="N67" s="202">
        <f t="shared" si="62"/>
        <v>1485110437</v>
      </c>
      <c r="O67" s="202">
        <f t="shared" si="62"/>
        <v>31745549</v>
      </c>
      <c r="P67" s="205"/>
      <c r="Q67" s="205"/>
      <c r="R67" s="205">
        <v>1485110437</v>
      </c>
      <c r="S67" s="205">
        <v>31745549</v>
      </c>
      <c r="T67" s="205"/>
      <c r="U67" s="205"/>
      <c r="V67" s="205">
        <f t="shared" si="63"/>
        <v>490000000</v>
      </c>
      <c r="W67" s="223"/>
      <c r="X67" s="204">
        <f t="shared" si="65"/>
        <v>490000000</v>
      </c>
      <c r="Y67" s="204">
        <f>+AA67+AC67-AE67</f>
        <v>441200000</v>
      </c>
      <c r="Z67" s="204">
        <f t="shared" si="66"/>
        <v>48800000</v>
      </c>
      <c r="AA67" s="281">
        <v>478000000</v>
      </c>
      <c r="AB67" s="281">
        <v>52000000</v>
      </c>
      <c r="AC67" s="205"/>
      <c r="AD67" s="205"/>
      <c r="AE67" s="205">
        <v>36800000</v>
      </c>
      <c r="AF67" s="205">
        <v>3200000</v>
      </c>
      <c r="AG67" s="340">
        <f>+AK67+AH67</f>
        <v>481600400</v>
      </c>
      <c r="AH67" s="223"/>
      <c r="AI67" s="223"/>
      <c r="AJ67" s="223"/>
      <c r="AK67" s="340">
        <f t="shared" si="49"/>
        <v>481600400</v>
      </c>
      <c r="AL67" s="343">
        <v>433192400</v>
      </c>
      <c r="AM67" s="343">
        <v>48408000</v>
      </c>
      <c r="AN67" s="206">
        <f t="shared" si="10"/>
        <v>23.99775586089315</v>
      </c>
      <c r="AO67" s="230"/>
      <c r="AP67" s="230"/>
      <c r="AT67" s="233"/>
      <c r="AU67" s="233"/>
      <c r="AV67" s="234"/>
      <c r="AW67" s="234"/>
      <c r="AX67" s="235"/>
    </row>
    <row r="68" spans="1:50" s="232" customFormat="1" ht="15" customHeight="1">
      <c r="A68" s="228"/>
      <c r="B68" s="229" t="s">
        <v>206</v>
      </c>
      <c r="C68" s="200">
        <f t="shared" si="5"/>
        <v>550000000</v>
      </c>
      <c r="D68" s="201">
        <f t="shared" si="6"/>
        <v>0</v>
      </c>
      <c r="E68" s="201">
        <f t="shared" si="40"/>
        <v>0</v>
      </c>
      <c r="F68" s="201">
        <f t="shared" si="40"/>
        <v>0</v>
      </c>
      <c r="G68" s="205"/>
      <c r="H68" s="205"/>
      <c r="I68" s="205"/>
      <c r="J68" s="205"/>
      <c r="K68" s="205"/>
      <c r="L68" s="205"/>
      <c r="M68" s="202">
        <f t="shared" si="64"/>
        <v>550000000</v>
      </c>
      <c r="N68" s="202">
        <f t="shared" si="62"/>
        <v>457500000</v>
      </c>
      <c r="O68" s="202">
        <f t="shared" si="62"/>
        <v>92500000</v>
      </c>
      <c r="P68" s="205"/>
      <c r="Q68" s="205"/>
      <c r="R68" s="205">
        <v>457500000</v>
      </c>
      <c r="S68" s="205">
        <v>92500000</v>
      </c>
      <c r="T68" s="205"/>
      <c r="U68" s="205"/>
      <c r="V68" s="205"/>
      <c r="W68" s="223"/>
      <c r="X68" s="204">
        <f t="shared" si="65"/>
        <v>0</v>
      </c>
      <c r="Y68" s="204">
        <f t="shared" si="66"/>
        <v>0</v>
      </c>
      <c r="Z68" s="204">
        <f t="shared" si="66"/>
        <v>0</v>
      </c>
      <c r="AA68" s="281">
        <v>0</v>
      </c>
      <c r="AB68" s="281">
        <v>0</v>
      </c>
      <c r="AC68" s="205"/>
      <c r="AD68" s="205"/>
      <c r="AE68" s="205"/>
      <c r="AF68" s="205"/>
      <c r="AG68" s="340">
        <f t="shared" ref="AG68:AG70" si="68">+AK68+AH68</f>
        <v>0</v>
      </c>
      <c r="AH68" s="223"/>
      <c r="AI68" s="223"/>
      <c r="AJ68" s="223"/>
      <c r="AK68" s="202">
        <f t="shared" si="49"/>
        <v>0</v>
      </c>
      <c r="AL68" s="205"/>
      <c r="AM68" s="205"/>
      <c r="AN68" s="206">
        <f t="shared" si="10"/>
        <v>0</v>
      </c>
      <c r="AO68" s="230"/>
      <c r="AP68" s="230"/>
      <c r="AT68" s="233"/>
      <c r="AU68" s="233"/>
      <c r="AV68" s="234"/>
      <c r="AW68" s="234"/>
      <c r="AX68" s="235"/>
    </row>
    <row r="69" spans="1:50" s="232" customFormat="1" ht="15" customHeight="1">
      <c r="A69" s="228" t="s">
        <v>195</v>
      </c>
      <c r="B69" s="229" t="s">
        <v>199</v>
      </c>
      <c r="C69" s="200">
        <f t="shared" si="5"/>
        <v>1409738000</v>
      </c>
      <c r="D69" s="201">
        <f t="shared" si="6"/>
        <v>0</v>
      </c>
      <c r="E69" s="201">
        <f t="shared" si="40"/>
        <v>0</v>
      </c>
      <c r="F69" s="201">
        <f t="shared" si="40"/>
        <v>0</v>
      </c>
      <c r="G69" s="205"/>
      <c r="H69" s="205"/>
      <c r="I69" s="205"/>
      <c r="J69" s="205"/>
      <c r="K69" s="205"/>
      <c r="L69" s="205"/>
      <c r="M69" s="202">
        <f t="shared" si="64"/>
        <v>916738000</v>
      </c>
      <c r="N69" s="202">
        <f t="shared" si="62"/>
        <v>911199017</v>
      </c>
      <c r="O69" s="202">
        <f t="shared" si="62"/>
        <v>5538983</v>
      </c>
      <c r="P69" s="205"/>
      <c r="Q69" s="205"/>
      <c r="R69" s="205">
        <v>911199017</v>
      </c>
      <c r="S69" s="205">
        <v>5538983</v>
      </c>
      <c r="T69" s="205"/>
      <c r="U69" s="205"/>
      <c r="V69" s="205">
        <f t="shared" si="63"/>
        <v>493000000</v>
      </c>
      <c r="W69" s="223"/>
      <c r="X69" s="204">
        <f t="shared" si="65"/>
        <v>493000000</v>
      </c>
      <c r="Y69" s="204">
        <f t="shared" si="66"/>
        <v>444000000</v>
      </c>
      <c r="Z69" s="204">
        <f t="shared" si="66"/>
        <v>49000000</v>
      </c>
      <c r="AA69" s="281">
        <v>444000000</v>
      </c>
      <c r="AB69" s="281">
        <v>49000000</v>
      </c>
      <c r="AC69" s="205"/>
      <c r="AD69" s="205"/>
      <c r="AE69" s="205"/>
      <c r="AF69" s="205"/>
      <c r="AG69" s="340">
        <f t="shared" si="68"/>
        <v>0</v>
      </c>
      <c r="AH69" s="205"/>
      <c r="AI69" s="205"/>
      <c r="AJ69" s="205"/>
      <c r="AK69" s="202">
        <f t="shared" si="49"/>
        <v>0</v>
      </c>
      <c r="AL69" s="205"/>
      <c r="AM69" s="205"/>
      <c r="AN69" s="206">
        <f t="shared" si="10"/>
        <v>0</v>
      </c>
      <c r="AO69" s="230"/>
      <c r="AP69" s="230"/>
      <c r="AT69" s="233"/>
      <c r="AU69" s="233"/>
      <c r="AV69" s="234"/>
      <c r="AW69" s="234"/>
      <c r="AX69" s="235"/>
    </row>
    <row r="70" spans="1:50" s="232" customFormat="1" ht="15" customHeight="1">
      <c r="A70" s="228" t="s">
        <v>195</v>
      </c>
      <c r="B70" s="229" t="s">
        <v>207</v>
      </c>
      <c r="C70" s="200">
        <f t="shared" si="5"/>
        <v>1933000000</v>
      </c>
      <c r="D70" s="201">
        <f t="shared" si="6"/>
        <v>0</v>
      </c>
      <c r="E70" s="201">
        <f t="shared" si="40"/>
        <v>0</v>
      </c>
      <c r="F70" s="201">
        <f t="shared" si="40"/>
        <v>0</v>
      </c>
      <c r="G70" s="205"/>
      <c r="H70" s="205"/>
      <c r="I70" s="205"/>
      <c r="J70" s="205"/>
      <c r="K70" s="205"/>
      <c r="L70" s="205"/>
      <c r="M70" s="202">
        <f t="shared" si="64"/>
        <v>1333000000</v>
      </c>
      <c r="N70" s="202">
        <f t="shared" si="62"/>
        <v>1333000000</v>
      </c>
      <c r="O70" s="202">
        <f t="shared" si="62"/>
        <v>0</v>
      </c>
      <c r="P70" s="205"/>
      <c r="Q70" s="205"/>
      <c r="R70" s="205">
        <v>1333000000</v>
      </c>
      <c r="S70" s="205"/>
      <c r="T70" s="205"/>
      <c r="U70" s="205"/>
      <c r="V70" s="205">
        <f t="shared" si="63"/>
        <v>600000000</v>
      </c>
      <c r="W70" s="223"/>
      <c r="X70" s="204">
        <f t="shared" si="65"/>
        <v>600000000</v>
      </c>
      <c r="Y70" s="204">
        <f t="shared" si="66"/>
        <v>541000000</v>
      </c>
      <c r="Z70" s="204">
        <f t="shared" si="66"/>
        <v>59000000</v>
      </c>
      <c r="AA70" s="281">
        <v>541000000</v>
      </c>
      <c r="AB70" s="281">
        <v>59000000</v>
      </c>
      <c r="AC70" s="205"/>
      <c r="AD70" s="205"/>
      <c r="AE70" s="205"/>
      <c r="AF70" s="205"/>
      <c r="AG70" s="340">
        <f t="shared" si="68"/>
        <v>535755550</v>
      </c>
      <c r="AH70" s="223"/>
      <c r="AI70" s="223"/>
      <c r="AJ70" s="223"/>
      <c r="AK70" s="340">
        <f t="shared" si="49"/>
        <v>535755550</v>
      </c>
      <c r="AL70" s="343">
        <v>506876472</v>
      </c>
      <c r="AM70" s="343">
        <v>28879078</v>
      </c>
      <c r="AN70" s="206">
        <f t="shared" si="10"/>
        <v>27.716272633212625</v>
      </c>
      <c r="AO70" s="230"/>
      <c r="AP70" s="230"/>
      <c r="AT70" s="233"/>
      <c r="AU70" s="233"/>
      <c r="AV70" s="234"/>
      <c r="AW70" s="234"/>
      <c r="AX70" s="235"/>
    </row>
    <row r="71" spans="1:50" s="232" customFormat="1" ht="15" customHeight="1">
      <c r="A71" s="228" t="s">
        <v>195</v>
      </c>
      <c r="B71" s="229" t="s">
        <v>200</v>
      </c>
      <c r="C71" s="200">
        <f t="shared" si="5"/>
        <v>1152000000</v>
      </c>
      <c r="D71" s="201">
        <f t="shared" si="6"/>
        <v>0</v>
      </c>
      <c r="E71" s="201">
        <f t="shared" si="40"/>
        <v>0</v>
      </c>
      <c r="F71" s="201">
        <f t="shared" si="40"/>
        <v>0</v>
      </c>
      <c r="G71" s="205"/>
      <c r="H71" s="205"/>
      <c r="I71" s="205"/>
      <c r="J71" s="205"/>
      <c r="K71" s="205"/>
      <c r="L71" s="205"/>
      <c r="M71" s="202">
        <f t="shared" si="64"/>
        <v>0</v>
      </c>
      <c r="N71" s="202">
        <f t="shared" si="62"/>
        <v>0</v>
      </c>
      <c r="O71" s="202">
        <f t="shared" si="62"/>
        <v>0</v>
      </c>
      <c r="P71" s="205"/>
      <c r="Q71" s="205"/>
      <c r="R71" s="205"/>
      <c r="S71" s="205"/>
      <c r="T71" s="205"/>
      <c r="U71" s="205"/>
      <c r="V71" s="205">
        <f t="shared" si="63"/>
        <v>1152000000</v>
      </c>
      <c r="W71" s="223"/>
      <c r="X71" s="204">
        <f t="shared" si="65"/>
        <v>1152000000</v>
      </c>
      <c r="Y71" s="204">
        <f t="shared" si="66"/>
        <v>1023000000</v>
      </c>
      <c r="Z71" s="204">
        <f t="shared" si="66"/>
        <v>129000000</v>
      </c>
      <c r="AA71" s="281">
        <v>721000000</v>
      </c>
      <c r="AB71" s="281">
        <v>79000000</v>
      </c>
      <c r="AC71" s="205">
        <v>302000000</v>
      </c>
      <c r="AD71" s="205">
        <v>50000000</v>
      </c>
      <c r="AE71" s="205"/>
      <c r="AF71" s="205"/>
      <c r="AG71" s="340">
        <f t="shared" si="67"/>
        <v>467712000</v>
      </c>
      <c r="AH71" s="223"/>
      <c r="AI71" s="223"/>
      <c r="AJ71" s="223"/>
      <c r="AK71" s="340">
        <f t="shared" si="49"/>
        <v>467712000</v>
      </c>
      <c r="AL71" s="343">
        <v>421712000</v>
      </c>
      <c r="AM71" s="343">
        <v>46000000</v>
      </c>
      <c r="AN71" s="206">
        <f t="shared" si="10"/>
        <v>40.6</v>
      </c>
      <c r="AO71" s="230"/>
      <c r="AP71" s="230"/>
      <c r="AT71" s="233"/>
      <c r="AU71" s="233"/>
      <c r="AV71" s="234"/>
      <c r="AW71" s="234"/>
      <c r="AX71" s="235"/>
    </row>
    <row r="72" spans="1:50" s="232" customFormat="1" ht="15" customHeight="1">
      <c r="A72" s="228" t="s">
        <v>195</v>
      </c>
      <c r="B72" s="229" t="s">
        <v>201</v>
      </c>
      <c r="C72" s="200">
        <f t="shared" si="5"/>
        <v>676553000</v>
      </c>
      <c r="D72" s="201">
        <f t="shared" si="6"/>
        <v>0</v>
      </c>
      <c r="E72" s="201">
        <f t="shared" si="40"/>
        <v>0</v>
      </c>
      <c r="F72" s="201">
        <f t="shared" si="40"/>
        <v>0</v>
      </c>
      <c r="G72" s="205"/>
      <c r="H72" s="205"/>
      <c r="I72" s="205"/>
      <c r="J72" s="205"/>
      <c r="K72" s="205"/>
      <c r="L72" s="205"/>
      <c r="M72" s="202">
        <f t="shared" si="64"/>
        <v>0</v>
      </c>
      <c r="N72" s="202">
        <f t="shared" si="62"/>
        <v>0</v>
      </c>
      <c r="O72" s="202">
        <f t="shared" si="62"/>
        <v>0</v>
      </c>
      <c r="P72" s="205"/>
      <c r="Q72" s="205"/>
      <c r="R72" s="205"/>
      <c r="S72" s="205"/>
      <c r="T72" s="205"/>
      <c r="U72" s="205"/>
      <c r="V72" s="205">
        <f t="shared" si="63"/>
        <v>676553000</v>
      </c>
      <c r="W72" s="223"/>
      <c r="X72" s="204">
        <f t="shared" si="65"/>
        <v>676553000</v>
      </c>
      <c r="Y72" s="204">
        <f t="shared" si="66"/>
        <v>594553000</v>
      </c>
      <c r="Z72" s="204">
        <f t="shared" si="66"/>
        <v>82000000</v>
      </c>
      <c r="AA72" s="281">
        <v>293000000</v>
      </c>
      <c r="AB72" s="281">
        <v>32000000</v>
      </c>
      <c r="AC72" s="205">
        <v>301553000</v>
      </c>
      <c r="AD72" s="205">
        <v>50000000</v>
      </c>
      <c r="AE72" s="205"/>
      <c r="AF72" s="205"/>
      <c r="AG72" s="340">
        <f t="shared" si="67"/>
        <v>0</v>
      </c>
      <c r="AH72" s="223"/>
      <c r="AI72" s="223"/>
      <c r="AJ72" s="223"/>
      <c r="AK72" s="202">
        <f t="shared" si="49"/>
        <v>0</v>
      </c>
      <c r="AL72" s="223"/>
      <c r="AM72" s="223"/>
      <c r="AN72" s="206">
        <f t="shared" si="10"/>
        <v>0</v>
      </c>
      <c r="AO72" s="230"/>
      <c r="AP72" s="230"/>
      <c r="AT72" s="233"/>
      <c r="AU72" s="233"/>
      <c r="AV72" s="234"/>
      <c r="AW72" s="234"/>
      <c r="AX72" s="235"/>
    </row>
    <row r="73" spans="1:50" s="232" customFormat="1" ht="15" customHeight="1">
      <c r="A73" s="228" t="s">
        <v>195</v>
      </c>
      <c r="B73" s="229" t="s">
        <v>216</v>
      </c>
      <c r="C73" s="200">
        <f t="shared" si="5"/>
        <v>2404521400</v>
      </c>
      <c r="D73" s="201">
        <f t="shared" si="6"/>
        <v>0</v>
      </c>
      <c r="E73" s="201">
        <f t="shared" si="40"/>
        <v>0</v>
      </c>
      <c r="F73" s="201">
        <f t="shared" si="40"/>
        <v>0</v>
      </c>
      <c r="G73" s="205"/>
      <c r="H73" s="205"/>
      <c r="I73" s="205"/>
      <c r="J73" s="205"/>
      <c r="K73" s="205"/>
      <c r="L73" s="205"/>
      <c r="M73" s="202">
        <f t="shared" si="64"/>
        <v>1104521400</v>
      </c>
      <c r="N73" s="202">
        <f t="shared" si="62"/>
        <v>1099594800</v>
      </c>
      <c r="O73" s="202">
        <f t="shared" si="62"/>
        <v>4926600</v>
      </c>
      <c r="P73" s="205"/>
      <c r="Q73" s="205"/>
      <c r="R73" s="205">
        <v>1099594800</v>
      </c>
      <c r="S73" s="205">
        <v>4926600</v>
      </c>
      <c r="T73" s="205"/>
      <c r="U73" s="205"/>
      <c r="V73" s="205">
        <f t="shared" si="63"/>
        <v>1300000000</v>
      </c>
      <c r="W73" s="223"/>
      <c r="X73" s="204">
        <f t="shared" si="65"/>
        <v>1300000000</v>
      </c>
      <c r="Y73" s="204">
        <f t="shared" si="66"/>
        <v>1172000000</v>
      </c>
      <c r="Z73" s="204">
        <f t="shared" si="66"/>
        <v>128000000</v>
      </c>
      <c r="AA73" s="281">
        <v>1172000000</v>
      </c>
      <c r="AB73" s="281">
        <v>128000000</v>
      </c>
      <c r="AC73" s="205"/>
      <c r="AD73" s="205"/>
      <c r="AE73" s="205"/>
      <c r="AF73" s="205"/>
      <c r="AG73" s="340">
        <f t="shared" si="67"/>
        <v>1142470150</v>
      </c>
      <c r="AH73" s="223"/>
      <c r="AI73" s="223"/>
      <c r="AJ73" s="223"/>
      <c r="AK73" s="340">
        <f t="shared" si="49"/>
        <v>1142470150</v>
      </c>
      <c r="AL73" s="343">
        <v>1021268550</v>
      </c>
      <c r="AM73" s="343">
        <v>121201600</v>
      </c>
      <c r="AN73" s="206">
        <f t="shared" si="10"/>
        <v>47.51341160864694</v>
      </c>
      <c r="AO73" s="230"/>
      <c r="AP73" s="230"/>
      <c r="AT73" s="233"/>
      <c r="AU73" s="233"/>
      <c r="AV73" s="234"/>
      <c r="AW73" s="234"/>
      <c r="AX73" s="235"/>
    </row>
    <row r="74" spans="1:50" s="232" customFormat="1" ht="15" customHeight="1">
      <c r="A74" s="228" t="s">
        <v>195</v>
      </c>
      <c r="B74" s="229" t="s">
        <v>203</v>
      </c>
      <c r="C74" s="200">
        <f t="shared" si="5"/>
        <v>1119150000</v>
      </c>
      <c r="D74" s="201">
        <f t="shared" si="6"/>
        <v>0</v>
      </c>
      <c r="E74" s="201">
        <f t="shared" si="40"/>
        <v>0</v>
      </c>
      <c r="F74" s="201">
        <f t="shared" si="40"/>
        <v>0</v>
      </c>
      <c r="G74" s="205"/>
      <c r="H74" s="205"/>
      <c r="I74" s="205"/>
      <c r="J74" s="205"/>
      <c r="K74" s="205"/>
      <c r="L74" s="205"/>
      <c r="M74" s="202">
        <f t="shared" si="64"/>
        <v>560000000</v>
      </c>
      <c r="N74" s="202">
        <f t="shared" si="62"/>
        <v>560000000</v>
      </c>
      <c r="O74" s="202">
        <f t="shared" si="62"/>
        <v>0</v>
      </c>
      <c r="P74" s="205"/>
      <c r="Q74" s="205"/>
      <c r="R74" s="205">
        <v>560000000</v>
      </c>
      <c r="S74" s="205"/>
      <c r="T74" s="205"/>
      <c r="U74" s="205"/>
      <c r="V74" s="205">
        <f>SUM(W74:X74)</f>
        <v>559150000</v>
      </c>
      <c r="W74" s="223"/>
      <c r="X74" s="204">
        <f t="shared" si="65"/>
        <v>559150000</v>
      </c>
      <c r="Y74" s="204">
        <f t="shared" si="66"/>
        <v>501150000</v>
      </c>
      <c r="Z74" s="204">
        <f t="shared" si="66"/>
        <v>58000000</v>
      </c>
      <c r="AA74" s="281">
        <v>528000000</v>
      </c>
      <c r="AB74" s="281">
        <v>58000000</v>
      </c>
      <c r="AC74" s="205"/>
      <c r="AD74" s="205"/>
      <c r="AE74" s="205">
        <v>26850000</v>
      </c>
      <c r="AF74" s="205"/>
      <c r="AG74" s="340">
        <f t="shared" si="67"/>
        <v>256585000</v>
      </c>
      <c r="AH74" s="223"/>
      <c r="AI74" s="223"/>
      <c r="AJ74" s="223"/>
      <c r="AK74" s="340">
        <f t="shared" si="49"/>
        <v>256585000</v>
      </c>
      <c r="AL74" s="343">
        <v>228400000</v>
      </c>
      <c r="AM74" s="343">
        <v>28185000</v>
      </c>
      <c r="AN74" s="206">
        <f t="shared" si="10"/>
        <v>22.926774784434613</v>
      </c>
      <c r="AO74" s="230"/>
      <c r="AP74" s="230"/>
      <c r="AT74" s="233"/>
      <c r="AU74" s="233"/>
      <c r="AV74" s="234"/>
      <c r="AW74" s="234"/>
      <c r="AX74" s="235"/>
    </row>
    <row r="75" spans="1:50" s="232" customFormat="1" ht="15" customHeight="1">
      <c r="A75" s="228" t="s">
        <v>195</v>
      </c>
      <c r="B75" s="229" t="s">
        <v>208</v>
      </c>
      <c r="C75" s="200">
        <f t="shared" si="5"/>
        <v>1125991005</v>
      </c>
      <c r="D75" s="201">
        <f t="shared" si="6"/>
        <v>0</v>
      </c>
      <c r="E75" s="201">
        <f t="shared" si="40"/>
        <v>0</v>
      </c>
      <c r="F75" s="201">
        <f t="shared" si="40"/>
        <v>0</v>
      </c>
      <c r="G75" s="205"/>
      <c r="H75" s="205"/>
      <c r="I75" s="205"/>
      <c r="J75" s="205"/>
      <c r="K75" s="205"/>
      <c r="L75" s="205"/>
      <c r="M75" s="202">
        <f t="shared" si="64"/>
        <v>686991005</v>
      </c>
      <c r="N75" s="202">
        <f t="shared" si="62"/>
        <v>588076005</v>
      </c>
      <c r="O75" s="202">
        <f t="shared" si="62"/>
        <v>98915000</v>
      </c>
      <c r="P75" s="205"/>
      <c r="Q75" s="205"/>
      <c r="R75" s="205">
        <v>588076005</v>
      </c>
      <c r="S75" s="205">
        <v>98915000</v>
      </c>
      <c r="T75" s="205"/>
      <c r="U75" s="205"/>
      <c r="V75" s="205">
        <f t="shared" si="63"/>
        <v>439000000</v>
      </c>
      <c r="W75" s="223"/>
      <c r="X75" s="204">
        <f t="shared" si="65"/>
        <v>439000000</v>
      </c>
      <c r="Y75" s="204">
        <f t="shared" si="66"/>
        <v>396000000</v>
      </c>
      <c r="Z75" s="204">
        <f t="shared" si="66"/>
        <v>43000000</v>
      </c>
      <c r="AA75" s="281">
        <v>396000000</v>
      </c>
      <c r="AB75" s="281">
        <v>43000000</v>
      </c>
      <c r="AC75" s="205"/>
      <c r="AD75" s="205"/>
      <c r="AE75" s="205"/>
      <c r="AF75" s="205"/>
      <c r="AG75" s="340">
        <f t="shared" si="67"/>
        <v>0</v>
      </c>
      <c r="AH75" s="223"/>
      <c r="AI75" s="223"/>
      <c r="AJ75" s="223"/>
      <c r="AK75" s="202">
        <f t="shared" si="49"/>
        <v>0</v>
      </c>
      <c r="AL75" s="205"/>
      <c r="AM75" s="205"/>
      <c r="AN75" s="206">
        <f t="shared" si="10"/>
        <v>0</v>
      </c>
      <c r="AO75" s="230"/>
      <c r="AP75" s="230"/>
      <c r="AT75" s="233"/>
      <c r="AU75" s="233"/>
      <c r="AV75" s="234"/>
      <c r="AW75" s="234"/>
      <c r="AX75" s="235"/>
    </row>
    <row r="76" spans="1:50" s="232" customFormat="1" ht="15" customHeight="1">
      <c r="A76" s="228" t="s">
        <v>195</v>
      </c>
      <c r="B76" s="229" t="s">
        <v>204</v>
      </c>
      <c r="C76" s="200">
        <f t="shared" si="5"/>
        <v>570000000</v>
      </c>
      <c r="D76" s="201">
        <f t="shared" si="6"/>
        <v>0</v>
      </c>
      <c r="E76" s="201">
        <f t="shared" si="40"/>
        <v>0</v>
      </c>
      <c r="F76" s="201">
        <f t="shared" si="40"/>
        <v>0</v>
      </c>
      <c r="G76" s="205"/>
      <c r="H76" s="205"/>
      <c r="I76" s="205"/>
      <c r="J76" s="205"/>
      <c r="K76" s="205"/>
      <c r="L76" s="205"/>
      <c r="M76" s="202">
        <f t="shared" si="64"/>
        <v>0</v>
      </c>
      <c r="N76" s="202">
        <f t="shared" si="62"/>
        <v>0</v>
      </c>
      <c r="O76" s="202">
        <f t="shared" si="62"/>
        <v>0</v>
      </c>
      <c r="P76" s="205"/>
      <c r="Q76" s="205"/>
      <c r="R76" s="205"/>
      <c r="S76" s="205"/>
      <c r="T76" s="205"/>
      <c r="U76" s="205"/>
      <c r="V76" s="205">
        <f t="shared" si="63"/>
        <v>570000000</v>
      </c>
      <c r="W76" s="223"/>
      <c r="X76" s="204">
        <f t="shared" si="65"/>
        <v>570000000</v>
      </c>
      <c r="Y76" s="204">
        <f t="shared" si="66"/>
        <v>514000000</v>
      </c>
      <c r="Z76" s="204">
        <f t="shared" si="66"/>
        <v>56000000</v>
      </c>
      <c r="AA76" s="281">
        <v>514000000</v>
      </c>
      <c r="AB76" s="281">
        <v>56000000</v>
      </c>
      <c r="AC76" s="205"/>
      <c r="AD76" s="205"/>
      <c r="AE76" s="205"/>
      <c r="AF76" s="205"/>
      <c r="AG76" s="340">
        <f t="shared" si="67"/>
        <v>0</v>
      </c>
      <c r="AH76" s="223"/>
      <c r="AI76" s="223"/>
      <c r="AJ76" s="223"/>
      <c r="AK76" s="202">
        <f t="shared" si="49"/>
        <v>0</v>
      </c>
      <c r="AL76" s="205"/>
      <c r="AM76" s="205"/>
      <c r="AN76" s="206">
        <f t="shared" si="10"/>
        <v>0</v>
      </c>
      <c r="AO76" s="230"/>
      <c r="AP76" s="230"/>
      <c r="AT76" s="233"/>
      <c r="AU76" s="233"/>
      <c r="AV76" s="234"/>
      <c r="AW76" s="234"/>
      <c r="AX76" s="235"/>
    </row>
    <row r="77" spans="1:50" s="232" customFormat="1" ht="15" customHeight="1">
      <c r="A77" s="228" t="s">
        <v>195</v>
      </c>
      <c r="B77" s="229" t="s">
        <v>212</v>
      </c>
      <c r="C77" s="200">
        <f t="shared" ref="C77:C140" si="69">+D77+M77+V77</f>
        <v>1641000000</v>
      </c>
      <c r="D77" s="201">
        <f t="shared" ref="D77:D140" si="70">SUM(E77:F77)</f>
        <v>0</v>
      </c>
      <c r="E77" s="201">
        <f t="shared" si="40"/>
        <v>0</v>
      </c>
      <c r="F77" s="201">
        <f t="shared" si="40"/>
        <v>0</v>
      </c>
      <c r="G77" s="205"/>
      <c r="H77" s="205"/>
      <c r="I77" s="205"/>
      <c r="J77" s="205"/>
      <c r="K77" s="205"/>
      <c r="L77" s="205"/>
      <c r="M77" s="202">
        <f t="shared" si="64"/>
        <v>0</v>
      </c>
      <c r="N77" s="202">
        <f t="shared" si="62"/>
        <v>0</v>
      </c>
      <c r="O77" s="202">
        <f t="shared" si="62"/>
        <v>0</v>
      </c>
      <c r="P77" s="205"/>
      <c r="Q77" s="205"/>
      <c r="R77" s="205"/>
      <c r="S77" s="205"/>
      <c r="T77" s="205"/>
      <c r="U77" s="205"/>
      <c r="V77" s="205">
        <f t="shared" si="63"/>
        <v>1641000000</v>
      </c>
      <c r="W77" s="223"/>
      <c r="X77" s="204">
        <f t="shared" si="65"/>
        <v>1641000000</v>
      </c>
      <c r="Y77" s="204">
        <f t="shared" si="66"/>
        <v>1450000000</v>
      </c>
      <c r="Z77" s="204">
        <f t="shared" si="66"/>
        <v>191000000</v>
      </c>
      <c r="AA77" s="281">
        <v>833000000</v>
      </c>
      <c r="AB77" s="281">
        <v>91000000</v>
      </c>
      <c r="AC77" s="205">
        <v>617000000</v>
      </c>
      <c r="AD77" s="205">
        <v>100000000</v>
      </c>
      <c r="AE77" s="205"/>
      <c r="AF77" s="205"/>
      <c r="AG77" s="340">
        <f t="shared" si="67"/>
        <v>0</v>
      </c>
      <c r="AH77" s="223"/>
      <c r="AI77" s="223"/>
      <c r="AJ77" s="223"/>
      <c r="AK77" s="202">
        <f t="shared" si="49"/>
        <v>0</v>
      </c>
      <c r="AL77" s="205"/>
      <c r="AM77" s="205"/>
      <c r="AN77" s="206">
        <f t="shared" si="10"/>
        <v>0</v>
      </c>
      <c r="AO77" s="230"/>
      <c r="AP77" s="230"/>
      <c r="AT77" s="233"/>
      <c r="AU77" s="233"/>
      <c r="AV77" s="234"/>
      <c r="AW77" s="234"/>
      <c r="AX77" s="235"/>
    </row>
    <row r="78" spans="1:50" s="232" customFormat="1" ht="15" customHeight="1">
      <c r="A78" s="228" t="s">
        <v>195</v>
      </c>
      <c r="B78" s="229" t="s">
        <v>211</v>
      </c>
      <c r="C78" s="200">
        <f t="shared" si="69"/>
        <v>365000000</v>
      </c>
      <c r="D78" s="201">
        <f t="shared" si="70"/>
        <v>0</v>
      </c>
      <c r="E78" s="201">
        <f t="shared" si="40"/>
        <v>0</v>
      </c>
      <c r="F78" s="201">
        <f t="shared" si="40"/>
        <v>0</v>
      </c>
      <c r="G78" s="205"/>
      <c r="H78" s="205"/>
      <c r="I78" s="205"/>
      <c r="J78" s="205"/>
      <c r="K78" s="205"/>
      <c r="L78" s="205"/>
      <c r="M78" s="202">
        <f t="shared" si="64"/>
        <v>0</v>
      </c>
      <c r="N78" s="202">
        <f t="shared" si="62"/>
        <v>0</v>
      </c>
      <c r="O78" s="202">
        <f t="shared" si="62"/>
        <v>0</v>
      </c>
      <c r="P78" s="205"/>
      <c r="Q78" s="205"/>
      <c r="R78" s="205"/>
      <c r="S78" s="205"/>
      <c r="T78" s="205"/>
      <c r="U78" s="205"/>
      <c r="V78" s="205">
        <f t="shared" si="63"/>
        <v>365000000</v>
      </c>
      <c r="W78" s="223"/>
      <c r="X78" s="204">
        <f t="shared" si="65"/>
        <v>365000000</v>
      </c>
      <c r="Y78" s="204">
        <f t="shared" si="66"/>
        <v>329000000</v>
      </c>
      <c r="Z78" s="204">
        <f t="shared" si="66"/>
        <v>36000000</v>
      </c>
      <c r="AA78" s="281">
        <v>329000000</v>
      </c>
      <c r="AB78" s="281">
        <v>36000000</v>
      </c>
      <c r="AC78" s="205"/>
      <c r="AD78" s="205"/>
      <c r="AE78" s="205"/>
      <c r="AF78" s="205"/>
      <c r="AG78" s="340">
        <f t="shared" si="67"/>
        <v>306428000</v>
      </c>
      <c r="AH78" s="223"/>
      <c r="AI78" s="223"/>
      <c r="AJ78" s="223"/>
      <c r="AK78" s="340">
        <f t="shared" si="49"/>
        <v>306428000</v>
      </c>
      <c r="AL78" s="343">
        <v>270428000</v>
      </c>
      <c r="AM78" s="343">
        <v>36000000</v>
      </c>
      <c r="AN78" s="206">
        <f t="shared" si="10"/>
        <v>83.952876712328774</v>
      </c>
      <c r="AO78" s="230"/>
      <c r="AP78" s="230"/>
      <c r="AT78" s="233"/>
      <c r="AU78" s="233"/>
      <c r="AV78" s="234"/>
      <c r="AW78" s="234"/>
      <c r="AX78" s="235"/>
    </row>
    <row r="79" spans="1:50" s="232" customFormat="1" ht="15" customHeight="1">
      <c r="A79" s="228" t="s">
        <v>195</v>
      </c>
      <c r="B79" s="229" t="s">
        <v>209</v>
      </c>
      <c r="C79" s="200">
        <f t="shared" si="69"/>
        <v>1619145228</v>
      </c>
      <c r="D79" s="201">
        <f t="shared" si="70"/>
        <v>0</v>
      </c>
      <c r="E79" s="201">
        <f t="shared" si="40"/>
        <v>0</v>
      </c>
      <c r="F79" s="201">
        <f t="shared" si="40"/>
        <v>0</v>
      </c>
      <c r="G79" s="205"/>
      <c r="H79" s="205"/>
      <c r="I79" s="205"/>
      <c r="J79" s="205"/>
      <c r="K79" s="205"/>
      <c r="L79" s="205"/>
      <c r="M79" s="202">
        <f t="shared" si="64"/>
        <v>785594628</v>
      </c>
      <c r="N79" s="202">
        <f t="shared" ref="N79:O80" si="71">+P79+R79-T79</f>
        <v>780079703</v>
      </c>
      <c r="O79" s="202">
        <f t="shared" si="71"/>
        <v>5514925</v>
      </c>
      <c r="P79" s="205"/>
      <c r="Q79" s="205"/>
      <c r="R79" s="205">
        <v>780079703</v>
      </c>
      <c r="S79" s="205">
        <v>5514925</v>
      </c>
      <c r="T79" s="205"/>
      <c r="U79" s="205"/>
      <c r="V79" s="205">
        <f t="shared" si="63"/>
        <v>833550600</v>
      </c>
      <c r="W79" s="223"/>
      <c r="X79" s="204">
        <f t="shared" si="65"/>
        <v>833550600</v>
      </c>
      <c r="Y79" s="204">
        <f t="shared" si="66"/>
        <v>738415525</v>
      </c>
      <c r="Z79" s="204">
        <f t="shared" si="66"/>
        <v>95135075</v>
      </c>
      <c r="AA79" s="281">
        <v>361000000</v>
      </c>
      <c r="AB79" s="281">
        <v>39000000</v>
      </c>
      <c r="AC79" s="205">
        <f>210000000+194470000</f>
        <v>404470000</v>
      </c>
      <c r="AD79" s="205">
        <v>60000000</v>
      </c>
      <c r="AE79" s="205">
        <v>27054475</v>
      </c>
      <c r="AF79" s="205">
        <v>3864925</v>
      </c>
      <c r="AG79" s="340">
        <f t="shared" si="67"/>
        <v>393765000</v>
      </c>
      <c r="AH79" s="223"/>
      <c r="AI79" s="223"/>
      <c r="AJ79" s="223"/>
      <c r="AK79" s="340">
        <f t="shared" si="49"/>
        <v>393765000</v>
      </c>
      <c r="AL79" s="343">
        <v>354765000</v>
      </c>
      <c r="AM79" s="343">
        <v>39000000</v>
      </c>
      <c r="AN79" s="206">
        <f t="shared" ref="AN79:AN142" si="72">+AG79/C79*100</f>
        <v>24.319313251868476</v>
      </c>
      <c r="AO79" s="230"/>
      <c r="AP79" s="230"/>
      <c r="AT79" s="233"/>
      <c r="AU79" s="233"/>
      <c r="AV79" s="234"/>
      <c r="AW79" s="234"/>
      <c r="AX79" s="235"/>
    </row>
    <row r="80" spans="1:50" s="232" customFormat="1" ht="15" customHeight="1">
      <c r="A80" s="228" t="s">
        <v>195</v>
      </c>
      <c r="B80" s="236" t="s">
        <v>231</v>
      </c>
      <c r="C80" s="200">
        <f t="shared" si="69"/>
        <v>0</v>
      </c>
      <c r="D80" s="201">
        <f t="shared" si="70"/>
        <v>0</v>
      </c>
      <c r="E80" s="201">
        <f t="shared" si="40"/>
        <v>0</v>
      </c>
      <c r="F80" s="201">
        <f t="shared" si="40"/>
        <v>0</v>
      </c>
      <c r="G80" s="205">
        <v>3427500</v>
      </c>
      <c r="H80" s="205"/>
      <c r="I80" s="205"/>
      <c r="J80" s="205"/>
      <c r="K80" s="205">
        <f>+G80</f>
        <v>3427500</v>
      </c>
      <c r="L80" s="205"/>
      <c r="M80" s="202">
        <f t="shared" si="64"/>
        <v>0</v>
      </c>
      <c r="N80" s="202">
        <f t="shared" si="71"/>
        <v>0</v>
      </c>
      <c r="O80" s="202">
        <f t="shared" si="71"/>
        <v>0</v>
      </c>
      <c r="P80" s="282">
        <f>49187000-G80</f>
        <v>45759500</v>
      </c>
      <c r="Q80" s="282">
        <v>3271100</v>
      </c>
      <c r="R80" s="282"/>
      <c r="S80" s="282"/>
      <c r="T80" s="282">
        <f>49187000-K80</f>
        <v>45759500</v>
      </c>
      <c r="U80" s="282">
        <v>3271100</v>
      </c>
      <c r="V80" s="205"/>
      <c r="W80" s="223"/>
      <c r="X80" s="204">
        <f t="shared" si="65"/>
        <v>0</v>
      </c>
      <c r="Y80" s="204">
        <f t="shared" si="66"/>
        <v>0</v>
      </c>
      <c r="Z80" s="204">
        <f t="shared" si="66"/>
        <v>0</v>
      </c>
      <c r="AA80" s="281">
        <v>0</v>
      </c>
      <c r="AB80" s="281">
        <v>0</v>
      </c>
      <c r="AC80" s="205"/>
      <c r="AD80" s="205"/>
      <c r="AE80" s="205"/>
      <c r="AF80" s="205"/>
      <c r="AG80" s="340">
        <f t="shared" si="67"/>
        <v>0</v>
      </c>
      <c r="AH80" s="223"/>
      <c r="AI80" s="223"/>
      <c r="AJ80" s="223"/>
      <c r="AK80" s="202">
        <f t="shared" si="49"/>
        <v>0</v>
      </c>
      <c r="AL80" s="205"/>
      <c r="AM80" s="205"/>
      <c r="AN80" s="206"/>
      <c r="AO80" s="230"/>
      <c r="AP80" s="230"/>
      <c r="AT80" s="233"/>
      <c r="AU80" s="233"/>
      <c r="AV80" s="234"/>
      <c r="AW80" s="234"/>
      <c r="AX80" s="235"/>
    </row>
    <row r="81" spans="1:50" s="208" customFormat="1" ht="83.25" customHeight="1">
      <c r="A81" s="225" t="s">
        <v>14</v>
      </c>
      <c r="B81" s="226" t="s">
        <v>17</v>
      </c>
      <c r="C81" s="264">
        <f t="shared" si="69"/>
        <v>7016142907</v>
      </c>
      <c r="D81" s="264">
        <f t="shared" si="70"/>
        <v>67978312</v>
      </c>
      <c r="E81" s="264">
        <f t="shared" si="40"/>
        <v>67978312</v>
      </c>
      <c r="F81" s="264">
        <f t="shared" si="40"/>
        <v>0</v>
      </c>
      <c r="G81" s="264">
        <f t="shared" ref="G81:AO81" si="73">+G82</f>
        <v>157465583</v>
      </c>
      <c r="H81" s="264">
        <f t="shared" si="73"/>
        <v>0</v>
      </c>
      <c r="I81" s="264">
        <f t="shared" si="73"/>
        <v>0</v>
      </c>
      <c r="J81" s="264">
        <f t="shared" si="73"/>
        <v>0</v>
      </c>
      <c r="K81" s="264">
        <f t="shared" si="73"/>
        <v>89487271</v>
      </c>
      <c r="L81" s="264">
        <f t="shared" si="73"/>
        <v>0</v>
      </c>
      <c r="M81" s="264">
        <f t="shared" si="73"/>
        <v>2845164595</v>
      </c>
      <c r="N81" s="264">
        <f t="shared" si="73"/>
        <v>2783543809</v>
      </c>
      <c r="O81" s="264">
        <f t="shared" si="73"/>
        <v>61620786</v>
      </c>
      <c r="P81" s="264">
        <f t="shared" si="73"/>
        <v>1216007965</v>
      </c>
      <c r="Q81" s="264">
        <f t="shared" si="73"/>
        <v>81532643</v>
      </c>
      <c r="R81" s="264">
        <f t="shared" si="73"/>
        <v>1587651097</v>
      </c>
      <c r="S81" s="264">
        <f t="shared" si="73"/>
        <v>9130395</v>
      </c>
      <c r="T81" s="264">
        <f t="shared" si="73"/>
        <v>20115252.999999996</v>
      </c>
      <c r="U81" s="264">
        <f t="shared" si="73"/>
        <v>29042252</v>
      </c>
      <c r="V81" s="264">
        <f t="shared" si="73"/>
        <v>4103000000</v>
      </c>
      <c r="W81" s="264">
        <f t="shared" si="73"/>
        <v>0</v>
      </c>
      <c r="X81" s="264">
        <f t="shared" si="73"/>
        <v>4103000000</v>
      </c>
      <c r="Y81" s="264">
        <f t="shared" si="73"/>
        <v>3907000000</v>
      </c>
      <c r="Z81" s="264">
        <f t="shared" si="73"/>
        <v>196000000</v>
      </c>
      <c r="AA81" s="264">
        <f t="shared" si="73"/>
        <v>3812000000</v>
      </c>
      <c r="AB81" s="264">
        <f t="shared" si="73"/>
        <v>191000000</v>
      </c>
      <c r="AC81" s="264">
        <f t="shared" si="73"/>
        <v>95000000</v>
      </c>
      <c r="AD81" s="264">
        <f t="shared" si="73"/>
        <v>5000000</v>
      </c>
      <c r="AE81" s="264">
        <f t="shared" si="73"/>
        <v>0</v>
      </c>
      <c r="AF81" s="264">
        <f t="shared" si="73"/>
        <v>0</v>
      </c>
      <c r="AG81" s="372">
        <f>+AG82</f>
        <v>1854152011</v>
      </c>
      <c r="AH81" s="264">
        <f t="shared" ref="AH81:AJ81" si="74">+AH82</f>
        <v>0</v>
      </c>
      <c r="AI81" s="264">
        <f t="shared" si="74"/>
        <v>0</v>
      </c>
      <c r="AJ81" s="264">
        <f t="shared" si="74"/>
        <v>0</v>
      </c>
      <c r="AK81" s="264">
        <f t="shared" si="73"/>
        <v>1854152011</v>
      </c>
      <c r="AL81" s="264">
        <f t="shared" si="73"/>
        <v>1764323488</v>
      </c>
      <c r="AM81" s="264">
        <f t="shared" si="73"/>
        <v>89828523</v>
      </c>
      <c r="AN81" s="206">
        <f t="shared" si="72"/>
        <v>26.426941919186309</v>
      </c>
      <c r="AO81" s="275">
        <f t="shared" si="73"/>
        <v>0</v>
      </c>
      <c r="AP81" s="275">
        <f>+AP62-AG45</f>
        <v>-9260423489</v>
      </c>
      <c r="AT81" s="209"/>
      <c r="AU81" s="209"/>
      <c r="AV81" s="210"/>
      <c r="AW81" s="210"/>
      <c r="AX81" s="211"/>
    </row>
    <row r="82" spans="1:50" s="232" customFormat="1" ht="74.25" customHeight="1">
      <c r="A82" s="270">
        <v>1</v>
      </c>
      <c r="B82" s="271" t="s">
        <v>109</v>
      </c>
      <c r="C82" s="201">
        <f t="shared" si="69"/>
        <v>7016142907</v>
      </c>
      <c r="D82" s="201">
        <f t="shared" si="70"/>
        <v>67978312</v>
      </c>
      <c r="E82" s="201">
        <f t="shared" si="40"/>
        <v>67978312</v>
      </c>
      <c r="F82" s="201">
        <f t="shared" si="40"/>
        <v>0</v>
      </c>
      <c r="G82" s="222">
        <f t="shared" ref="G82:U82" si="75">SUM(G83:G100)</f>
        <v>157465583</v>
      </c>
      <c r="H82" s="222">
        <f t="shared" si="75"/>
        <v>0</v>
      </c>
      <c r="I82" s="222">
        <f t="shared" si="75"/>
        <v>0</v>
      </c>
      <c r="J82" s="222">
        <f t="shared" si="75"/>
        <v>0</v>
      </c>
      <c r="K82" s="222">
        <f t="shared" si="75"/>
        <v>89487271</v>
      </c>
      <c r="L82" s="222">
        <f t="shared" si="75"/>
        <v>0</v>
      </c>
      <c r="M82" s="222">
        <f t="shared" si="75"/>
        <v>2845164595</v>
      </c>
      <c r="N82" s="222">
        <f t="shared" si="75"/>
        <v>2783543809</v>
      </c>
      <c r="O82" s="222">
        <f t="shared" si="75"/>
        <v>61620786</v>
      </c>
      <c r="P82" s="222">
        <f t="shared" si="75"/>
        <v>1216007965</v>
      </c>
      <c r="Q82" s="222">
        <f t="shared" si="75"/>
        <v>81532643</v>
      </c>
      <c r="R82" s="222">
        <f t="shared" si="75"/>
        <v>1587651097</v>
      </c>
      <c r="S82" s="222">
        <f t="shared" si="75"/>
        <v>9130395</v>
      </c>
      <c r="T82" s="222">
        <f t="shared" si="75"/>
        <v>20115252.999999996</v>
      </c>
      <c r="U82" s="222">
        <f t="shared" si="75"/>
        <v>29042252</v>
      </c>
      <c r="V82" s="222">
        <f t="shared" ref="V82:Y82" si="76">SUM(V83:V100)</f>
        <v>4103000000</v>
      </c>
      <c r="W82" s="222">
        <f t="shared" si="76"/>
        <v>0</v>
      </c>
      <c r="X82" s="222">
        <f t="shared" si="76"/>
        <v>4103000000</v>
      </c>
      <c r="Y82" s="222">
        <f t="shared" si="76"/>
        <v>3907000000</v>
      </c>
      <c r="Z82" s="222">
        <f>SUM(Z83:Z100)</f>
        <v>196000000</v>
      </c>
      <c r="AA82" s="222">
        <f t="shared" ref="AA82:AM82" si="77">SUM(AA83:AA100)</f>
        <v>3812000000</v>
      </c>
      <c r="AB82" s="222">
        <f t="shared" si="77"/>
        <v>191000000</v>
      </c>
      <c r="AC82" s="222">
        <f t="shared" si="77"/>
        <v>95000000</v>
      </c>
      <c r="AD82" s="222">
        <f t="shared" si="77"/>
        <v>5000000</v>
      </c>
      <c r="AE82" s="222">
        <f t="shared" si="77"/>
        <v>0</v>
      </c>
      <c r="AF82" s="222">
        <f t="shared" si="77"/>
        <v>0</v>
      </c>
      <c r="AG82" s="373">
        <f>SUM(AG83:AG100)</f>
        <v>1854152011</v>
      </c>
      <c r="AH82" s="222">
        <f t="shared" ref="AH82:AJ82" si="78">SUM(AH83:AH100)</f>
        <v>0</v>
      </c>
      <c r="AI82" s="222">
        <f t="shared" si="78"/>
        <v>0</v>
      </c>
      <c r="AJ82" s="222">
        <f t="shared" si="78"/>
        <v>0</v>
      </c>
      <c r="AK82" s="222">
        <f t="shared" si="77"/>
        <v>1854152011</v>
      </c>
      <c r="AL82" s="222">
        <f t="shared" si="77"/>
        <v>1764323488</v>
      </c>
      <c r="AM82" s="222">
        <f t="shared" si="77"/>
        <v>89828523</v>
      </c>
      <c r="AN82" s="206">
        <f t="shared" si="72"/>
        <v>26.426941919186309</v>
      </c>
      <c r="AO82" s="283">
        <f>SUM(AO83:AO100)</f>
        <v>0</v>
      </c>
      <c r="AP82" s="283"/>
      <c r="AT82" s="233"/>
      <c r="AU82" s="233"/>
      <c r="AV82" s="234"/>
      <c r="AW82" s="234"/>
      <c r="AX82" s="235"/>
    </row>
    <row r="83" spans="1:50" s="232" customFormat="1">
      <c r="A83" s="228" t="s">
        <v>195</v>
      </c>
      <c r="B83" s="236" t="s">
        <v>213</v>
      </c>
      <c r="C83" s="200">
        <f t="shared" si="69"/>
        <v>261000000</v>
      </c>
      <c r="D83" s="201">
        <f t="shared" si="70"/>
        <v>0</v>
      </c>
      <c r="E83" s="201">
        <f t="shared" si="40"/>
        <v>0</v>
      </c>
      <c r="F83" s="201">
        <f t="shared" si="40"/>
        <v>0</v>
      </c>
      <c r="G83" s="205">
        <v>1338771</v>
      </c>
      <c r="H83" s="205"/>
      <c r="I83" s="205"/>
      <c r="J83" s="205"/>
      <c r="K83" s="205">
        <v>1338771</v>
      </c>
      <c r="L83" s="205"/>
      <c r="M83" s="202">
        <f t="shared" ref="M83" si="79">SUM(N83:O83)</f>
        <v>0</v>
      </c>
      <c r="N83" s="202">
        <f t="shared" ref="N83:O98" si="80">+P83+R83-T83</f>
        <v>0</v>
      </c>
      <c r="O83" s="202">
        <f t="shared" si="80"/>
        <v>0</v>
      </c>
      <c r="P83" s="205">
        <v>4727647.9999999879</v>
      </c>
      <c r="Q83" s="205">
        <v>0</v>
      </c>
      <c r="R83" s="205"/>
      <c r="S83" s="205"/>
      <c r="T83" s="205">
        <f>+P83</f>
        <v>4727647.9999999879</v>
      </c>
      <c r="U83" s="205"/>
      <c r="V83" s="205">
        <f t="shared" ref="V83:V99" si="81">SUM(W83:X83)</f>
        <v>261000000</v>
      </c>
      <c r="W83" s="223"/>
      <c r="X83" s="204">
        <f>SUM(Y83:Z83)</f>
        <v>261000000</v>
      </c>
      <c r="Y83" s="204">
        <f>+AA83+AC83-AE83</f>
        <v>249000000</v>
      </c>
      <c r="Z83" s="204">
        <f>+AB83+AD83-AF83</f>
        <v>12000000</v>
      </c>
      <c r="AA83" s="205">
        <v>249000000</v>
      </c>
      <c r="AB83" s="205">
        <v>12000000</v>
      </c>
      <c r="AC83" s="205"/>
      <c r="AD83" s="205"/>
      <c r="AE83" s="205"/>
      <c r="AF83" s="205"/>
      <c r="AG83" s="343">
        <f t="shared" ref="AG83:AG86" si="82">SUM(AH83:AK83)</f>
        <v>260673735</v>
      </c>
      <c r="AH83" s="205">
        <f t="shared" ref="AH83:AH86" si="83">SUM(AI83:AJ83)</f>
        <v>0</v>
      </c>
      <c r="AI83" s="223"/>
      <c r="AJ83" s="223"/>
      <c r="AK83" s="202">
        <f>SUM(AL83:AM83)</f>
        <v>260673735</v>
      </c>
      <c r="AL83" s="205">
        <v>248673735</v>
      </c>
      <c r="AM83" s="205">
        <v>12000000</v>
      </c>
      <c r="AN83" s="206">
        <f t="shared" si="72"/>
        <v>99.874994252873563</v>
      </c>
      <c r="AO83" s="230"/>
      <c r="AP83" s="231"/>
      <c r="AT83" s="233"/>
      <c r="AU83" s="233"/>
      <c r="AV83" s="234"/>
      <c r="AW83" s="234"/>
      <c r="AX83" s="235"/>
    </row>
    <row r="84" spans="1:50" s="232" customFormat="1">
      <c r="A84" s="228" t="s">
        <v>195</v>
      </c>
      <c r="B84" s="236" t="s">
        <v>210</v>
      </c>
      <c r="C84" s="200">
        <f t="shared" si="69"/>
        <v>238235793</v>
      </c>
      <c r="D84" s="201">
        <f t="shared" si="70"/>
        <v>0</v>
      </c>
      <c r="E84" s="201">
        <f t="shared" si="40"/>
        <v>0</v>
      </c>
      <c r="F84" s="201">
        <f t="shared" si="40"/>
        <v>0</v>
      </c>
      <c r="G84" s="205"/>
      <c r="H84" s="205"/>
      <c r="I84" s="205"/>
      <c r="J84" s="205"/>
      <c r="K84" s="205"/>
      <c r="L84" s="205"/>
      <c r="M84" s="202">
        <f t="shared" ref="M84:M100" si="84">SUM(N84:O84)</f>
        <v>4235793.0000000009</v>
      </c>
      <c r="N84" s="202">
        <f t="shared" si="80"/>
        <v>4235793.0000000009</v>
      </c>
      <c r="O84" s="202">
        <f t="shared" si="80"/>
        <v>0</v>
      </c>
      <c r="P84" s="205">
        <v>4235793.0000000009</v>
      </c>
      <c r="Q84" s="205">
        <v>0</v>
      </c>
      <c r="R84" s="205"/>
      <c r="S84" s="205"/>
      <c r="T84" s="205"/>
      <c r="U84" s="205"/>
      <c r="V84" s="205">
        <f t="shared" si="81"/>
        <v>234000000</v>
      </c>
      <c r="W84" s="223"/>
      <c r="X84" s="204">
        <f t="shared" ref="X84:X100" si="85">SUM(Y84:Z84)</f>
        <v>234000000</v>
      </c>
      <c r="Y84" s="204">
        <f t="shared" ref="Y84:Z100" si="86">+AA84+AC84-AE84</f>
        <v>223000000</v>
      </c>
      <c r="Z84" s="204">
        <f t="shared" si="86"/>
        <v>11000000</v>
      </c>
      <c r="AA84" s="205">
        <v>223000000</v>
      </c>
      <c r="AB84" s="205">
        <v>11000000</v>
      </c>
      <c r="AC84" s="205"/>
      <c r="AD84" s="205"/>
      <c r="AE84" s="205"/>
      <c r="AF84" s="205"/>
      <c r="AG84" s="343">
        <f t="shared" si="82"/>
        <v>0</v>
      </c>
      <c r="AH84" s="205">
        <f t="shared" si="83"/>
        <v>0</v>
      </c>
      <c r="AI84" s="223"/>
      <c r="AJ84" s="223"/>
      <c r="AK84" s="202">
        <f t="shared" ref="AK84:AK100" si="87">SUM(AL84:AM84)</f>
        <v>0</v>
      </c>
      <c r="AL84" s="205"/>
      <c r="AM84" s="205"/>
      <c r="AN84" s="206">
        <f t="shared" si="72"/>
        <v>0</v>
      </c>
      <c r="AO84" s="230"/>
      <c r="AP84" s="230"/>
      <c r="AT84" s="233"/>
      <c r="AU84" s="233"/>
      <c r="AV84" s="234"/>
      <c r="AW84" s="234"/>
      <c r="AX84" s="235"/>
    </row>
    <row r="85" spans="1:50" s="232" customFormat="1">
      <c r="A85" s="228" t="s">
        <v>195</v>
      </c>
      <c r="B85" s="236" t="s">
        <v>205</v>
      </c>
      <c r="C85" s="200">
        <f t="shared" si="69"/>
        <v>119479023</v>
      </c>
      <c r="D85" s="201">
        <f t="shared" si="70"/>
        <v>311113</v>
      </c>
      <c r="E85" s="201">
        <f t="shared" si="40"/>
        <v>311113</v>
      </c>
      <c r="F85" s="201">
        <f t="shared" si="40"/>
        <v>0</v>
      </c>
      <c r="G85" s="205">
        <v>311113</v>
      </c>
      <c r="H85" s="205"/>
      <c r="I85" s="205"/>
      <c r="J85" s="205"/>
      <c r="K85" s="205"/>
      <c r="L85" s="205"/>
      <c r="M85" s="202">
        <f t="shared" si="84"/>
        <v>80167910</v>
      </c>
      <c r="N85" s="202">
        <f t="shared" si="80"/>
        <v>80167910</v>
      </c>
      <c r="O85" s="202">
        <f t="shared" si="80"/>
        <v>0</v>
      </c>
      <c r="P85" s="205">
        <v>0</v>
      </c>
      <c r="Q85" s="205">
        <v>0</v>
      </c>
      <c r="R85" s="205">
        <v>80167910</v>
      </c>
      <c r="S85" s="205"/>
      <c r="T85" s="205"/>
      <c r="U85" s="205"/>
      <c r="V85" s="205">
        <f t="shared" si="81"/>
        <v>39000000</v>
      </c>
      <c r="W85" s="223"/>
      <c r="X85" s="204">
        <f t="shared" si="85"/>
        <v>39000000</v>
      </c>
      <c r="Y85" s="204">
        <f t="shared" si="86"/>
        <v>38000000</v>
      </c>
      <c r="Z85" s="204">
        <f t="shared" si="86"/>
        <v>1000000</v>
      </c>
      <c r="AA85" s="205">
        <v>38000000</v>
      </c>
      <c r="AB85" s="205">
        <v>1000000</v>
      </c>
      <c r="AC85" s="205"/>
      <c r="AD85" s="205"/>
      <c r="AE85" s="205"/>
      <c r="AF85" s="205"/>
      <c r="AG85" s="343">
        <f t="shared" si="82"/>
        <v>0</v>
      </c>
      <c r="AH85" s="205">
        <f t="shared" si="83"/>
        <v>0</v>
      </c>
      <c r="AI85" s="223"/>
      <c r="AJ85" s="223"/>
      <c r="AK85" s="202">
        <f t="shared" si="87"/>
        <v>0</v>
      </c>
      <c r="AL85" s="205"/>
      <c r="AM85" s="205"/>
      <c r="AN85" s="206">
        <f t="shared" si="72"/>
        <v>0</v>
      </c>
      <c r="AO85" s="230"/>
      <c r="AP85" s="230"/>
      <c r="AT85" s="233"/>
      <c r="AU85" s="233"/>
      <c r="AV85" s="234"/>
      <c r="AW85" s="234"/>
      <c r="AX85" s="235"/>
    </row>
    <row r="86" spans="1:50" s="232" customFormat="1">
      <c r="A86" s="228" t="s">
        <v>195</v>
      </c>
      <c r="B86" s="236" t="s">
        <v>214</v>
      </c>
      <c r="C86" s="200">
        <f t="shared" si="69"/>
        <v>362340000</v>
      </c>
      <c r="D86" s="201">
        <f t="shared" si="70"/>
        <v>0</v>
      </c>
      <c r="E86" s="201">
        <f t="shared" si="40"/>
        <v>0</v>
      </c>
      <c r="F86" s="201">
        <f t="shared" si="40"/>
        <v>0</v>
      </c>
      <c r="G86" s="205"/>
      <c r="H86" s="205"/>
      <c r="I86" s="205"/>
      <c r="J86" s="205"/>
      <c r="K86" s="205"/>
      <c r="L86" s="205"/>
      <c r="M86" s="202">
        <f t="shared" si="84"/>
        <v>101340000.00000003</v>
      </c>
      <c r="N86" s="202">
        <f t="shared" si="80"/>
        <v>101340000.00000003</v>
      </c>
      <c r="O86" s="202">
        <f t="shared" si="80"/>
        <v>0</v>
      </c>
      <c r="P86" s="205">
        <v>101340000.00000003</v>
      </c>
      <c r="Q86" s="205">
        <v>0</v>
      </c>
      <c r="R86" s="205"/>
      <c r="S86" s="205"/>
      <c r="T86" s="205"/>
      <c r="U86" s="205"/>
      <c r="V86" s="205">
        <f t="shared" si="81"/>
        <v>261000000</v>
      </c>
      <c r="W86" s="223"/>
      <c r="X86" s="204">
        <f t="shared" si="85"/>
        <v>261000000</v>
      </c>
      <c r="Y86" s="204">
        <f t="shared" si="86"/>
        <v>249000000</v>
      </c>
      <c r="Z86" s="204">
        <f t="shared" si="86"/>
        <v>12000000</v>
      </c>
      <c r="AA86" s="205">
        <v>249000000</v>
      </c>
      <c r="AB86" s="205">
        <v>12000000</v>
      </c>
      <c r="AC86" s="205"/>
      <c r="AD86" s="205"/>
      <c r="AE86" s="205"/>
      <c r="AF86" s="205"/>
      <c r="AG86" s="343">
        <f t="shared" si="82"/>
        <v>122265725</v>
      </c>
      <c r="AH86" s="205">
        <f t="shared" si="83"/>
        <v>0</v>
      </c>
      <c r="AI86" s="223"/>
      <c r="AJ86" s="223"/>
      <c r="AK86" s="340">
        <f t="shared" si="87"/>
        <v>122265725</v>
      </c>
      <c r="AL86" s="343">
        <v>116265725</v>
      </c>
      <c r="AM86" s="343">
        <v>6000000</v>
      </c>
      <c r="AN86" s="206">
        <f t="shared" si="72"/>
        <v>33.743369487221948</v>
      </c>
      <c r="AO86" s="230"/>
      <c r="AP86" s="230"/>
      <c r="AT86" s="233"/>
      <c r="AU86" s="233"/>
      <c r="AV86" s="234"/>
      <c r="AW86" s="234"/>
      <c r="AX86" s="235"/>
    </row>
    <row r="87" spans="1:50" s="232" customFormat="1">
      <c r="A87" s="228" t="s">
        <v>195</v>
      </c>
      <c r="B87" s="236" t="s">
        <v>206</v>
      </c>
      <c r="C87" s="200">
        <f t="shared" si="69"/>
        <v>287000000</v>
      </c>
      <c r="D87" s="201">
        <f t="shared" si="70"/>
        <v>0</v>
      </c>
      <c r="E87" s="201">
        <f t="shared" si="40"/>
        <v>0</v>
      </c>
      <c r="F87" s="201">
        <f t="shared" si="40"/>
        <v>0</v>
      </c>
      <c r="G87" s="205"/>
      <c r="H87" s="205"/>
      <c r="I87" s="205"/>
      <c r="J87" s="205"/>
      <c r="K87" s="205"/>
      <c r="L87" s="205"/>
      <c r="M87" s="202">
        <f t="shared" si="84"/>
        <v>0</v>
      </c>
      <c r="N87" s="202">
        <f t="shared" si="80"/>
        <v>0</v>
      </c>
      <c r="O87" s="202">
        <f t="shared" si="80"/>
        <v>0</v>
      </c>
      <c r="P87" s="205">
        <v>0</v>
      </c>
      <c r="Q87" s="205">
        <v>0</v>
      </c>
      <c r="R87" s="205"/>
      <c r="S87" s="205"/>
      <c r="T87" s="205"/>
      <c r="U87" s="205"/>
      <c r="V87" s="205">
        <f t="shared" si="81"/>
        <v>287000000</v>
      </c>
      <c r="W87" s="223"/>
      <c r="X87" s="204">
        <f t="shared" si="85"/>
        <v>287000000</v>
      </c>
      <c r="Y87" s="204">
        <f t="shared" si="86"/>
        <v>272000000</v>
      </c>
      <c r="Z87" s="204">
        <f t="shared" si="86"/>
        <v>15000000</v>
      </c>
      <c r="AA87" s="205">
        <v>272000000</v>
      </c>
      <c r="AB87" s="205">
        <v>15000000</v>
      </c>
      <c r="AC87" s="205"/>
      <c r="AD87" s="205"/>
      <c r="AE87" s="205"/>
      <c r="AF87" s="205"/>
      <c r="AG87" s="343">
        <f>+AK87+AH87</f>
        <v>81100000</v>
      </c>
      <c r="AH87" s="205">
        <f>SUM(AI87:AJ87)</f>
        <v>0</v>
      </c>
      <c r="AI87" s="223"/>
      <c r="AJ87" s="223"/>
      <c r="AK87" s="340">
        <f t="shared" si="87"/>
        <v>81100000</v>
      </c>
      <c r="AL87" s="343">
        <v>81100000</v>
      </c>
      <c r="AM87" s="343"/>
      <c r="AN87" s="206">
        <f t="shared" si="72"/>
        <v>28.257839721254356</v>
      </c>
      <c r="AO87" s="230"/>
      <c r="AP87" s="230"/>
      <c r="AT87" s="233"/>
      <c r="AU87" s="233"/>
      <c r="AV87" s="234"/>
      <c r="AW87" s="234"/>
      <c r="AX87" s="235"/>
    </row>
    <row r="88" spans="1:50" s="232" customFormat="1">
      <c r="A88" s="228" t="s">
        <v>195</v>
      </c>
      <c r="B88" s="236" t="s">
        <v>199</v>
      </c>
      <c r="C88" s="200">
        <f t="shared" si="69"/>
        <v>460338447</v>
      </c>
      <c r="D88" s="201">
        <f t="shared" si="70"/>
        <v>47598.999999991065</v>
      </c>
      <c r="E88" s="201">
        <f t="shared" si="40"/>
        <v>47598.999999991065</v>
      </c>
      <c r="F88" s="201">
        <f t="shared" si="40"/>
        <v>0</v>
      </c>
      <c r="G88" s="205">
        <v>47598.999999991065</v>
      </c>
      <c r="H88" s="205"/>
      <c r="I88" s="205"/>
      <c r="J88" s="205"/>
      <c r="K88" s="205"/>
      <c r="L88" s="205"/>
      <c r="M88" s="202">
        <f t="shared" si="84"/>
        <v>173290848.00000003</v>
      </c>
      <c r="N88" s="202">
        <f t="shared" si="80"/>
        <v>159118162.00000003</v>
      </c>
      <c r="O88" s="202">
        <f t="shared" si="80"/>
        <v>14172686</v>
      </c>
      <c r="P88" s="205">
        <v>154140505.00000003</v>
      </c>
      <c r="Q88" s="205">
        <v>7086342.9999999991</v>
      </c>
      <c r="R88" s="205">
        <v>4977657</v>
      </c>
      <c r="S88" s="205">
        <v>7086343</v>
      </c>
      <c r="T88" s="205"/>
      <c r="U88" s="205"/>
      <c r="V88" s="205">
        <f t="shared" si="81"/>
        <v>287000000</v>
      </c>
      <c r="W88" s="223"/>
      <c r="X88" s="204">
        <f t="shared" si="85"/>
        <v>287000000</v>
      </c>
      <c r="Y88" s="204">
        <f t="shared" si="86"/>
        <v>272000000</v>
      </c>
      <c r="Z88" s="204">
        <f t="shared" si="86"/>
        <v>15000000</v>
      </c>
      <c r="AA88" s="205">
        <v>272000000</v>
      </c>
      <c r="AB88" s="205">
        <v>15000000</v>
      </c>
      <c r="AC88" s="205"/>
      <c r="AD88" s="205"/>
      <c r="AE88" s="205"/>
      <c r="AF88" s="205"/>
      <c r="AG88" s="343">
        <f t="shared" ref="AG88:AG100" si="88">+AK88+AH88</f>
        <v>0</v>
      </c>
      <c r="AH88" s="205">
        <f t="shared" ref="AH88:AH100" si="89">SUM(AI88:AJ88)</f>
        <v>0</v>
      </c>
      <c r="AI88" s="223"/>
      <c r="AJ88" s="223"/>
      <c r="AK88" s="202">
        <f t="shared" si="87"/>
        <v>0</v>
      </c>
      <c r="AL88" s="205"/>
      <c r="AM88" s="205"/>
      <c r="AN88" s="206">
        <f t="shared" si="72"/>
        <v>0</v>
      </c>
      <c r="AO88" s="230"/>
      <c r="AP88" s="230"/>
      <c r="AT88" s="233"/>
      <c r="AU88" s="233"/>
      <c r="AV88" s="234"/>
      <c r="AW88" s="234"/>
      <c r="AX88" s="235"/>
    </row>
    <row r="89" spans="1:50" s="232" customFormat="1">
      <c r="A89" s="228" t="s">
        <v>195</v>
      </c>
      <c r="B89" s="236" t="s">
        <v>207</v>
      </c>
      <c r="C89" s="200">
        <f t="shared" si="69"/>
        <v>656000000</v>
      </c>
      <c r="D89" s="201">
        <f t="shared" si="70"/>
        <v>0</v>
      </c>
      <c r="E89" s="201">
        <f t="shared" si="40"/>
        <v>0</v>
      </c>
      <c r="F89" s="201">
        <f t="shared" si="40"/>
        <v>0</v>
      </c>
      <c r="G89" s="205"/>
      <c r="H89" s="205"/>
      <c r="I89" s="205"/>
      <c r="J89" s="205"/>
      <c r="K89" s="205"/>
      <c r="L89" s="205"/>
      <c r="M89" s="202">
        <f t="shared" si="84"/>
        <v>395000000</v>
      </c>
      <c r="N89" s="202">
        <f t="shared" si="80"/>
        <v>395000000</v>
      </c>
      <c r="O89" s="202">
        <f t="shared" si="80"/>
        <v>0</v>
      </c>
      <c r="P89" s="205">
        <v>0</v>
      </c>
      <c r="Q89" s="205">
        <v>0</v>
      </c>
      <c r="R89" s="205">
        <v>395000000</v>
      </c>
      <c r="S89" s="205"/>
      <c r="T89" s="205"/>
      <c r="U89" s="205"/>
      <c r="V89" s="205">
        <f t="shared" si="81"/>
        <v>261000000</v>
      </c>
      <c r="W89" s="223"/>
      <c r="X89" s="204">
        <f t="shared" si="85"/>
        <v>261000000</v>
      </c>
      <c r="Y89" s="204">
        <f t="shared" si="86"/>
        <v>249000000</v>
      </c>
      <c r="Z89" s="204">
        <f t="shared" si="86"/>
        <v>12000000</v>
      </c>
      <c r="AA89" s="205">
        <v>249000000</v>
      </c>
      <c r="AB89" s="205">
        <v>12000000</v>
      </c>
      <c r="AC89" s="205"/>
      <c r="AD89" s="205"/>
      <c r="AE89" s="205"/>
      <c r="AF89" s="205"/>
      <c r="AG89" s="343">
        <f t="shared" si="88"/>
        <v>260733000</v>
      </c>
      <c r="AH89" s="205">
        <f t="shared" si="89"/>
        <v>0</v>
      </c>
      <c r="AI89" s="223"/>
      <c r="AJ89" s="223"/>
      <c r="AK89" s="340">
        <f t="shared" si="87"/>
        <v>260733000</v>
      </c>
      <c r="AL89" s="343">
        <v>248733000</v>
      </c>
      <c r="AM89" s="343">
        <v>12000000</v>
      </c>
      <c r="AN89" s="206">
        <f t="shared" si="72"/>
        <v>39.745884146341467</v>
      </c>
      <c r="AO89" s="230"/>
      <c r="AP89" s="230"/>
      <c r="AT89" s="233"/>
      <c r="AU89" s="233"/>
      <c r="AV89" s="234"/>
      <c r="AW89" s="234"/>
      <c r="AX89" s="235"/>
    </row>
    <row r="90" spans="1:50" s="232" customFormat="1">
      <c r="A90" s="228" t="s">
        <v>195</v>
      </c>
      <c r="B90" s="236" t="s">
        <v>200</v>
      </c>
      <c r="C90" s="200">
        <f t="shared" si="69"/>
        <v>1069392000</v>
      </c>
      <c r="D90" s="201">
        <f t="shared" si="70"/>
        <v>292000</v>
      </c>
      <c r="E90" s="201">
        <f t="shared" si="40"/>
        <v>292000</v>
      </c>
      <c r="F90" s="201">
        <f t="shared" si="40"/>
        <v>0</v>
      </c>
      <c r="G90" s="205">
        <v>292000</v>
      </c>
      <c r="H90" s="205"/>
      <c r="I90" s="205"/>
      <c r="J90" s="205"/>
      <c r="K90" s="205"/>
      <c r="L90" s="205"/>
      <c r="M90" s="202">
        <f t="shared" si="84"/>
        <v>782100000</v>
      </c>
      <c r="N90" s="202">
        <f t="shared" si="80"/>
        <v>766300000</v>
      </c>
      <c r="O90" s="202">
        <f t="shared" si="80"/>
        <v>15800000</v>
      </c>
      <c r="P90" s="205">
        <v>316300000</v>
      </c>
      <c r="Q90" s="205">
        <v>15800000</v>
      </c>
      <c r="R90" s="205">
        <v>450000000</v>
      </c>
      <c r="S90" s="205"/>
      <c r="T90" s="205"/>
      <c r="U90" s="205"/>
      <c r="V90" s="205">
        <f t="shared" si="81"/>
        <v>287000000</v>
      </c>
      <c r="W90" s="223"/>
      <c r="X90" s="204">
        <f t="shared" si="85"/>
        <v>287000000</v>
      </c>
      <c r="Y90" s="204">
        <f t="shared" si="86"/>
        <v>273000000</v>
      </c>
      <c r="Z90" s="204">
        <f t="shared" si="86"/>
        <v>14000000</v>
      </c>
      <c r="AA90" s="205">
        <v>273000000</v>
      </c>
      <c r="AB90" s="205">
        <v>14000000</v>
      </c>
      <c r="AC90" s="205"/>
      <c r="AD90" s="205"/>
      <c r="AE90" s="205"/>
      <c r="AF90" s="205"/>
      <c r="AG90" s="343">
        <f t="shared" si="88"/>
        <v>161527343</v>
      </c>
      <c r="AH90" s="205">
        <f t="shared" si="89"/>
        <v>0</v>
      </c>
      <c r="AI90" s="223"/>
      <c r="AJ90" s="223"/>
      <c r="AK90" s="340">
        <f t="shared" si="87"/>
        <v>161527343</v>
      </c>
      <c r="AL90" s="343">
        <v>147527343</v>
      </c>
      <c r="AM90" s="343">
        <v>14000000</v>
      </c>
      <c r="AN90" s="206">
        <f t="shared" si="72"/>
        <v>15.104596163053399</v>
      </c>
      <c r="AO90" s="230"/>
      <c r="AP90" s="230"/>
      <c r="AT90" s="233"/>
      <c r="AU90" s="233"/>
      <c r="AV90" s="234"/>
      <c r="AW90" s="234"/>
      <c r="AX90" s="235"/>
    </row>
    <row r="91" spans="1:50" s="232" customFormat="1">
      <c r="A91" s="228" t="s">
        <v>195</v>
      </c>
      <c r="B91" s="236" t="s">
        <v>201</v>
      </c>
      <c r="C91" s="200">
        <f t="shared" si="69"/>
        <v>665393000</v>
      </c>
      <c r="D91" s="201">
        <f t="shared" si="70"/>
        <v>0</v>
      </c>
      <c r="E91" s="201">
        <f t="shared" si="40"/>
        <v>0</v>
      </c>
      <c r="F91" s="201">
        <f t="shared" si="40"/>
        <v>0</v>
      </c>
      <c r="G91" s="205"/>
      <c r="H91" s="205"/>
      <c r="I91" s="205"/>
      <c r="J91" s="205"/>
      <c r="K91" s="205"/>
      <c r="L91" s="205"/>
      <c r="M91" s="202">
        <f t="shared" si="84"/>
        <v>378393000</v>
      </c>
      <c r="N91" s="202">
        <f t="shared" si="80"/>
        <v>371953350</v>
      </c>
      <c r="O91" s="202">
        <f t="shared" si="80"/>
        <v>6439649.9999999981</v>
      </c>
      <c r="P91" s="205">
        <v>141953349.99999997</v>
      </c>
      <c r="Q91" s="205">
        <v>6439649.9999999981</v>
      </c>
      <c r="R91" s="205">
        <v>230000000</v>
      </c>
      <c r="S91" s="205"/>
      <c r="T91" s="205"/>
      <c r="U91" s="205"/>
      <c r="V91" s="205">
        <f t="shared" si="81"/>
        <v>287000000</v>
      </c>
      <c r="W91" s="223"/>
      <c r="X91" s="204">
        <f t="shared" si="85"/>
        <v>287000000</v>
      </c>
      <c r="Y91" s="204">
        <f t="shared" si="86"/>
        <v>272000000</v>
      </c>
      <c r="Z91" s="204">
        <f t="shared" si="86"/>
        <v>15000000</v>
      </c>
      <c r="AA91" s="205">
        <v>272000000</v>
      </c>
      <c r="AB91" s="205">
        <v>15000000</v>
      </c>
      <c r="AC91" s="205"/>
      <c r="AD91" s="205"/>
      <c r="AE91" s="205"/>
      <c r="AF91" s="205"/>
      <c r="AG91" s="343">
        <f t="shared" si="88"/>
        <v>285030400</v>
      </c>
      <c r="AH91" s="205">
        <f t="shared" si="89"/>
        <v>0</v>
      </c>
      <c r="AI91" s="223"/>
      <c r="AJ91" s="223"/>
      <c r="AK91" s="340">
        <f t="shared" si="87"/>
        <v>285030400</v>
      </c>
      <c r="AL91" s="343">
        <v>270030400</v>
      </c>
      <c r="AM91" s="343">
        <v>15000000</v>
      </c>
      <c r="AN91" s="206">
        <f t="shared" si="72"/>
        <v>42.836398940175201</v>
      </c>
      <c r="AO91" s="230"/>
      <c r="AP91" s="230"/>
      <c r="AT91" s="233"/>
      <c r="AU91" s="233"/>
      <c r="AV91" s="234"/>
      <c r="AW91" s="234"/>
      <c r="AX91" s="235"/>
    </row>
    <row r="92" spans="1:50" s="232" customFormat="1">
      <c r="A92" s="228" t="s">
        <v>195</v>
      </c>
      <c r="B92" s="236" t="s">
        <v>216</v>
      </c>
      <c r="C92" s="200">
        <f t="shared" si="69"/>
        <v>836129000</v>
      </c>
      <c r="D92" s="201">
        <f t="shared" si="70"/>
        <v>0</v>
      </c>
      <c r="E92" s="201">
        <f t="shared" si="40"/>
        <v>0</v>
      </c>
      <c r="F92" s="201">
        <f t="shared" si="40"/>
        <v>0</v>
      </c>
      <c r="G92" s="205"/>
      <c r="H92" s="205"/>
      <c r="I92" s="205"/>
      <c r="J92" s="205"/>
      <c r="K92" s="205"/>
      <c r="L92" s="205"/>
      <c r="M92" s="202">
        <f t="shared" si="84"/>
        <v>575129000</v>
      </c>
      <c r="N92" s="202">
        <f t="shared" si="80"/>
        <v>563532550</v>
      </c>
      <c r="O92" s="202">
        <f t="shared" si="80"/>
        <v>11596450</v>
      </c>
      <c r="P92" s="205">
        <v>233532550</v>
      </c>
      <c r="Q92" s="205">
        <v>11596450</v>
      </c>
      <c r="R92" s="205">
        <v>330000000</v>
      </c>
      <c r="S92" s="205"/>
      <c r="T92" s="205"/>
      <c r="U92" s="205"/>
      <c r="V92" s="205">
        <f t="shared" si="81"/>
        <v>261000000</v>
      </c>
      <c r="W92" s="223"/>
      <c r="X92" s="204">
        <f t="shared" si="85"/>
        <v>261000000</v>
      </c>
      <c r="Y92" s="204">
        <f t="shared" si="86"/>
        <v>249000000</v>
      </c>
      <c r="Z92" s="204">
        <f t="shared" si="86"/>
        <v>12000000</v>
      </c>
      <c r="AA92" s="205">
        <v>249000000</v>
      </c>
      <c r="AB92" s="205">
        <v>12000000</v>
      </c>
      <c r="AC92" s="205"/>
      <c r="AD92" s="205"/>
      <c r="AE92" s="205"/>
      <c r="AF92" s="205"/>
      <c r="AG92" s="343">
        <f t="shared" si="88"/>
        <v>259247710</v>
      </c>
      <c r="AH92" s="205">
        <f t="shared" si="89"/>
        <v>0</v>
      </c>
      <c r="AI92" s="223"/>
      <c r="AJ92" s="223"/>
      <c r="AK92" s="340">
        <f t="shared" si="87"/>
        <v>259247710</v>
      </c>
      <c r="AL92" s="343">
        <v>247247710</v>
      </c>
      <c r="AM92" s="343">
        <v>12000000</v>
      </c>
      <c r="AN92" s="206">
        <f t="shared" si="72"/>
        <v>31.005707253306607</v>
      </c>
      <c r="AO92" s="230"/>
      <c r="AP92" s="230"/>
      <c r="AT92" s="233"/>
      <c r="AU92" s="233"/>
      <c r="AV92" s="234"/>
      <c r="AW92" s="234"/>
      <c r="AX92" s="235"/>
    </row>
    <row r="93" spans="1:50" s="232" customFormat="1">
      <c r="A93" s="228" t="s">
        <v>195</v>
      </c>
      <c r="B93" s="236" t="s">
        <v>203</v>
      </c>
      <c r="C93" s="200">
        <f t="shared" si="69"/>
        <v>261001000</v>
      </c>
      <c r="D93" s="201">
        <f t="shared" si="70"/>
        <v>0</v>
      </c>
      <c r="E93" s="201">
        <f t="shared" si="40"/>
        <v>0</v>
      </c>
      <c r="F93" s="201">
        <f t="shared" si="40"/>
        <v>0</v>
      </c>
      <c r="G93" s="205"/>
      <c r="H93" s="205"/>
      <c r="I93" s="205"/>
      <c r="J93" s="205"/>
      <c r="K93" s="205"/>
      <c r="L93" s="205"/>
      <c r="M93" s="202">
        <f t="shared" si="84"/>
        <v>1000.0000000012221</v>
      </c>
      <c r="N93" s="202">
        <f t="shared" si="80"/>
        <v>0</v>
      </c>
      <c r="O93" s="202">
        <f t="shared" si="80"/>
        <v>1000.0000000012221</v>
      </c>
      <c r="P93" s="205">
        <v>0</v>
      </c>
      <c r="Q93" s="205">
        <v>1000.0000000012221</v>
      </c>
      <c r="R93" s="205"/>
      <c r="S93" s="205"/>
      <c r="T93" s="205"/>
      <c r="U93" s="205"/>
      <c r="V93" s="205">
        <f t="shared" si="81"/>
        <v>261000000</v>
      </c>
      <c r="W93" s="223"/>
      <c r="X93" s="204">
        <f t="shared" si="85"/>
        <v>261000000</v>
      </c>
      <c r="Y93" s="204">
        <f t="shared" si="86"/>
        <v>249000000</v>
      </c>
      <c r="Z93" s="204">
        <f t="shared" si="86"/>
        <v>12000000</v>
      </c>
      <c r="AA93" s="205">
        <v>249000000</v>
      </c>
      <c r="AB93" s="205">
        <v>12000000</v>
      </c>
      <c r="AC93" s="205"/>
      <c r="AD93" s="205"/>
      <c r="AE93" s="205"/>
      <c r="AF93" s="205"/>
      <c r="AG93" s="343">
        <f t="shared" si="88"/>
        <v>0</v>
      </c>
      <c r="AH93" s="205">
        <f t="shared" si="89"/>
        <v>0</v>
      </c>
      <c r="AI93" s="223"/>
      <c r="AJ93" s="223"/>
      <c r="AK93" s="202">
        <f t="shared" si="87"/>
        <v>0</v>
      </c>
      <c r="AL93" s="205"/>
      <c r="AM93" s="205"/>
      <c r="AN93" s="206">
        <f t="shared" si="72"/>
        <v>0</v>
      </c>
      <c r="AO93" s="230"/>
      <c r="AP93" s="230"/>
      <c r="AT93" s="233"/>
      <c r="AU93" s="233"/>
      <c r="AV93" s="234"/>
      <c r="AW93" s="234"/>
      <c r="AX93" s="235"/>
    </row>
    <row r="94" spans="1:50" s="232" customFormat="1">
      <c r="A94" s="228" t="s">
        <v>195</v>
      </c>
      <c r="B94" s="236" t="s">
        <v>208</v>
      </c>
      <c r="C94" s="200">
        <f t="shared" si="69"/>
        <v>269036944</v>
      </c>
      <c r="D94" s="201">
        <f t="shared" si="70"/>
        <v>0</v>
      </c>
      <c r="E94" s="201">
        <f t="shared" si="40"/>
        <v>0</v>
      </c>
      <c r="F94" s="201">
        <f t="shared" si="40"/>
        <v>0</v>
      </c>
      <c r="G94" s="205"/>
      <c r="H94" s="205"/>
      <c r="I94" s="205"/>
      <c r="J94" s="205"/>
      <c r="K94" s="205"/>
      <c r="L94" s="205"/>
      <c r="M94" s="202">
        <f t="shared" si="84"/>
        <v>8036944.0000000056</v>
      </c>
      <c r="N94" s="202">
        <f t="shared" si="80"/>
        <v>8036944.0000000056</v>
      </c>
      <c r="O94" s="202">
        <f t="shared" si="80"/>
        <v>0</v>
      </c>
      <c r="P94" s="205">
        <v>8036944.0000000056</v>
      </c>
      <c r="Q94" s="205">
        <v>0</v>
      </c>
      <c r="R94" s="205"/>
      <c r="S94" s="205"/>
      <c r="T94" s="205"/>
      <c r="U94" s="205"/>
      <c r="V94" s="205">
        <f t="shared" si="81"/>
        <v>261000000</v>
      </c>
      <c r="W94" s="223"/>
      <c r="X94" s="204">
        <f t="shared" si="85"/>
        <v>261000000</v>
      </c>
      <c r="Y94" s="204">
        <f t="shared" si="86"/>
        <v>249000000</v>
      </c>
      <c r="Z94" s="204">
        <f t="shared" si="86"/>
        <v>12000000</v>
      </c>
      <c r="AA94" s="205">
        <v>249000000</v>
      </c>
      <c r="AB94" s="205">
        <v>12000000</v>
      </c>
      <c r="AC94" s="205"/>
      <c r="AD94" s="205"/>
      <c r="AE94" s="205"/>
      <c r="AF94" s="205"/>
      <c r="AG94" s="343">
        <f t="shared" si="88"/>
        <v>86000000</v>
      </c>
      <c r="AH94" s="205">
        <f t="shared" si="89"/>
        <v>0</v>
      </c>
      <c r="AI94" s="223"/>
      <c r="AJ94" s="223"/>
      <c r="AK94" s="340">
        <f t="shared" si="87"/>
        <v>86000000</v>
      </c>
      <c r="AL94" s="343">
        <f>82000000</f>
        <v>82000000</v>
      </c>
      <c r="AM94" s="343">
        <v>4000000</v>
      </c>
      <c r="AN94" s="206">
        <f t="shared" si="72"/>
        <v>31.965870085113661</v>
      </c>
      <c r="AO94" s="230"/>
      <c r="AP94" s="230"/>
      <c r="AT94" s="233"/>
      <c r="AU94" s="233"/>
      <c r="AV94" s="234"/>
      <c r="AW94" s="234"/>
      <c r="AX94" s="235"/>
    </row>
    <row r="95" spans="1:50" s="232" customFormat="1">
      <c r="A95" s="228" t="s">
        <v>195</v>
      </c>
      <c r="B95" s="236" t="s">
        <v>204</v>
      </c>
      <c r="C95" s="200">
        <f t="shared" si="69"/>
        <v>217000000</v>
      </c>
      <c r="D95" s="201">
        <f t="shared" si="70"/>
        <v>0</v>
      </c>
      <c r="E95" s="201">
        <f t="shared" si="40"/>
        <v>0</v>
      </c>
      <c r="F95" s="201">
        <f t="shared" si="40"/>
        <v>0</v>
      </c>
      <c r="G95" s="205"/>
      <c r="H95" s="205"/>
      <c r="I95" s="205"/>
      <c r="J95" s="205"/>
      <c r="K95" s="205"/>
      <c r="L95" s="205"/>
      <c r="M95" s="202">
        <f t="shared" si="84"/>
        <v>0</v>
      </c>
      <c r="N95" s="202">
        <f t="shared" si="80"/>
        <v>0</v>
      </c>
      <c r="O95" s="202">
        <f t="shared" si="80"/>
        <v>0</v>
      </c>
      <c r="P95" s="205">
        <v>0</v>
      </c>
      <c r="Q95" s="205">
        <v>0</v>
      </c>
      <c r="R95" s="205"/>
      <c r="S95" s="205"/>
      <c r="T95" s="205"/>
      <c r="U95" s="205"/>
      <c r="V95" s="205">
        <f t="shared" si="81"/>
        <v>217000000</v>
      </c>
      <c r="W95" s="223"/>
      <c r="X95" s="204">
        <f t="shared" si="85"/>
        <v>217000000</v>
      </c>
      <c r="Y95" s="204">
        <f>+AA95+AC95-AE95</f>
        <v>206000000</v>
      </c>
      <c r="Z95" s="204">
        <f t="shared" si="86"/>
        <v>11000000</v>
      </c>
      <c r="AA95" s="205">
        <v>111000000</v>
      </c>
      <c r="AB95" s="205">
        <v>6000000</v>
      </c>
      <c r="AC95" s="205">
        <v>95000000</v>
      </c>
      <c r="AD95" s="205">
        <v>5000000</v>
      </c>
      <c r="AE95" s="205"/>
      <c r="AF95" s="205"/>
      <c r="AG95" s="343">
        <f t="shared" si="88"/>
        <v>39000000</v>
      </c>
      <c r="AH95" s="205">
        <f t="shared" si="89"/>
        <v>0</v>
      </c>
      <c r="AI95" s="223"/>
      <c r="AJ95" s="223"/>
      <c r="AK95" s="340">
        <f t="shared" si="87"/>
        <v>39000000</v>
      </c>
      <c r="AL95" s="343">
        <v>37000000</v>
      </c>
      <c r="AM95" s="343">
        <v>2000000</v>
      </c>
      <c r="AN95" s="206">
        <f t="shared" si="72"/>
        <v>17.972350230414747</v>
      </c>
      <c r="AO95" s="230"/>
      <c r="AP95" s="230"/>
      <c r="AT95" s="233"/>
      <c r="AU95" s="233"/>
      <c r="AV95" s="234"/>
      <c r="AW95" s="234"/>
      <c r="AX95" s="235"/>
    </row>
    <row r="96" spans="1:50" s="232" customFormat="1">
      <c r="A96" s="228" t="s">
        <v>195</v>
      </c>
      <c r="B96" s="236" t="s">
        <v>212</v>
      </c>
      <c r="C96" s="200">
        <f t="shared" si="69"/>
        <v>261357999.99999997</v>
      </c>
      <c r="D96" s="201">
        <f t="shared" si="70"/>
        <v>766000</v>
      </c>
      <c r="E96" s="201">
        <f t="shared" si="40"/>
        <v>766000</v>
      </c>
      <c r="F96" s="201">
        <f t="shared" si="40"/>
        <v>0</v>
      </c>
      <c r="G96" s="205">
        <v>766000</v>
      </c>
      <c r="H96" s="205"/>
      <c r="I96" s="205"/>
      <c r="J96" s="205"/>
      <c r="K96" s="205"/>
      <c r="L96" s="205"/>
      <c r="M96" s="202">
        <f t="shared" si="84"/>
        <v>591999.99999998452</v>
      </c>
      <c r="N96" s="202">
        <f t="shared" si="80"/>
        <v>591999.99999998452</v>
      </c>
      <c r="O96" s="202">
        <f t="shared" si="80"/>
        <v>0</v>
      </c>
      <c r="P96" s="205">
        <v>591999.99999998452</v>
      </c>
      <c r="Q96" s="205">
        <v>0</v>
      </c>
      <c r="R96" s="205"/>
      <c r="S96" s="205"/>
      <c r="T96" s="205"/>
      <c r="U96" s="205"/>
      <c r="V96" s="205">
        <f>SUM(W96:X96)</f>
        <v>260000000</v>
      </c>
      <c r="W96" s="223"/>
      <c r="X96" s="204">
        <f t="shared" si="85"/>
        <v>260000000</v>
      </c>
      <c r="Y96" s="204">
        <f t="shared" si="86"/>
        <v>248000000</v>
      </c>
      <c r="Z96" s="204">
        <f t="shared" si="86"/>
        <v>12000000</v>
      </c>
      <c r="AA96" s="205">
        <v>248000000</v>
      </c>
      <c r="AB96" s="205">
        <v>12000000</v>
      </c>
      <c r="AC96" s="205"/>
      <c r="AD96" s="205"/>
      <c r="AE96" s="205"/>
      <c r="AF96" s="205"/>
      <c r="AG96" s="343">
        <f>+AK96+AH96</f>
        <v>0</v>
      </c>
      <c r="AH96" s="205">
        <f t="shared" si="89"/>
        <v>0</v>
      </c>
      <c r="AI96" s="223"/>
      <c r="AJ96" s="223"/>
      <c r="AK96" s="202">
        <f t="shared" si="87"/>
        <v>0</v>
      </c>
      <c r="AL96" s="223"/>
      <c r="AM96" s="223"/>
      <c r="AN96" s="206">
        <f t="shared" si="72"/>
        <v>0</v>
      </c>
      <c r="AO96" s="230"/>
      <c r="AP96" s="230"/>
      <c r="AT96" s="233"/>
      <c r="AU96" s="233"/>
      <c r="AV96" s="234"/>
      <c r="AW96" s="234"/>
      <c r="AX96" s="235"/>
    </row>
    <row r="97" spans="1:50" s="232" customFormat="1">
      <c r="A97" s="228" t="s">
        <v>195</v>
      </c>
      <c r="B97" s="236" t="s">
        <v>211</v>
      </c>
      <c r="C97" s="200">
        <f t="shared" si="69"/>
        <v>569975600</v>
      </c>
      <c r="D97" s="201">
        <f t="shared" si="70"/>
        <v>66561600</v>
      </c>
      <c r="E97" s="201">
        <f t="shared" ref="E97:F160" si="90">+G97+I97-K97</f>
        <v>66561600</v>
      </c>
      <c r="F97" s="201">
        <f t="shared" si="90"/>
        <v>0</v>
      </c>
      <c r="G97" s="205">
        <v>66561600</v>
      </c>
      <c r="H97" s="205"/>
      <c r="I97" s="205"/>
      <c r="J97" s="205"/>
      <c r="K97" s="205"/>
      <c r="L97" s="205"/>
      <c r="M97" s="202">
        <f t="shared" si="84"/>
        <v>242413999.99999997</v>
      </c>
      <c r="N97" s="202">
        <f t="shared" si="80"/>
        <v>230952999.99999997</v>
      </c>
      <c r="O97" s="202">
        <f t="shared" si="80"/>
        <v>11461000</v>
      </c>
      <c r="P97" s="205">
        <v>230952999.99999997</v>
      </c>
      <c r="Q97" s="205">
        <v>11461000</v>
      </c>
      <c r="R97" s="205"/>
      <c r="S97" s="205"/>
      <c r="T97" s="205"/>
      <c r="U97" s="205"/>
      <c r="V97" s="205">
        <f t="shared" si="81"/>
        <v>261000000</v>
      </c>
      <c r="W97" s="223"/>
      <c r="X97" s="204">
        <f t="shared" si="85"/>
        <v>261000000</v>
      </c>
      <c r="Y97" s="204">
        <f t="shared" si="86"/>
        <v>249000000</v>
      </c>
      <c r="Z97" s="204">
        <f t="shared" si="86"/>
        <v>12000000</v>
      </c>
      <c r="AA97" s="205">
        <v>249000000</v>
      </c>
      <c r="AB97" s="205">
        <v>12000000</v>
      </c>
      <c r="AC97" s="205"/>
      <c r="AD97" s="205"/>
      <c r="AE97" s="205"/>
      <c r="AF97" s="205"/>
      <c r="AG97" s="343">
        <f t="shared" si="88"/>
        <v>260745575</v>
      </c>
      <c r="AH97" s="205">
        <f t="shared" si="89"/>
        <v>0</v>
      </c>
      <c r="AI97" s="223"/>
      <c r="AJ97" s="223"/>
      <c r="AK97" s="340">
        <f t="shared" si="87"/>
        <v>260745575</v>
      </c>
      <c r="AL97" s="343">
        <v>248745575</v>
      </c>
      <c r="AM97" s="343">
        <v>12000000</v>
      </c>
      <c r="AN97" s="206">
        <f t="shared" si="72"/>
        <v>45.746796003197332</v>
      </c>
      <c r="AO97" s="230"/>
      <c r="AP97" s="230"/>
      <c r="AT97" s="233"/>
      <c r="AU97" s="233"/>
      <c r="AV97" s="234"/>
      <c r="AW97" s="234"/>
      <c r="AX97" s="235"/>
    </row>
    <row r="98" spans="1:50" s="232" customFormat="1">
      <c r="A98" s="228" t="s">
        <v>195</v>
      </c>
      <c r="B98" s="236" t="s">
        <v>209</v>
      </c>
      <c r="C98" s="200">
        <f t="shared" si="69"/>
        <v>261000000</v>
      </c>
      <c r="D98" s="201">
        <f t="shared" si="70"/>
        <v>0</v>
      </c>
      <c r="E98" s="201">
        <f t="shared" si="90"/>
        <v>0</v>
      </c>
      <c r="F98" s="201">
        <f t="shared" si="90"/>
        <v>0</v>
      </c>
      <c r="G98" s="205">
        <v>88148500</v>
      </c>
      <c r="H98" s="205"/>
      <c r="I98" s="205"/>
      <c r="J98" s="205"/>
      <c r="K98" s="205">
        <v>88148500</v>
      </c>
      <c r="L98" s="205"/>
      <c r="M98" s="202">
        <f t="shared" si="84"/>
        <v>0</v>
      </c>
      <c r="N98" s="202">
        <f t="shared" si="80"/>
        <v>0</v>
      </c>
      <c r="O98" s="202">
        <f t="shared" si="80"/>
        <v>0</v>
      </c>
      <c r="P98" s="205">
        <v>15387605.000000007</v>
      </c>
      <c r="Q98" s="205">
        <v>0</v>
      </c>
      <c r="R98" s="205"/>
      <c r="S98" s="205"/>
      <c r="T98" s="205">
        <v>15387605.000000007</v>
      </c>
      <c r="U98" s="205"/>
      <c r="V98" s="205">
        <f t="shared" si="81"/>
        <v>261000000</v>
      </c>
      <c r="W98" s="223"/>
      <c r="X98" s="204">
        <f t="shared" si="85"/>
        <v>261000000</v>
      </c>
      <c r="Y98" s="204">
        <f t="shared" si="86"/>
        <v>249000000</v>
      </c>
      <c r="Z98" s="204">
        <f t="shared" si="86"/>
        <v>12000000</v>
      </c>
      <c r="AA98" s="205">
        <v>249000000</v>
      </c>
      <c r="AB98" s="205">
        <v>12000000</v>
      </c>
      <c r="AC98" s="205"/>
      <c r="AD98" s="205"/>
      <c r="AE98" s="205"/>
      <c r="AF98" s="205"/>
      <c r="AG98" s="343">
        <f t="shared" si="88"/>
        <v>0</v>
      </c>
      <c r="AH98" s="205">
        <f t="shared" si="89"/>
        <v>0</v>
      </c>
      <c r="AI98" s="223"/>
      <c r="AJ98" s="223"/>
      <c r="AK98" s="202">
        <f t="shared" si="87"/>
        <v>0</v>
      </c>
      <c r="AL98" s="205"/>
      <c r="AM98" s="205"/>
      <c r="AN98" s="206">
        <f t="shared" si="72"/>
        <v>0</v>
      </c>
      <c r="AO98" s="230"/>
      <c r="AP98" s="230"/>
      <c r="AT98" s="233"/>
      <c r="AU98" s="233"/>
      <c r="AV98" s="234"/>
      <c r="AW98" s="234"/>
      <c r="AX98" s="235"/>
    </row>
    <row r="99" spans="1:50" s="232" customFormat="1">
      <c r="A99" s="228" t="s">
        <v>195</v>
      </c>
      <c r="B99" s="236" t="s">
        <v>218</v>
      </c>
      <c r="C99" s="200">
        <f t="shared" si="69"/>
        <v>221464099.99999997</v>
      </c>
      <c r="D99" s="201">
        <f t="shared" si="70"/>
        <v>0</v>
      </c>
      <c r="E99" s="201">
        <f t="shared" si="90"/>
        <v>0</v>
      </c>
      <c r="F99" s="201">
        <f t="shared" si="90"/>
        <v>0</v>
      </c>
      <c r="G99" s="205"/>
      <c r="H99" s="205"/>
      <c r="I99" s="205"/>
      <c r="J99" s="205"/>
      <c r="K99" s="205"/>
      <c r="L99" s="205"/>
      <c r="M99" s="202">
        <f t="shared" si="84"/>
        <v>104464099.99999997</v>
      </c>
      <c r="N99" s="202">
        <f t="shared" ref="N99:O100" si="91">+P99+R99-T99</f>
        <v>102314099.99999997</v>
      </c>
      <c r="O99" s="202">
        <f t="shared" si="91"/>
        <v>2149999.9999999995</v>
      </c>
      <c r="P99" s="205">
        <v>4808569.9999999749</v>
      </c>
      <c r="Q99" s="205">
        <v>105947.99999999971</v>
      </c>
      <c r="R99" s="205">
        <v>97505530</v>
      </c>
      <c r="S99" s="205">
        <v>2044052</v>
      </c>
      <c r="T99" s="205"/>
      <c r="U99" s="205"/>
      <c r="V99" s="205">
        <f t="shared" si="81"/>
        <v>117000000</v>
      </c>
      <c r="W99" s="223"/>
      <c r="X99" s="204">
        <f t="shared" si="85"/>
        <v>117000000</v>
      </c>
      <c r="Y99" s="204">
        <f t="shared" si="86"/>
        <v>111000000</v>
      </c>
      <c r="Z99" s="204">
        <f t="shared" si="86"/>
        <v>6000000</v>
      </c>
      <c r="AA99" s="205">
        <v>111000000</v>
      </c>
      <c r="AB99" s="205">
        <v>6000000</v>
      </c>
      <c r="AC99" s="205"/>
      <c r="AD99" s="205"/>
      <c r="AE99" s="205"/>
      <c r="AF99" s="205"/>
      <c r="AG99" s="343">
        <f t="shared" si="88"/>
        <v>37828523</v>
      </c>
      <c r="AH99" s="205">
        <f t="shared" si="89"/>
        <v>0</v>
      </c>
      <c r="AI99" s="223"/>
      <c r="AJ99" s="223"/>
      <c r="AK99" s="340">
        <f t="shared" si="87"/>
        <v>37828523</v>
      </c>
      <c r="AL99" s="343">
        <v>37000000</v>
      </c>
      <c r="AM99" s="343">
        <v>828523</v>
      </c>
      <c r="AN99" s="206">
        <f t="shared" si="72"/>
        <v>17.081108405380377</v>
      </c>
      <c r="AO99" s="230"/>
      <c r="AP99" s="230"/>
      <c r="AT99" s="233"/>
      <c r="AU99" s="233"/>
      <c r="AV99" s="234"/>
      <c r="AW99" s="234"/>
      <c r="AX99" s="235"/>
    </row>
    <row r="100" spans="1:50" s="232" customFormat="1">
      <c r="A100" s="228" t="s">
        <v>195</v>
      </c>
      <c r="B100" s="236" t="s">
        <v>231</v>
      </c>
      <c r="C100" s="201">
        <f t="shared" si="69"/>
        <v>0</v>
      </c>
      <c r="D100" s="201">
        <f t="shared" si="70"/>
        <v>0</v>
      </c>
      <c r="E100" s="201">
        <f t="shared" si="90"/>
        <v>0</v>
      </c>
      <c r="F100" s="201">
        <f t="shared" si="90"/>
        <v>0</v>
      </c>
      <c r="G100" s="205"/>
      <c r="H100" s="205"/>
      <c r="I100" s="205"/>
      <c r="J100" s="205"/>
      <c r="K100" s="205"/>
      <c r="L100" s="205"/>
      <c r="M100" s="202">
        <f t="shared" si="84"/>
        <v>0</v>
      </c>
      <c r="N100" s="202">
        <f t="shared" si="91"/>
        <v>0</v>
      </c>
      <c r="O100" s="202">
        <f t="shared" si="91"/>
        <v>0</v>
      </c>
      <c r="P100" s="205">
        <v>0</v>
      </c>
      <c r="Q100" s="205">
        <v>29042252</v>
      </c>
      <c r="R100" s="205"/>
      <c r="S100" s="205"/>
      <c r="T100" s="205"/>
      <c r="U100" s="205">
        <v>29042252</v>
      </c>
      <c r="V100" s="205"/>
      <c r="W100" s="223"/>
      <c r="X100" s="204">
        <f t="shared" si="85"/>
        <v>0</v>
      </c>
      <c r="Y100" s="204">
        <f t="shared" si="86"/>
        <v>0</v>
      </c>
      <c r="Z100" s="204">
        <f t="shared" si="86"/>
        <v>0</v>
      </c>
      <c r="AA100" s="205"/>
      <c r="AB100" s="205"/>
      <c r="AC100" s="205"/>
      <c r="AD100" s="205"/>
      <c r="AE100" s="205"/>
      <c r="AF100" s="205"/>
      <c r="AG100" s="343">
        <f t="shared" si="88"/>
        <v>0</v>
      </c>
      <c r="AH100" s="205">
        <f t="shared" si="89"/>
        <v>0</v>
      </c>
      <c r="AI100" s="223"/>
      <c r="AJ100" s="223"/>
      <c r="AK100" s="202">
        <f t="shared" si="87"/>
        <v>0</v>
      </c>
      <c r="AL100" s="223"/>
      <c r="AM100" s="223"/>
      <c r="AN100" s="206"/>
      <c r="AO100" s="230"/>
      <c r="AP100" s="230"/>
      <c r="AT100" s="233"/>
      <c r="AU100" s="233"/>
      <c r="AV100" s="234"/>
      <c r="AW100" s="234"/>
      <c r="AX100" s="235"/>
    </row>
    <row r="101" spans="1:50" s="208" customFormat="1" ht="46.5" customHeight="1">
      <c r="A101" s="225" t="s">
        <v>16</v>
      </c>
      <c r="B101" s="226" t="s">
        <v>21</v>
      </c>
      <c r="C101" s="264">
        <f t="shared" si="69"/>
        <v>10257417400</v>
      </c>
      <c r="D101" s="264">
        <f t="shared" si="70"/>
        <v>532357172</v>
      </c>
      <c r="E101" s="264">
        <f t="shared" si="90"/>
        <v>532357172</v>
      </c>
      <c r="F101" s="264">
        <f t="shared" si="90"/>
        <v>0</v>
      </c>
      <c r="G101" s="264">
        <f t="shared" ref="G101:L101" si="92">+G102+G104+G106+G110</f>
        <v>1386961172</v>
      </c>
      <c r="H101" s="264">
        <f t="shared" si="92"/>
        <v>0</v>
      </c>
      <c r="I101" s="264">
        <f t="shared" si="92"/>
        <v>0</v>
      </c>
      <c r="J101" s="264">
        <f t="shared" si="92"/>
        <v>0</v>
      </c>
      <c r="K101" s="264">
        <f t="shared" si="92"/>
        <v>854604000</v>
      </c>
      <c r="L101" s="264">
        <f t="shared" si="92"/>
        <v>0</v>
      </c>
      <c r="M101" s="264">
        <f>+M102+M104+M106+M110</f>
        <v>516060228</v>
      </c>
      <c r="N101" s="264">
        <f t="shared" ref="N101:U101" si="93">+N102+N104+N106+N110</f>
        <v>393060228</v>
      </c>
      <c r="O101" s="264">
        <f t="shared" si="93"/>
        <v>123000000</v>
      </c>
      <c r="P101" s="264">
        <f t="shared" si="93"/>
        <v>5278337745</v>
      </c>
      <c r="Q101" s="264">
        <f t="shared" si="93"/>
        <v>231486000</v>
      </c>
      <c r="R101" s="264">
        <f t="shared" si="93"/>
        <v>0</v>
      </c>
      <c r="S101" s="264">
        <f t="shared" si="93"/>
        <v>0</v>
      </c>
      <c r="T101" s="264">
        <f t="shared" si="93"/>
        <v>4885277517</v>
      </c>
      <c r="U101" s="264">
        <f t="shared" si="93"/>
        <v>108486000</v>
      </c>
      <c r="V101" s="264">
        <f>+V102+V104+V106+V110</f>
        <v>9209000000</v>
      </c>
      <c r="W101" s="264">
        <f>+W102+W104+W106+W110</f>
        <v>0</v>
      </c>
      <c r="X101" s="264">
        <f>+X102+X104+X106+X110</f>
        <v>9209000000</v>
      </c>
      <c r="Y101" s="264">
        <f t="shared" ref="Y101:AF101" si="94">+Y102+Y104+Y106+Y110</f>
        <v>8759000000</v>
      </c>
      <c r="Z101" s="264">
        <f t="shared" si="94"/>
        <v>450000000</v>
      </c>
      <c r="AA101" s="264">
        <f t="shared" si="94"/>
        <v>8759000000</v>
      </c>
      <c r="AB101" s="264">
        <f t="shared" si="94"/>
        <v>450000000</v>
      </c>
      <c r="AC101" s="264">
        <f t="shared" si="94"/>
        <v>0</v>
      </c>
      <c r="AD101" s="264">
        <f t="shared" si="94"/>
        <v>0</v>
      </c>
      <c r="AE101" s="264">
        <f t="shared" si="94"/>
        <v>0</v>
      </c>
      <c r="AF101" s="264">
        <f t="shared" si="94"/>
        <v>0</v>
      </c>
      <c r="AG101" s="372">
        <f>+AG102+AG104+AG106+AG110</f>
        <v>3135862150</v>
      </c>
      <c r="AH101" s="264">
        <f t="shared" ref="AH101:AM101" si="95">+AH102+AH104+AH106+AH110</f>
        <v>0</v>
      </c>
      <c r="AI101" s="264">
        <f t="shared" si="95"/>
        <v>0</v>
      </c>
      <c r="AJ101" s="264">
        <f t="shared" si="95"/>
        <v>0</v>
      </c>
      <c r="AK101" s="264">
        <f t="shared" si="95"/>
        <v>3135862150</v>
      </c>
      <c r="AL101" s="264">
        <f t="shared" si="95"/>
        <v>3084862150</v>
      </c>
      <c r="AM101" s="264">
        <f t="shared" si="95"/>
        <v>51000000</v>
      </c>
      <c r="AN101" s="206">
        <f t="shared" si="72"/>
        <v>30.571653933084558</v>
      </c>
      <c r="AO101" s="284"/>
      <c r="AP101" s="284"/>
      <c r="AT101" s="209"/>
      <c r="AU101" s="209"/>
      <c r="AV101" s="210"/>
      <c r="AW101" s="210"/>
      <c r="AX101" s="211"/>
    </row>
    <row r="102" spans="1:50" s="208" customFormat="1" ht="121.5" customHeight="1">
      <c r="A102" s="267">
        <v>1</v>
      </c>
      <c r="B102" s="268" t="s">
        <v>110</v>
      </c>
      <c r="C102" s="201">
        <f t="shared" si="69"/>
        <v>2408316000</v>
      </c>
      <c r="D102" s="201">
        <f t="shared" si="70"/>
        <v>0</v>
      </c>
      <c r="E102" s="201">
        <f t="shared" si="90"/>
        <v>0</v>
      </c>
      <c r="F102" s="201">
        <f t="shared" si="90"/>
        <v>0</v>
      </c>
      <c r="G102" s="285">
        <f t="shared" ref="G102:AH102" si="96">+G103</f>
        <v>0</v>
      </c>
      <c r="H102" s="285">
        <f t="shared" si="96"/>
        <v>0</v>
      </c>
      <c r="I102" s="285">
        <f t="shared" si="96"/>
        <v>0</v>
      </c>
      <c r="J102" s="285">
        <f t="shared" si="96"/>
        <v>0</v>
      </c>
      <c r="K102" s="285">
        <f t="shared" si="96"/>
        <v>0</v>
      </c>
      <c r="L102" s="285">
        <f t="shared" si="96"/>
        <v>0</v>
      </c>
      <c r="M102" s="285">
        <f t="shared" si="96"/>
        <v>390316000</v>
      </c>
      <c r="N102" s="285">
        <f t="shared" si="96"/>
        <v>267316000</v>
      </c>
      <c r="O102" s="285">
        <f t="shared" si="96"/>
        <v>123000000</v>
      </c>
      <c r="P102" s="285">
        <f t="shared" si="96"/>
        <v>267316000</v>
      </c>
      <c r="Q102" s="285">
        <f t="shared" si="96"/>
        <v>123000000</v>
      </c>
      <c r="R102" s="285">
        <f t="shared" si="96"/>
        <v>0</v>
      </c>
      <c r="S102" s="285">
        <f t="shared" si="96"/>
        <v>0</v>
      </c>
      <c r="T102" s="285">
        <f t="shared" si="96"/>
        <v>0</v>
      </c>
      <c r="U102" s="285">
        <f t="shared" si="96"/>
        <v>0</v>
      </c>
      <c r="V102" s="285">
        <f t="shared" si="96"/>
        <v>2018000000</v>
      </c>
      <c r="W102" s="285">
        <f t="shared" si="96"/>
        <v>0</v>
      </c>
      <c r="X102" s="285">
        <f t="shared" si="96"/>
        <v>2018000000</v>
      </c>
      <c r="Y102" s="285">
        <f t="shared" si="96"/>
        <v>1866000000</v>
      </c>
      <c r="Z102" s="285">
        <f t="shared" si="96"/>
        <v>152000000</v>
      </c>
      <c r="AA102" s="285">
        <f t="shared" si="96"/>
        <v>1866000000</v>
      </c>
      <c r="AB102" s="285">
        <f t="shared" si="96"/>
        <v>152000000</v>
      </c>
      <c r="AC102" s="285">
        <f t="shared" si="96"/>
        <v>0</v>
      </c>
      <c r="AD102" s="285">
        <f t="shared" si="96"/>
        <v>0</v>
      </c>
      <c r="AE102" s="285">
        <f t="shared" si="96"/>
        <v>0</v>
      </c>
      <c r="AF102" s="285">
        <f t="shared" si="96"/>
        <v>0</v>
      </c>
      <c r="AG102" s="375">
        <f t="shared" si="96"/>
        <v>0</v>
      </c>
      <c r="AH102" s="285">
        <f t="shared" si="96"/>
        <v>0</v>
      </c>
      <c r="AI102" s="285"/>
      <c r="AJ102" s="285"/>
      <c r="AK102" s="205">
        <f t="shared" ref="AK102" si="97">SUM(AL102:AM102)</f>
        <v>0</v>
      </c>
      <c r="AL102" s="285"/>
      <c r="AM102" s="285"/>
      <c r="AN102" s="206">
        <f t="shared" si="72"/>
        <v>0</v>
      </c>
      <c r="AO102" s="207"/>
      <c r="AP102" s="207"/>
      <c r="AT102" s="209"/>
      <c r="AU102" s="209"/>
      <c r="AV102" s="210"/>
      <c r="AW102" s="210"/>
      <c r="AX102" s="211"/>
    </row>
    <row r="103" spans="1:50" s="208" customFormat="1" ht="27.75" customHeight="1">
      <c r="A103" s="198" t="s">
        <v>195</v>
      </c>
      <c r="B103" s="199" t="s">
        <v>219</v>
      </c>
      <c r="C103" s="200">
        <f t="shared" si="69"/>
        <v>2408316000</v>
      </c>
      <c r="D103" s="201">
        <f t="shared" si="70"/>
        <v>0</v>
      </c>
      <c r="E103" s="201">
        <f t="shared" si="90"/>
        <v>0</v>
      </c>
      <c r="F103" s="201">
        <f t="shared" si="90"/>
        <v>0</v>
      </c>
      <c r="G103" s="202"/>
      <c r="H103" s="202"/>
      <c r="I103" s="202"/>
      <c r="J103" s="202"/>
      <c r="K103" s="202"/>
      <c r="L103" s="202"/>
      <c r="M103" s="202">
        <f>SUM(N103:O103)</f>
        <v>390316000</v>
      </c>
      <c r="N103" s="202">
        <f>+P103+R103-T103</f>
        <v>267316000</v>
      </c>
      <c r="O103" s="202">
        <f t="shared" ref="O103" si="98">+Q103+S103-U103</f>
        <v>123000000</v>
      </c>
      <c r="P103" s="202">
        <v>267316000</v>
      </c>
      <c r="Q103" s="202">
        <v>123000000</v>
      </c>
      <c r="R103" s="202"/>
      <c r="S103" s="202"/>
      <c r="T103" s="202"/>
      <c r="U103" s="202"/>
      <c r="V103" s="202">
        <f>SUM(W103:X103)</f>
        <v>2018000000</v>
      </c>
      <c r="W103" s="203"/>
      <c r="X103" s="204">
        <f>SUM(Y103:Z103)</f>
        <v>2018000000</v>
      </c>
      <c r="Y103" s="204">
        <f>+AA103+AC103-AE103</f>
        <v>1866000000</v>
      </c>
      <c r="Z103" s="204">
        <f>+AB103+AD103-AF103</f>
        <v>152000000</v>
      </c>
      <c r="AA103" s="202">
        <v>1866000000</v>
      </c>
      <c r="AB103" s="202">
        <v>152000000</v>
      </c>
      <c r="AC103" s="202"/>
      <c r="AD103" s="202"/>
      <c r="AE103" s="202"/>
      <c r="AF103" s="202"/>
      <c r="AG103" s="343">
        <f t="shared" ref="AG103" si="99">+AK103+AH103</f>
        <v>0</v>
      </c>
      <c r="AH103" s="205">
        <f t="shared" ref="AH103" si="100">SUM(AI103:AJ103)</f>
        <v>0</v>
      </c>
      <c r="AI103" s="203"/>
      <c r="AJ103" s="203"/>
      <c r="AK103" s="202">
        <f t="shared" ref="AK103" si="101">SUM(AL103:AM103)</f>
        <v>0</v>
      </c>
      <c r="AL103" s="203"/>
      <c r="AM103" s="203"/>
      <c r="AN103" s="206">
        <f t="shared" si="72"/>
        <v>0</v>
      </c>
      <c r="AO103" s="207"/>
      <c r="AP103" s="207"/>
      <c r="AT103" s="209"/>
      <c r="AU103" s="209"/>
      <c r="AV103" s="210"/>
      <c r="AW103" s="210"/>
      <c r="AX103" s="211"/>
    </row>
    <row r="104" spans="1:50" s="208" customFormat="1" ht="87.75" customHeight="1">
      <c r="A104" s="267">
        <v>2</v>
      </c>
      <c r="B104" s="268" t="s">
        <v>111</v>
      </c>
      <c r="C104" s="201">
        <f t="shared" si="69"/>
        <v>592975360</v>
      </c>
      <c r="D104" s="201">
        <f t="shared" si="70"/>
        <v>149115172</v>
      </c>
      <c r="E104" s="201">
        <f t="shared" si="90"/>
        <v>149115172</v>
      </c>
      <c r="F104" s="201">
        <f t="shared" si="90"/>
        <v>0</v>
      </c>
      <c r="G104" s="285">
        <f t="shared" ref="G104:AM104" si="102">+G105</f>
        <v>149115172</v>
      </c>
      <c r="H104" s="285">
        <f t="shared" si="102"/>
        <v>0</v>
      </c>
      <c r="I104" s="285">
        <f t="shared" si="102"/>
        <v>0</v>
      </c>
      <c r="J104" s="285">
        <f t="shared" si="102"/>
        <v>0</v>
      </c>
      <c r="K104" s="285">
        <f t="shared" si="102"/>
        <v>0</v>
      </c>
      <c r="L104" s="285">
        <f t="shared" si="102"/>
        <v>0</v>
      </c>
      <c r="M104" s="285">
        <f t="shared" si="102"/>
        <v>61860188</v>
      </c>
      <c r="N104" s="285">
        <f t="shared" si="102"/>
        <v>61860188</v>
      </c>
      <c r="O104" s="285">
        <f t="shared" si="102"/>
        <v>0</v>
      </c>
      <c r="P104" s="285">
        <f t="shared" si="102"/>
        <v>61860188</v>
      </c>
      <c r="Q104" s="285">
        <f t="shared" si="102"/>
        <v>0</v>
      </c>
      <c r="R104" s="285">
        <f t="shared" si="102"/>
        <v>0</v>
      </c>
      <c r="S104" s="285">
        <f t="shared" si="102"/>
        <v>0</v>
      </c>
      <c r="T104" s="285">
        <f t="shared" si="102"/>
        <v>0</v>
      </c>
      <c r="U104" s="285">
        <f t="shared" si="102"/>
        <v>0</v>
      </c>
      <c r="V104" s="285">
        <f t="shared" si="102"/>
        <v>382000000</v>
      </c>
      <c r="W104" s="285">
        <f t="shared" si="102"/>
        <v>0</v>
      </c>
      <c r="X104" s="285">
        <f t="shared" si="102"/>
        <v>382000000</v>
      </c>
      <c r="Y104" s="285">
        <f t="shared" si="102"/>
        <v>382000000</v>
      </c>
      <c r="Z104" s="285">
        <f t="shared" si="102"/>
        <v>0</v>
      </c>
      <c r="AA104" s="285">
        <f t="shared" si="102"/>
        <v>382000000</v>
      </c>
      <c r="AB104" s="285">
        <f t="shared" si="102"/>
        <v>0</v>
      </c>
      <c r="AC104" s="285">
        <f t="shared" si="102"/>
        <v>0</v>
      </c>
      <c r="AD104" s="285">
        <f t="shared" si="102"/>
        <v>0</v>
      </c>
      <c r="AE104" s="285">
        <f t="shared" si="102"/>
        <v>0</v>
      </c>
      <c r="AF104" s="285">
        <f t="shared" si="102"/>
        <v>0</v>
      </c>
      <c r="AG104" s="375">
        <f t="shared" si="102"/>
        <v>390660420</v>
      </c>
      <c r="AH104" s="285">
        <f t="shared" si="102"/>
        <v>0</v>
      </c>
      <c r="AI104" s="285">
        <f t="shared" si="102"/>
        <v>0</v>
      </c>
      <c r="AJ104" s="285">
        <f t="shared" si="102"/>
        <v>0</v>
      </c>
      <c r="AK104" s="285">
        <f t="shared" si="102"/>
        <v>390660420</v>
      </c>
      <c r="AL104" s="285">
        <f t="shared" si="102"/>
        <v>390660420</v>
      </c>
      <c r="AM104" s="285">
        <f t="shared" si="102"/>
        <v>0</v>
      </c>
      <c r="AN104" s="206">
        <f t="shared" si="72"/>
        <v>65.881391766430227</v>
      </c>
      <c r="AO104" s="207"/>
      <c r="AP104" s="207"/>
      <c r="AT104" s="209"/>
      <c r="AU104" s="209"/>
      <c r="AV104" s="210"/>
      <c r="AW104" s="210"/>
      <c r="AX104" s="211"/>
    </row>
    <row r="105" spans="1:50" s="208" customFormat="1" ht="20.25" customHeight="1">
      <c r="A105" s="198" t="s">
        <v>195</v>
      </c>
      <c r="B105" s="199" t="s">
        <v>220</v>
      </c>
      <c r="C105" s="200">
        <f t="shared" si="69"/>
        <v>592975360</v>
      </c>
      <c r="D105" s="201">
        <f t="shared" si="70"/>
        <v>149115172</v>
      </c>
      <c r="E105" s="201">
        <f t="shared" si="90"/>
        <v>149115172</v>
      </c>
      <c r="F105" s="201">
        <f t="shared" si="90"/>
        <v>0</v>
      </c>
      <c r="G105" s="202">
        <v>149115172</v>
      </c>
      <c r="H105" s="202"/>
      <c r="I105" s="202"/>
      <c r="J105" s="202"/>
      <c r="K105" s="202"/>
      <c r="L105" s="202"/>
      <c r="M105" s="202">
        <f>SUM(N105:O105)</f>
        <v>61860188</v>
      </c>
      <c r="N105" s="202">
        <f>+P105+R105-T105</f>
        <v>61860188</v>
      </c>
      <c r="O105" s="202">
        <f t="shared" ref="O105" si="103">+Q105+S105-U105</f>
        <v>0</v>
      </c>
      <c r="P105" s="202">
        <v>61860188</v>
      </c>
      <c r="Q105" s="202"/>
      <c r="R105" s="202"/>
      <c r="S105" s="202"/>
      <c r="T105" s="202"/>
      <c r="U105" s="202"/>
      <c r="V105" s="202">
        <f>SUM(W105:X105)</f>
        <v>382000000</v>
      </c>
      <c r="W105" s="203"/>
      <c r="X105" s="204">
        <f>SUM(Y105:Z105)</f>
        <v>382000000</v>
      </c>
      <c r="Y105" s="204">
        <f>+AA105+AC105-AE105</f>
        <v>382000000</v>
      </c>
      <c r="Z105" s="204">
        <f>+AB105+AD105-AF105</f>
        <v>0</v>
      </c>
      <c r="AA105" s="202">
        <v>382000000</v>
      </c>
      <c r="AB105" s="202"/>
      <c r="AC105" s="202"/>
      <c r="AD105" s="202"/>
      <c r="AE105" s="202"/>
      <c r="AF105" s="202"/>
      <c r="AG105" s="343">
        <f t="shared" ref="AG105:AG108" si="104">+AK105+AH105</f>
        <v>390660420</v>
      </c>
      <c r="AH105" s="205">
        <f t="shared" ref="AH105" si="105">SUM(AI105:AJ105)</f>
        <v>0</v>
      </c>
      <c r="AI105" s="202"/>
      <c r="AJ105" s="202"/>
      <c r="AK105" s="202">
        <f t="shared" ref="AK105" si="106">SUM(AL105:AM105)</f>
        <v>390660420</v>
      </c>
      <c r="AL105" s="202">
        <v>390660420</v>
      </c>
      <c r="AM105" s="202"/>
      <c r="AN105" s="206">
        <f t="shared" si="72"/>
        <v>65.881391766430227</v>
      </c>
      <c r="AO105" s="207"/>
      <c r="AP105" s="207"/>
      <c r="AT105" s="209"/>
      <c r="AU105" s="209"/>
      <c r="AV105" s="210"/>
      <c r="AW105" s="210"/>
      <c r="AX105" s="211"/>
    </row>
    <row r="106" spans="1:50" s="208" customFormat="1" ht="75.75" customHeight="1">
      <c r="A106" s="267">
        <v>3</v>
      </c>
      <c r="B106" s="268" t="s">
        <v>112</v>
      </c>
      <c r="C106" s="201">
        <f t="shared" si="69"/>
        <v>4401126040</v>
      </c>
      <c r="D106" s="201">
        <f t="shared" si="70"/>
        <v>383242000</v>
      </c>
      <c r="E106" s="201">
        <f t="shared" si="90"/>
        <v>383242000</v>
      </c>
      <c r="F106" s="201">
        <f t="shared" si="90"/>
        <v>0</v>
      </c>
      <c r="G106" s="286">
        <f t="shared" ref="G106:U106" si="107">SUM(G107:G109)</f>
        <v>1237846000</v>
      </c>
      <c r="H106" s="286">
        <f t="shared" si="107"/>
        <v>0</v>
      </c>
      <c r="I106" s="286">
        <f t="shared" si="107"/>
        <v>0</v>
      </c>
      <c r="J106" s="286">
        <f t="shared" si="107"/>
        <v>0</v>
      </c>
      <c r="K106" s="286">
        <f t="shared" si="107"/>
        <v>854604000</v>
      </c>
      <c r="L106" s="286">
        <f t="shared" si="107"/>
        <v>0</v>
      </c>
      <c r="M106" s="286">
        <f>SUM(M107:M109)</f>
        <v>63884040</v>
      </c>
      <c r="N106" s="286">
        <f t="shared" si="107"/>
        <v>63884040</v>
      </c>
      <c r="O106" s="286">
        <f t="shared" si="107"/>
        <v>0</v>
      </c>
      <c r="P106" s="286">
        <f t="shared" si="107"/>
        <v>1548769260</v>
      </c>
      <c r="Q106" s="286">
        <f t="shared" si="107"/>
        <v>108486000</v>
      </c>
      <c r="R106" s="286">
        <f t="shared" si="107"/>
        <v>0</v>
      </c>
      <c r="S106" s="286">
        <f t="shared" si="107"/>
        <v>0</v>
      </c>
      <c r="T106" s="286">
        <f t="shared" si="107"/>
        <v>1484885220</v>
      </c>
      <c r="U106" s="286">
        <f t="shared" si="107"/>
        <v>108486000</v>
      </c>
      <c r="V106" s="286">
        <f t="shared" ref="V106:AM106" si="108">SUM(V107:V108)</f>
        <v>3954000000</v>
      </c>
      <c r="W106" s="286">
        <f t="shared" si="108"/>
        <v>0</v>
      </c>
      <c r="X106" s="286">
        <f t="shared" si="108"/>
        <v>3954000000</v>
      </c>
      <c r="Y106" s="286">
        <f t="shared" si="108"/>
        <v>3656000000</v>
      </c>
      <c r="Z106" s="286">
        <f t="shared" si="108"/>
        <v>298000000</v>
      </c>
      <c r="AA106" s="286">
        <f t="shared" si="108"/>
        <v>3656000000</v>
      </c>
      <c r="AB106" s="286">
        <f t="shared" si="108"/>
        <v>298000000</v>
      </c>
      <c r="AC106" s="286">
        <f t="shared" si="108"/>
        <v>0</v>
      </c>
      <c r="AD106" s="286">
        <f t="shared" si="108"/>
        <v>0</v>
      </c>
      <c r="AE106" s="286">
        <f t="shared" si="108"/>
        <v>0</v>
      </c>
      <c r="AF106" s="286">
        <f t="shared" si="108"/>
        <v>0</v>
      </c>
      <c r="AG106" s="361">
        <f t="shared" si="108"/>
        <v>2347451800</v>
      </c>
      <c r="AH106" s="286">
        <f t="shared" si="108"/>
        <v>0</v>
      </c>
      <c r="AI106" s="286">
        <f t="shared" si="108"/>
        <v>0</v>
      </c>
      <c r="AJ106" s="286">
        <f t="shared" si="108"/>
        <v>0</v>
      </c>
      <c r="AK106" s="286">
        <f>SUM(AK107:AK108)</f>
        <v>2347451800</v>
      </c>
      <c r="AL106" s="286">
        <f t="shared" si="108"/>
        <v>2296451800</v>
      </c>
      <c r="AM106" s="286">
        <f t="shared" si="108"/>
        <v>51000000</v>
      </c>
      <c r="AN106" s="206">
        <f t="shared" si="72"/>
        <v>53.337527229735961</v>
      </c>
      <c r="AO106" s="207"/>
      <c r="AP106" s="207"/>
      <c r="AT106" s="209"/>
      <c r="AU106" s="209"/>
      <c r="AV106" s="210"/>
      <c r="AW106" s="210"/>
      <c r="AX106" s="211"/>
    </row>
    <row r="107" spans="1:50" s="208" customFormat="1" ht="26.25" customHeight="1">
      <c r="A107" s="198" t="s">
        <v>195</v>
      </c>
      <c r="B107" s="199" t="s">
        <v>221</v>
      </c>
      <c r="C107" s="201">
        <f t="shared" si="69"/>
        <v>2901126040</v>
      </c>
      <c r="D107" s="201">
        <f t="shared" si="70"/>
        <v>383242000</v>
      </c>
      <c r="E107" s="201">
        <f t="shared" si="90"/>
        <v>383242000</v>
      </c>
      <c r="F107" s="201">
        <f t="shared" si="90"/>
        <v>0</v>
      </c>
      <c r="G107" s="202">
        <v>383242000</v>
      </c>
      <c r="H107" s="202"/>
      <c r="I107" s="202"/>
      <c r="J107" s="202"/>
      <c r="K107" s="202"/>
      <c r="L107" s="202"/>
      <c r="M107" s="202">
        <f>SUM(N107:O107)</f>
        <v>63884040</v>
      </c>
      <c r="N107" s="202">
        <f>+P107+R107-T107</f>
        <v>63884040</v>
      </c>
      <c r="O107" s="202">
        <f t="shared" ref="O107:O109" si="109">+Q107+S107-U107</f>
        <v>0</v>
      </c>
      <c r="P107" s="282">
        <f>11600000+52284040</f>
        <v>63884040</v>
      </c>
      <c r="Q107" s="282"/>
      <c r="R107" s="282"/>
      <c r="S107" s="282"/>
      <c r="T107" s="282"/>
      <c r="U107" s="282"/>
      <c r="V107" s="202">
        <f>SUM(W107:X107)</f>
        <v>2454000000</v>
      </c>
      <c r="W107" s="202"/>
      <c r="X107" s="204">
        <f>SUM(Y107:Z107)</f>
        <v>2454000000</v>
      </c>
      <c r="Y107" s="204">
        <f>+AA107+AC107-AE107</f>
        <v>2268000000</v>
      </c>
      <c r="Z107" s="204">
        <f>+AB107+AD107-AF107</f>
        <v>186000000</v>
      </c>
      <c r="AA107" s="202">
        <v>2268000000</v>
      </c>
      <c r="AB107" s="202">
        <v>186000000</v>
      </c>
      <c r="AC107" s="202"/>
      <c r="AD107" s="202"/>
      <c r="AE107" s="202"/>
      <c r="AF107" s="202"/>
      <c r="AG107" s="343">
        <f>+AK107+AH107</f>
        <v>1855489000</v>
      </c>
      <c r="AH107" s="202">
        <f>SUM(AI107:AJ107)</f>
        <v>0</v>
      </c>
      <c r="AI107" s="202"/>
      <c r="AJ107" s="202"/>
      <c r="AK107" s="202">
        <f t="shared" ref="AK107:AK111" si="110">SUM(AL107:AM107)</f>
        <v>1855489000</v>
      </c>
      <c r="AL107" s="202">
        <v>1804489000</v>
      </c>
      <c r="AM107" s="202">
        <v>51000000</v>
      </c>
      <c r="AN107" s="206">
        <f t="shared" si="72"/>
        <v>63.957545257151253</v>
      </c>
      <c r="AO107" s="207"/>
      <c r="AP107" s="207"/>
      <c r="AT107" s="209"/>
      <c r="AU107" s="209"/>
      <c r="AV107" s="210"/>
      <c r="AW107" s="210"/>
      <c r="AX107" s="211"/>
    </row>
    <row r="108" spans="1:50" s="208" customFormat="1" ht="33" customHeight="1">
      <c r="A108" s="198" t="s">
        <v>195</v>
      </c>
      <c r="B108" s="199" t="s">
        <v>222</v>
      </c>
      <c r="C108" s="200">
        <f t="shared" si="69"/>
        <v>1500000000</v>
      </c>
      <c r="D108" s="201">
        <f t="shared" si="70"/>
        <v>0</v>
      </c>
      <c r="E108" s="201">
        <f t="shared" si="90"/>
        <v>0</v>
      </c>
      <c r="F108" s="201">
        <f t="shared" si="90"/>
        <v>0</v>
      </c>
      <c r="G108" s="202"/>
      <c r="H108" s="202"/>
      <c r="I108" s="202"/>
      <c r="J108" s="202"/>
      <c r="K108" s="202"/>
      <c r="L108" s="202"/>
      <c r="M108" s="202">
        <f t="shared" ref="M108:M109" si="111">SUM(N108:O108)</f>
        <v>0</v>
      </c>
      <c r="N108" s="202">
        <f t="shared" ref="N108:N109" si="112">+P108+R108-T108</f>
        <v>0</v>
      </c>
      <c r="O108" s="202">
        <f t="shared" si="109"/>
        <v>0</v>
      </c>
      <c r="P108" s="202"/>
      <c r="Q108" s="202"/>
      <c r="R108" s="202"/>
      <c r="S108" s="202"/>
      <c r="T108" s="202"/>
      <c r="U108" s="202"/>
      <c r="V108" s="202">
        <f>SUM(W108:X108)</f>
        <v>1500000000</v>
      </c>
      <c r="W108" s="202"/>
      <c r="X108" s="204">
        <f>SUM(Y108:Z108)</f>
        <v>1500000000</v>
      </c>
      <c r="Y108" s="204">
        <f>+AA108+AC108-AE108</f>
        <v>1388000000</v>
      </c>
      <c r="Z108" s="204">
        <f>+AB108+AD108-AF108</f>
        <v>112000000</v>
      </c>
      <c r="AA108" s="202">
        <v>1388000000</v>
      </c>
      <c r="AB108" s="202">
        <v>112000000</v>
      </c>
      <c r="AC108" s="202"/>
      <c r="AD108" s="202"/>
      <c r="AE108" s="202"/>
      <c r="AF108" s="202"/>
      <c r="AG108" s="343">
        <f t="shared" si="104"/>
        <v>491962800</v>
      </c>
      <c r="AH108" s="202">
        <f t="shared" ref="AH108:AH109" si="113">SUM(AI108:AJ108)</f>
        <v>0</v>
      </c>
      <c r="AI108" s="202"/>
      <c r="AJ108" s="202"/>
      <c r="AK108" s="202">
        <f t="shared" si="110"/>
        <v>491962800</v>
      </c>
      <c r="AL108" s="202">
        <v>491962800</v>
      </c>
      <c r="AM108" s="202"/>
      <c r="AN108" s="206">
        <f t="shared" si="72"/>
        <v>32.797520000000006</v>
      </c>
      <c r="AO108" s="207"/>
      <c r="AP108" s="207"/>
      <c r="AT108" s="209"/>
      <c r="AU108" s="209"/>
      <c r="AV108" s="210"/>
      <c r="AW108" s="210"/>
      <c r="AX108" s="211"/>
    </row>
    <row r="109" spans="1:50" s="208" customFormat="1" ht="46.5" customHeight="1">
      <c r="A109" s="198"/>
      <c r="B109" s="199" t="s">
        <v>248</v>
      </c>
      <c r="C109" s="201">
        <f t="shared" si="69"/>
        <v>0</v>
      </c>
      <c r="D109" s="201">
        <f t="shared" si="70"/>
        <v>0</v>
      </c>
      <c r="E109" s="201">
        <f t="shared" si="90"/>
        <v>0</v>
      </c>
      <c r="F109" s="201">
        <f t="shared" si="90"/>
        <v>0</v>
      </c>
      <c r="G109" s="202">
        <v>854604000</v>
      </c>
      <c r="H109" s="202"/>
      <c r="I109" s="202"/>
      <c r="J109" s="202"/>
      <c r="K109" s="202">
        <f>+G109</f>
        <v>854604000</v>
      </c>
      <c r="L109" s="202"/>
      <c r="M109" s="202">
        <f t="shared" si="111"/>
        <v>0</v>
      </c>
      <c r="N109" s="202">
        <f t="shared" si="112"/>
        <v>0</v>
      </c>
      <c r="O109" s="202">
        <f t="shared" si="109"/>
        <v>0</v>
      </c>
      <c r="P109" s="202">
        <v>1484885220</v>
      </c>
      <c r="Q109" s="202">
        <v>108486000</v>
      </c>
      <c r="R109" s="202"/>
      <c r="S109" s="202"/>
      <c r="T109" s="202">
        <v>1484885220</v>
      </c>
      <c r="U109" s="202">
        <v>108486000</v>
      </c>
      <c r="V109" s="202"/>
      <c r="W109" s="202"/>
      <c r="X109" s="204"/>
      <c r="Y109" s="204"/>
      <c r="Z109" s="204"/>
      <c r="AA109" s="202"/>
      <c r="AB109" s="202"/>
      <c r="AC109" s="202"/>
      <c r="AD109" s="202"/>
      <c r="AE109" s="202"/>
      <c r="AF109" s="202"/>
      <c r="AG109" s="340"/>
      <c r="AH109" s="202">
        <f t="shared" si="113"/>
        <v>0</v>
      </c>
      <c r="AI109" s="202"/>
      <c r="AJ109" s="202"/>
      <c r="AK109" s="202">
        <f t="shared" si="110"/>
        <v>0</v>
      </c>
      <c r="AL109" s="202"/>
      <c r="AM109" s="202"/>
      <c r="AN109" s="206" t="e">
        <f t="shared" si="72"/>
        <v>#DIV/0!</v>
      </c>
      <c r="AO109" s="207"/>
      <c r="AP109" s="207"/>
      <c r="AT109" s="209"/>
      <c r="AU109" s="209"/>
      <c r="AV109" s="210"/>
      <c r="AW109" s="210"/>
      <c r="AX109" s="211"/>
    </row>
    <row r="110" spans="1:50" s="208" customFormat="1" ht="63" customHeight="1">
      <c r="A110" s="267">
        <v>4</v>
      </c>
      <c r="B110" s="287" t="s">
        <v>113</v>
      </c>
      <c r="C110" s="201">
        <f t="shared" si="69"/>
        <v>2855000000</v>
      </c>
      <c r="D110" s="201">
        <f t="shared" si="70"/>
        <v>0</v>
      </c>
      <c r="E110" s="201">
        <f t="shared" si="90"/>
        <v>0</v>
      </c>
      <c r="F110" s="201">
        <f t="shared" si="90"/>
        <v>0</v>
      </c>
      <c r="G110" s="285">
        <f t="shared" ref="G110:AM110" si="114">+G111</f>
        <v>0</v>
      </c>
      <c r="H110" s="285">
        <f t="shared" si="114"/>
        <v>0</v>
      </c>
      <c r="I110" s="285">
        <f t="shared" si="114"/>
        <v>0</v>
      </c>
      <c r="J110" s="285">
        <f t="shared" si="114"/>
        <v>0</v>
      </c>
      <c r="K110" s="285">
        <f t="shared" si="114"/>
        <v>0</v>
      </c>
      <c r="L110" s="285">
        <f t="shared" si="114"/>
        <v>0</v>
      </c>
      <c r="M110" s="285">
        <f t="shared" si="114"/>
        <v>0</v>
      </c>
      <c r="N110" s="285">
        <f t="shared" si="114"/>
        <v>0</v>
      </c>
      <c r="O110" s="285">
        <f t="shared" si="114"/>
        <v>0</v>
      </c>
      <c r="P110" s="285">
        <f t="shared" si="114"/>
        <v>3400392297</v>
      </c>
      <c r="Q110" s="285">
        <f t="shared" si="114"/>
        <v>0</v>
      </c>
      <c r="R110" s="285">
        <f t="shared" si="114"/>
        <v>0</v>
      </c>
      <c r="S110" s="285">
        <f t="shared" si="114"/>
        <v>0</v>
      </c>
      <c r="T110" s="285">
        <f t="shared" si="114"/>
        <v>3400392297</v>
      </c>
      <c r="U110" s="285">
        <f t="shared" si="114"/>
        <v>0</v>
      </c>
      <c r="V110" s="285">
        <f t="shared" si="114"/>
        <v>2855000000</v>
      </c>
      <c r="W110" s="285">
        <f t="shared" si="114"/>
        <v>0</v>
      </c>
      <c r="X110" s="285">
        <f t="shared" si="114"/>
        <v>2855000000</v>
      </c>
      <c r="Y110" s="285">
        <f t="shared" si="114"/>
        <v>2855000000</v>
      </c>
      <c r="Z110" s="285">
        <f t="shared" si="114"/>
        <v>0</v>
      </c>
      <c r="AA110" s="285">
        <f t="shared" si="114"/>
        <v>2855000000</v>
      </c>
      <c r="AB110" s="285">
        <f t="shared" si="114"/>
        <v>0</v>
      </c>
      <c r="AC110" s="285">
        <f t="shared" si="114"/>
        <v>0</v>
      </c>
      <c r="AD110" s="285">
        <f t="shared" si="114"/>
        <v>0</v>
      </c>
      <c r="AE110" s="285">
        <f t="shared" si="114"/>
        <v>0</v>
      </c>
      <c r="AF110" s="285">
        <f t="shared" si="114"/>
        <v>0</v>
      </c>
      <c r="AG110" s="375">
        <f t="shared" si="114"/>
        <v>397749930</v>
      </c>
      <c r="AH110" s="285">
        <f t="shared" si="114"/>
        <v>0</v>
      </c>
      <c r="AI110" s="285">
        <f t="shared" si="114"/>
        <v>0</v>
      </c>
      <c r="AJ110" s="285">
        <f t="shared" si="114"/>
        <v>0</v>
      </c>
      <c r="AK110" s="285">
        <f t="shared" si="114"/>
        <v>397749930</v>
      </c>
      <c r="AL110" s="285">
        <f t="shared" si="114"/>
        <v>397749930</v>
      </c>
      <c r="AM110" s="285">
        <f t="shared" si="114"/>
        <v>0</v>
      </c>
      <c r="AN110" s="206">
        <f t="shared" si="72"/>
        <v>13.931696322241683</v>
      </c>
      <c r="AO110" s="207"/>
      <c r="AP110" s="207"/>
      <c r="AT110" s="209"/>
      <c r="AU110" s="209"/>
      <c r="AV110" s="210"/>
      <c r="AW110" s="210"/>
      <c r="AX110" s="211"/>
    </row>
    <row r="111" spans="1:50" s="208" customFormat="1" ht="22.5" customHeight="1">
      <c r="A111" s="198" t="s">
        <v>195</v>
      </c>
      <c r="B111" s="199" t="s">
        <v>223</v>
      </c>
      <c r="C111" s="200">
        <f t="shared" si="69"/>
        <v>2855000000</v>
      </c>
      <c r="D111" s="201">
        <f t="shared" si="70"/>
        <v>0</v>
      </c>
      <c r="E111" s="201">
        <f t="shared" si="90"/>
        <v>0</v>
      </c>
      <c r="F111" s="201">
        <f t="shared" si="90"/>
        <v>0</v>
      </c>
      <c r="G111" s="202"/>
      <c r="H111" s="202"/>
      <c r="I111" s="202"/>
      <c r="J111" s="202"/>
      <c r="K111" s="202"/>
      <c r="L111" s="202"/>
      <c r="M111" s="202">
        <f t="shared" ref="M111" si="115">SUM(N111:O111)</f>
        <v>0</v>
      </c>
      <c r="N111" s="202">
        <f t="shared" ref="N111:O111" si="116">+P111+R111-T111</f>
        <v>0</v>
      </c>
      <c r="O111" s="202">
        <f t="shared" si="116"/>
        <v>0</v>
      </c>
      <c r="P111" s="202">
        <v>3400392297</v>
      </c>
      <c r="Q111" s="202"/>
      <c r="R111" s="202"/>
      <c r="S111" s="202"/>
      <c r="T111" s="202">
        <v>3400392297</v>
      </c>
      <c r="U111" s="202"/>
      <c r="V111" s="202">
        <f>SUM(W111:X111)</f>
        <v>2855000000</v>
      </c>
      <c r="W111" s="203"/>
      <c r="X111" s="204">
        <f>SUM(Y111:Z111)</f>
        <v>2855000000</v>
      </c>
      <c r="Y111" s="204">
        <f>+AA111+AC111-AE111</f>
        <v>2855000000</v>
      </c>
      <c r="Z111" s="204">
        <f>+AB111+AD111-AF111</f>
        <v>0</v>
      </c>
      <c r="AA111" s="202">
        <v>2855000000</v>
      </c>
      <c r="AB111" s="202"/>
      <c r="AC111" s="202"/>
      <c r="AD111" s="202"/>
      <c r="AE111" s="202"/>
      <c r="AF111" s="202"/>
      <c r="AG111" s="343">
        <f t="shared" ref="AG111:AG113" si="117">+AK111+AH111</f>
        <v>397749930</v>
      </c>
      <c r="AH111" s="202">
        <f t="shared" ref="AH111" si="118">SUM(AI111:AJ111)</f>
        <v>0</v>
      </c>
      <c r="AI111" s="202"/>
      <c r="AJ111" s="202"/>
      <c r="AK111" s="202">
        <f t="shared" si="110"/>
        <v>397749930</v>
      </c>
      <c r="AL111" s="202">
        <v>397749930</v>
      </c>
      <c r="AM111" s="202"/>
      <c r="AN111" s="206">
        <f t="shared" si="72"/>
        <v>13.931696322241683</v>
      </c>
      <c r="AO111" s="207"/>
      <c r="AP111" s="207"/>
      <c r="AT111" s="209"/>
      <c r="AU111" s="209"/>
      <c r="AV111" s="210"/>
      <c r="AW111" s="210"/>
      <c r="AX111" s="211"/>
    </row>
    <row r="112" spans="1:50" s="208" customFormat="1" ht="62.25" customHeight="1">
      <c r="A112" s="225" t="s">
        <v>20</v>
      </c>
      <c r="B112" s="226" t="s">
        <v>114</v>
      </c>
      <c r="C112" s="264">
        <f t="shared" si="69"/>
        <v>1533200000</v>
      </c>
      <c r="D112" s="264">
        <f t="shared" si="70"/>
        <v>0</v>
      </c>
      <c r="E112" s="264">
        <f t="shared" si="90"/>
        <v>0</v>
      </c>
      <c r="F112" s="264">
        <f t="shared" si="90"/>
        <v>0</v>
      </c>
      <c r="G112" s="224">
        <f t="shared" ref="G112:AM112" si="119">+G113</f>
        <v>0</v>
      </c>
      <c r="H112" s="224">
        <f t="shared" si="119"/>
        <v>0</v>
      </c>
      <c r="I112" s="224">
        <f t="shared" si="119"/>
        <v>0</v>
      </c>
      <c r="J112" s="224">
        <f t="shared" si="119"/>
        <v>0</v>
      </c>
      <c r="K112" s="224">
        <f t="shared" si="119"/>
        <v>0</v>
      </c>
      <c r="L112" s="224">
        <f t="shared" si="119"/>
        <v>0</v>
      </c>
      <c r="M112" s="224">
        <f t="shared" si="119"/>
        <v>991200000</v>
      </c>
      <c r="N112" s="224">
        <f t="shared" si="119"/>
        <v>991200000</v>
      </c>
      <c r="O112" s="224">
        <f t="shared" si="119"/>
        <v>0</v>
      </c>
      <c r="P112" s="224">
        <f t="shared" si="119"/>
        <v>2200000</v>
      </c>
      <c r="Q112" s="224">
        <f t="shared" si="119"/>
        <v>0</v>
      </c>
      <c r="R112" s="224">
        <f t="shared" si="119"/>
        <v>989000000</v>
      </c>
      <c r="S112" s="224">
        <f t="shared" si="119"/>
        <v>0</v>
      </c>
      <c r="T112" s="224">
        <f t="shared" si="119"/>
        <v>0</v>
      </c>
      <c r="U112" s="224">
        <f t="shared" si="119"/>
        <v>0</v>
      </c>
      <c r="V112" s="224">
        <f t="shared" si="119"/>
        <v>542000000</v>
      </c>
      <c r="W112" s="224">
        <f t="shared" si="119"/>
        <v>0</v>
      </c>
      <c r="X112" s="224">
        <f t="shared" si="119"/>
        <v>542000000</v>
      </c>
      <c r="Y112" s="224">
        <f t="shared" si="119"/>
        <v>516000000</v>
      </c>
      <c r="Z112" s="224">
        <f t="shared" si="119"/>
        <v>26000000</v>
      </c>
      <c r="AA112" s="224">
        <f t="shared" si="119"/>
        <v>516000000</v>
      </c>
      <c r="AB112" s="224">
        <f t="shared" si="119"/>
        <v>26000000</v>
      </c>
      <c r="AC112" s="224">
        <f t="shared" si="119"/>
        <v>0</v>
      </c>
      <c r="AD112" s="224">
        <f t="shared" si="119"/>
        <v>0</v>
      </c>
      <c r="AE112" s="224">
        <f t="shared" si="119"/>
        <v>0</v>
      </c>
      <c r="AF112" s="224">
        <f t="shared" si="119"/>
        <v>0</v>
      </c>
      <c r="AG112" s="376">
        <f t="shared" si="119"/>
        <v>528120000</v>
      </c>
      <c r="AH112" s="224">
        <f t="shared" si="119"/>
        <v>0</v>
      </c>
      <c r="AI112" s="224"/>
      <c r="AJ112" s="224"/>
      <c r="AK112" s="224">
        <f t="shared" si="119"/>
        <v>528120000</v>
      </c>
      <c r="AL112" s="224">
        <f t="shared" si="119"/>
        <v>502120000</v>
      </c>
      <c r="AM112" s="224">
        <f t="shared" si="119"/>
        <v>26000000</v>
      </c>
      <c r="AN112" s="206">
        <f t="shared" si="72"/>
        <v>34.445603965562221</v>
      </c>
      <c r="AO112" s="284"/>
      <c r="AP112" s="284"/>
      <c r="AT112" s="209"/>
      <c r="AU112" s="209"/>
      <c r="AV112" s="210"/>
      <c r="AW112" s="210"/>
      <c r="AX112" s="211"/>
    </row>
    <row r="113" spans="1:50" s="208" customFormat="1" ht="20.25" customHeight="1">
      <c r="A113" s="198">
        <v>1</v>
      </c>
      <c r="B113" s="199" t="s">
        <v>194</v>
      </c>
      <c r="C113" s="200">
        <f t="shared" si="69"/>
        <v>1533200000</v>
      </c>
      <c r="D113" s="201">
        <f t="shared" si="70"/>
        <v>0</v>
      </c>
      <c r="E113" s="201">
        <f t="shared" si="90"/>
        <v>0</v>
      </c>
      <c r="F113" s="201">
        <f t="shared" si="90"/>
        <v>0</v>
      </c>
      <c r="G113" s="202"/>
      <c r="H113" s="202"/>
      <c r="I113" s="202"/>
      <c r="J113" s="202"/>
      <c r="K113" s="202"/>
      <c r="L113" s="202"/>
      <c r="M113" s="202">
        <f t="shared" ref="M113" si="120">SUM(N113:O113)</f>
        <v>991200000</v>
      </c>
      <c r="N113" s="202">
        <f t="shared" ref="N113:O113" si="121">+P113+R113-T113</f>
        <v>991200000</v>
      </c>
      <c r="O113" s="202">
        <f t="shared" si="121"/>
        <v>0</v>
      </c>
      <c r="P113" s="202">
        <v>2200000</v>
      </c>
      <c r="Q113" s="202"/>
      <c r="R113" s="202">
        <f>989000000</f>
        <v>989000000</v>
      </c>
      <c r="S113" s="202"/>
      <c r="T113" s="202"/>
      <c r="U113" s="202"/>
      <c r="V113" s="202">
        <f>SUM(W113:X113)</f>
        <v>542000000</v>
      </c>
      <c r="W113" s="202"/>
      <c r="X113" s="204">
        <f>SUM(Y113:Z113)</f>
        <v>542000000</v>
      </c>
      <c r="Y113" s="204">
        <f>+AA113+AC113-AE113</f>
        <v>516000000</v>
      </c>
      <c r="Z113" s="204">
        <f>+AB113+AD113-AF113</f>
        <v>26000000</v>
      </c>
      <c r="AA113" s="202">
        <v>516000000</v>
      </c>
      <c r="AB113" s="202">
        <v>26000000</v>
      </c>
      <c r="AC113" s="202"/>
      <c r="AD113" s="202"/>
      <c r="AE113" s="202"/>
      <c r="AF113" s="202"/>
      <c r="AG113" s="343">
        <f t="shared" si="117"/>
        <v>528120000</v>
      </c>
      <c r="AH113" s="202"/>
      <c r="AI113" s="202"/>
      <c r="AJ113" s="202"/>
      <c r="AK113" s="202">
        <f>SUM(AL113:AM113)</f>
        <v>528120000</v>
      </c>
      <c r="AL113" s="202">
        <v>502120000</v>
      </c>
      <c r="AM113" s="202">
        <v>26000000</v>
      </c>
      <c r="AN113" s="206">
        <f t="shared" si="72"/>
        <v>34.445603965562221</v>
      </c>
      <c r="AO113" s="207"/>
      <c r="AP113" s="207"/>
      <c r="AT113" s="209"/>
      <c r="AU113" s="209"/>
      <c r="AV113" s="210"/>
      <c r="AW113" s="210"/>
      <c r="AX113" s="211"/>
    </row>
    <row r="114" spans="1:50" s="208" customFormat="1" ht="75.75" customHeight="1">
      <c r="A114" s="225" t="s">
        <v>22</v>
      </c>
      <c r="B114" s="226" t="s">
        <v>25</v>
      </c>
      <c r="C114" s="264">
        <f t="shared" si="69"/>
        <v>0</v>
      </c>
      <c r="D114" s="264">
        <f t="shared" si="70"/>
        <v>0</v>
      </c>
      <c r="E114" s="264">
        <f t="shared" si="90"/>
        <v>0</v>
      </c>
      <c r="F114" s="264">
        <f t="shared" si="90"/>
        <v>0</v>
      </c>
      <c r="G114" s="288">
        <f t="shared" ref="G114:AF114" si="122">+G115</f>
        <v>339500</v>
      </c>
      <c r="H114" s="288">
        <f t="shared" si="122"/>
        <v>0</v>
      </c>
      <c r="I114" s="288">
        <f t="shared" si="122"/>
        <v>0</v>
      </c>
      <c r="J114" s="288">
        <f t="shared" si="122"/>
        <v>0</v>
      </c>
      <c r="K114" s="288">
        <f t="shared" si="122"/>
        <v>339500</v>
      </c>
      <c r="L114" s="288">
        <f t="shared" si="122"/>
        <v>0</v>
      </c>
      <c r="M114" s="288">
        <f t="shared" si="122"/>
        <v>0</v>
      </c>
      <c r="N114" s="288">
        <f t="shared" si="122"/>
        <v>0</v>
      </c>
      <c r="O114" s="288">
        <f t="shared" si="122"/>
        <v>0</v>
      </c>
      <c r="P114" s="288">
        <f t="shared" si="122"/>
        <v>0</v>
      </c>
      <c r="Q114" s="288">
        <f t="shared" si="122"/>
        <v>0</v>
      </c>
      <c r="R114" s="288">
        <f t="shared" si="122"/>
        <v>0</v>
      </c>
      <c r="S114" s="288">
        <f t="shared" si="122"/>
        <v>0</v>
      </c>
      <c r="T114" s="288">
        <f t="shared" si="122"/>
        <v>0</v>
      </c>
      <c r="U114" s="288">
        <f t="shared" si="122"/>
        <v>0</v>
      </c>
      <c r="V114" s="288">
        <f t="shared" si="122"/>
        <v>0</v>
      </c>
      <c r="W114" s="288">
        <f t="shared" si="122"/>
        <v>0</v>
      </c>
      <c r="X114" s="288">
        <f t="shared" si="122"/>
        <v>0</v>
      </c>
      <c r="Y114" s="288">
        <f t="shared" si="122"/>
        <v>0</v>
      </c>
      <c r="Z114" s="288">
        <f t="shared" si="122"/>
        <v>0</v>
      </c>
      <c r="AA114" s="288">
        <f t="shared" si="122"/>
        <v>0</v>
      </c>
      <c r="AB114" s="288">
        <f t="shared" si="122"/>
        <v>0</v>
      </c>
      <c r="AC114" s="288">
        <f t="shared" si="122"/>
        <v>0</v>
      </c>
      <c r="AD114" s="288">
        <f t="shared" si="122"/>
        <v>0</v>
      </c>
      <c r="AE114" s="288">
        <f t="shared" si="122"/>
        <v>0</v>
      </c>
      <c r="AF114" s="288">
        <f t="shared" si="122"/>
        <v>0</v>
      </c>
      <c r="AG114" s="377">
        <f>+AG115</f>
        <v>0</v>
      </c>
      <c r="AH114" s="288">
        <f>+AH115</f>
        <v>0</v>
      </c>
      <c r="AI114" s="288"/>
      <c r="AJ114" s="288"/>
      <c r="AK114" s="288">
        <f>+AK115</f>
        <v>0</v>
      </c>
      <c r="AL114" s="288"/>
      <c r="AM114" s="288"/>
      <c r="AN114" s="206"/>
      <c r="AO114" s="289">
        <f>+AO115</f>
        <v>0</v>
      </c>
      <c r="AP114" s="284"/>
      <c r="AT114" s="209"/>
      <c r="AU114" s="209"/>
      <c r="AV114" s="210"/>
      <c r="AW114" s="210"/>
      <c r="AX114" s="211"/>
    </row>
    <row r="115" spans="1:50" s="208" customFormat="1">
      <c r="A115" s="198">
        <v>1</v>
      </c>
      <c r="B115" s="199" t="s">
        <v>50</v>
      </c>
      <c r="C115" s="201">
        <f t="shared" si="69"/>
        <v>0</v>
      </c>
      <c r="D115" s="201">
        <f t="shared" si="70"/>
        <v>0</v>
      </c>
      <c r="E115" s="201">
        <f t="shared" si="90"/>
        <v>0</v>
      </c>
      <c r="F115" s="201">
        <f t="shared" si="90"/>
        <v>0</v>
      </c>
      <c r="G115" s="202">
        <v>339500</v>
      </c>
      <c r="H115" s="202"/>
      <c r="I115" s="202"/>
      <c r="J115" s="202"/>
      <c r="K115" s="202">
        <f>+G115</f>
        <v>339500</v>
      </c>
      <c r="L115" s="202"/>
      <c r="M115" s="202"/>
      <c r="N115" s="202"/>
      <c r="O115" s="202"/>
      <c r="P115" s="202"/>
      <c r="Q115" s="202"/>
      <c r="R115" s="202"/>
      <c r="S115" s="202"/>
      <c r="T115" s="202"/>
      <c r="U115" s="202"/>
      <c r="V115" s="202"/>
      <c r="W115" s="202"/>
      <c r="X115" s="202"/>
      <c r="Y115" s="202"/>
      <c r="Z115" s="202"/>
      <c r="AA115" s="202"/>
      <c r="AB115" s="202"/>
      <c r="AC115" s="202"/>
      <c r="AD115" s="202"/>
      <c r="AE115" s="202"/>
      <c r="AF115" s="202"/>
      <c r="AG115" s="340"/>
      <c r="AH115" s="202"/>
      <c r="AI115" s="202"/>
      <c r="AJ115" s="202"/>
      <c r="AK115" s="202"/>
      <c r="AL115" s="202"/>
      <c r="AM115" s="202"/>
      <c r="AN115" s="206"/>
      <c r="AO115" s="207"/>
      <c r="AP115" s="207"/>
      <c r="AT115" s="209"/>
      <c r="AU115" s="209"/>
      <c r="AV115" s="210"/>
      <c r="AW115" s="210"/>
      <c r="AX115" s="211"/>
    </row>
    <row r="116" spans="1:50" s="208" customFormat="1" ht="67.5" customHeight="1">
      <c r="A116" s="225" t="s">
        <v>24</v>
      </c>
      <c r="B116" s="226" t="s">
        <v>115</v>
      </c>
      <c r="C116" s="201">
        <f t="shared" si="69"/>
        <v>4828796602</v>
      </c>
      <c r="D116" s="201">
        <f t="shared" si="70"/>
        <v>0</v>
      </c>
      <c r="E116" s="201">
        <f t="shared" si="90"/>
        <v>0</v>
      </c>
      <c r="F116" s="201">
        <f t="shared" si="90"/>
        <v>0</v>
      </c>
      <c r="G116" s="224">
        <f t="shared" ref="G116:L116" si="123">SUM(G117:G135)</f>
        <v>1302265850</v>
      </c>
      <c r="H116" s="224">
        <f t="shared" si="123"/>
        <v>0</v>
      </c>
      <c r="I116" s="224">
        <f t="shared" si="123"/>
        <v>0</v>
      </c>
      <c r="J116" s="224">
        <f t="shared" si="123"/>
        <v>0</v>
      </c>
      <c r="K116" s="224">
        <f t="shared" si="123"/>
        <v>1302265850</v>
      </c>
      <c r="L116" s="224">
        <f t="shared" si="123"/>
        <v>0</v>
      </c>
      <c r="M116" s="224">
        <f>SUM(M117:M135)</f>
        <v>537496602</v>
      </c>
      <c r="N116" s="224">
        <f t="shared" ref="N116:U116" si="124">SUM(N117:N135)</f>
        <v>521016562</v>
      </c>
      <c r="O116" s="224">
        <f t="shared" si="124"/>
        <v>16480040</v>
      </c>
      <c r="P116" s="224">
        <f t="shared" si="124"/>
        <v>2214249118</v>
      </c>
      <c r="Q116" s="224">
        <f t="shared" si="124"/>
        <v>29404740</v>
      </c>
      <c r="R116" s="224">
        <f t="shared" si="124"/>
        <v>0</v>
      </c>
      <c r="S116" s="224">
        <f t="shared" si="124"/>
        <v>0</v>
      </c>
      <c r="T116" s="224">
        <f t="shared" si="124"/>
        <v>1693232556</v>
      </c>
      <c r="U116" s="224">
        <f t="shared" si="124"/>
        <v>12924700</v>
      </c>
      <c r="V116" s="224">
        <f>SUM(V117:V135)</f>
        <v>4291300000</v>
      </c>
      <c r="W116" s="224">
        <f>SUM(W117:W135)</f>
        <v>0</v>
      </c>
      <c r="X116" s="224">
        <f>SUM(X117:X135)</f>
        <v>4291300000</v>
      </c>
      <c r="Y116" s="224">
        <f t="shared" ref="Y116" si="125">SUM(Y117:Y135)</f>
        <v>4064900000</v>
      </c>
      <c r="Z116" s="224">
        <f>SUM(Z117:Z135)</f>
        <v>226400000</v>
      </c>
      <c r="AA116" s="224">
        <f t="shared" ref="AA116:AM116" si="126">SUM(AA117:AA135)</f>
        <v>4607000000</v>
      </c>
      <c r="AB116" s="224">
        <f t="shared" si="126"/>
        <v>230000000</v>
      </c>
      <c r="AC116" s="224">
        <f t="shared" si="126"/>
        <v>0</v>
      </c>
      <c r="AD116" s="224">
        <f t="shared" si="126"/>
        <v>0</v>
      </c>
      <c r="AE116" s="224">
        <f t="shared" si="126"/>
        <v>542100000</v>
      </c>
      <c r="AF116" s="224">
        <f t="shared" si="126"/>
        <v>3600000</v>
      </c>
      <c r="AG116" s="376">
        <f>SUM(AG117:AG135)</f>
        <v>3040867082</v>
      </c>
      <c r="AH116" s="224">
        <f t="shared" si="126"/>
        <v>217141490</v>
      </c>
      <c r="AI116" s="224">
        <f t="shared" si="126"/>
        <v>209372490</v>
      </c>
      <c r="AJ116" s="224">
        <f t="shared" si="126"/>
        <v>7769000</v>
      </c>
      <c r="AK116" s="224">
        <f t="shared" si="126"/>
        <v>2823725592</v>
      </c>
      <c r="AL116" s="224">
        <f t="shared" si="126"/>
        <v>2641904610</v>
      </c>
      <c r="AM116" s="224">
        <f t="shared" si="126"/>
        <v>181820982</v>
      </c>
      <c r="AN116" s="206">
        <f t="shared" si="72"/>
        <v>62.973600518616337</v>
      </c>
      <c r="AO116" s="227">
        <f>SUM(AO117:AO135)</f>
        <v>0</v>
      </c>
      <c r="AP116" s="227"/>
      <c r="AT116" s="209"/>
      <c r="AU116" s="209"/>
      <c r="AV116" s="210"/>
      <c r="AW116" s="210"/>
      <c r="AX116" s="211"/>
    </row>
    <row r="117" spans="1:50" s="232" customFormat="1" ht="15" customHeight="1">
      <c r="A117" s="228">
        <v>1</v>
      </c>
      <c r="B117" s="229" t="s">
        <v>224</v>
      </c>
      <c r="C117" s="200">
        <f t="shared" si="69"/>
        <v>2004000000</v>
      </c>
      <c r="D117" s="201">
        <f t="shared" si="70"/>
        <v>0</v>
      </c>
      <c r="E117" s="201">
        <f t="shared" si="90"/>
        <v>0</v>
      </c>
      <c r="F117" s="201">
        <f t="shared" si="90"/>
        <v>0</v>
      </c>
      <c r="G117" s="205"/>
      <c r="H117" s="205"/>
      <c r="I117" s="205"/>
      <c r="J117" s="205"/>
      <c r="K117" s="205"/>
      <c r="L117" s="205"/>
      <c r="M117" s="202">
        <f t="shared" ref="M117" si="127">SUM(N117:O117)</f>
        <v>0</v>
      </c>
      <c r="N117" s="202">
        <f t="shared" ref="N117:O132" si="128">+P117+R117-T117</f>
        <v>0</v>
      </c>
      <c r="O117" s="202">
        <f t="shared" si="128"/>
        <v>0</v>
      </c>
      <c r="P117" s="205">
        <v>1403615822</v>
      </c>
      <c r="Q117" s="205"/>
      <c r="R117" s="205"/>
      <c r="S117" s="205"/>
      <c r="T117" s="205">
        <v>1403615822</v>
      </c>
      <c r="U117" s="205"/>
      <c r="V117" s="205">
        <f t="shared" ref="V117:V134" si="129">SUM(W117:X117)</f>
        <v>2004000000</v>
      </c>
      <c r="W117" s="205"/>
      <c r="X117" s="204">
        <f t="shared" ref="X117:X134" si="130">SUM(Y117:Z117)</f>
        <v>2004000000</v>
      </c>
      <c r="Y117" s="204">
        <f>+AA117+AC117-AE117</f>
        <v>1889000000</v>
      </c>
      <c r="Z117" s="204">
        <f>+AB117+AD117-AF117</f>
        <v>115000000</v>
      </c>
      <c r="AA117" s="205">
        <f>2303000000</f>
        <v>2303000000</v>
      </c>
      <c r="AB117" s="205">
        <v>115000000</v>
      </c>
      <c r="AC117" s="205"/>
      <c r="AD117" s="205"/>
      <c r="AE117" s="205">
        <v>414000000</v>
      </c>
      <c r="AF117" s="205"/>
      <c r="AG117" s="343">
        <f>+AK117+AH117</f>
        <v>1074652817</v>
      </c>
      <c r="AH117" s="202">
        <f t="shared" ref="AH117:AH128" si="131">SUM(AI117:AJ117)</f>
        <v>0</v>
      </c>
      <c r="AI117" s="205"/>
      <c r="AJ117" s="205"/>
      <c r="AK117" s="340">
        <f t="shared" ref="AK117:AK135" si="132">SUM(AL117:AM117)</f>
        <v>1074652817</v>
      </c>
      <c r="AL117" s="343">
        <v>992149835</v>
      </c>
      <c r="AM117" s="343">
        <v>82502982</v>
      </c>
      <c r="AN117" s="206">
        <f t="shared" si="72"/>
        <v>53.625390069860281</v>
      </c>
      <c r="AO117" s="230"/>
      <c r="AP117" s="231"/>
      <c r="AT117" s="233"/>
      <c r="AU117" s="233"/>
      <c r="AV117" s="234"/>
      <c r="AW117" s="234"/>
      <c r="AX117" s="235"/>
    </row>
    <row r="118" spans="1:50" s="232" customFormat="1" ht="15" customHeight="1">
      <c r="A118" s="228">
        <v>2</v>
      </c>
      <c r="B118" s="236" t="s">
        <v>213</v>
      </c>
      <c r="C118" s="200">
        <f t="shared" si="69"/>
        <v>196316500</v>
      </c>
      <c r="D118" s="201">
        <f t="shared" si="70"/>
        <v>0</v>
      </c>
      <c r="E118" s="201">
        <f t="shared" si="90"/>
        <v>0</v>
      </c>
      <c r="F118" s="201">
        <f t="shared" si="90"/>
        <v>0</v>
      </c>
      <c r="G118" s="205"/>
      <c r="H118" s="205"/>
      <c r="I118" s="205"/>
      <c r="J118" s="205"/>
      <c r="K118" s="205"/>
      <c r="L118" s="205"/>
      <c r="M118" s="202">
        <f t="shared" ref="M118:M119" si="133">SUM(N118:O118)</f>
        <v>39316500.000000007</v>
      </c>
      <c r="N118" s="202">
        <f t="shared" si="128"/>
        <v>37316500.000000007</v>
      </c>
      <c r="O118" s="202">
        <f t="shared" si="128"/>
        <v>2000000</v>
      </c>
      <c r="P118" s="205">
        <v>37316500.000000007</v>
      </c>
      <c r="Q118" s="205">
        <v>2000000</v>
      </c>
      <c r="R118" s="205"/>
      <c r="S118" s="205"/>
      <c r="T118" s="205"/>
      <c r="U118" s="205"/>
      <c r="V118" s="205">
        <f t="shared" si="129"/>
        <v>157000000</v>
      </c>
      <c r="W118" s="205"/>
      <c r="X118" s="204">
        <f t="shared" si="130"/>
        <v>157000000</v>
      </c>
      <c r="Y118" s="204">
        <f t="shared" ref="Y118:Z135" si="134">+AA118+AC118-AE118</f>
        <v>149000000</v>
      </c>
      <c r="Z118" s="204">
        <f t="shared" si="134"/>
        <v>8000000</v>
      </c>
      <c r="AA118" s="205">
        <v>149000000</v>
      </c>
      <c r="AB118" s="205">
        <v>8000000</v>
      </c>
      <c r="AC118" s="205"/>
      <c r="AD118" s="205"/>
      <c r="AE118" s="205"/>
      <c r="AF118" s="205"/>
      <c r="AG118" s="343">
        <f>+AK118+AH118</f>
        <v>158368522</v>
      </c>
      <c r="AH118" s="205">
        <f t="shared" si="131"/>
        <v>0</v>
      </c>
      <c r="AI118" s="205"/>
      <c r="AJ118" s="205"/>
      <c r="AK118" s="340">
        <f t="shared" si="132"/>
        <v>158368522</v>
      </c>
      <c r="AL118" s="343">
        <v>147343522</v>
      </c>
      <c r="AM118" s="343">
        <v>11025000</v>
      </c>
      <c r="AN118" s="206">
        <f t="shared" si="72"/>
        <v>80.670000738603221</v>
      </c>
      <c r="AO118" s="230"/>
      <c r="AP118" s="230"/>
      <c r="AT118" s="233"/>
      <c r="AU118" s="233"/>
      <c r="AV118" s="234"/>
      <c r="AW118" s="234"/>
      <c r="AX118" s="235"/>
    </row>
    <row r="119" spans="1:50" s="232" customFormat="1" ht="15" customHeight="1">
      <c r="A119" s="228">
        <v>3</v>
      </c>
      <c r="B119" s="236" t="s">
        <v>210</v>
      </c>
      <c r="C119" s="200">
        <f t="shared" si="69"/>
        <v>130000000</v>
      </c>
      <c r="D119" s="201">
        <f t="shared" si="70"/>
        <v>0</v>
      </c>
      <c r="E119" s="201">
        <f t="shared" si="90"/>
        <v>0</v>
      </c>
      <c r="F119" s="201">
        <f t="shared" si="90"/>
        <v>0</v>
      </c>
      <c r="G119" s="205"/>
      <c r="H119" s="205"/>
      <c r="I119" s="205"/>
      <c r="J119" s="205"/>
      <c r="K119" s="205"/>
      <c r="L119" s="205"/>
      <c r="M119" s="202">
        <f t="shared" si="133"/>
        <v>32699999.999999996</v>
      </c>
      <c r="N119" s="202">
        <f t="shared" si="128"/>
        <v>32699999.999999996</v>
      </c>
      <c r="O119" s="202">
        <f t="shared" si="128"/>
        <v>0</v>
      </c>
      <c r="P119" s="205">
        <v>32699999.999999996</v>
      </c>
      <c r="Q119" s="205">
        <v>0</v>
      </c>
      <c r="R119" s="205"/>
      <c r="S119" s="205"/>
      <c r="T119" s="205"/>
      <c r="U119" s="205"/>
      <c r="V119" s="205">
        <f t="shared" si="129"/>
        <v>97300000</v>
      </c>
      <c r="W119" s="205"/>
      <c r="X119" s="204">
        <f t="shared" si="130"/>
        <v>97300000</v>
      </c>
      <c r="Y119" s="204">
        <f t="shared" si="134"/>
        <v>90300000</v>
      </c>
      <c r="Z119" s="204">
        <f t="shared" si="134"/>
        <v>7000000</v>
      </c>
      <c r="AA119" s="205">
        <v>149000000</v>
      </c>
      <c r="AB119" s="205">
        <v>8000000</v>
      </c>
      <c r="AC119" s="205"/>
      <c r="AD119" s="205"/>
      <c r="AE119" s="205">
        <v>58700000</v>
      </c>
      <c r="AF119" s="205">
        <v>1000000</v>
      </c>
      <c r="AG119" s="343">
        <f t="shared" ref="AG119:AG135" si="135">+AK119+AH119</f>
        <v>86621000</v>
      </c>
      <c r="AH119" s="205">
        <f t="shared" si="131"/>
        <v>0</v>
      </c>
      <c r="AI119" s="205"/>
      <c r="AJ119" s="205"/>
      <c r="AK119" s="340">
        <f t="shared" si="132"/>
        <v>86621000</v>
      </c>
      <c r="AL119" s="343">
        <v>78701000</v>
      </c>
      <c r="AM119" s="343">
        <v>7920000</v>
      </c>
      <c r="AN119" s="206">
        <f t="shared" si="72"/>
        <v>66.631538461538469</v>
      </c>
      <c r="AO119" s="230"/>
      <c r="AP119" s="230"/>
      <c r="AT119" s="233"/>
      <c r="AU119" s="233"/>
      <c r="AV119" s="234"/>
      <c r="AW119" s="234"/>
      <c r="AX119" s="235"/>
    </row>
    <row r="120" spans="1:50" s="232" customFormat="1" ht="15" customHeight="1">
      <c r="A120" s="228">
        <v>4</v>
      </c>
      <c r="B120" s="236" t="s">
        <v>205</v>
      </c>
      <c r="C120" s="200">
        <f t="shared" si="69"/>
        <v>47000000</v>
      </c>
      <c r="D120" s="201">
        <f t="shared" si="70"/>
        <v>0</v>
      </c>
      <c r="E120" s="201">
        <f t="shared" si="90"/>
        <v>0</v>
      </c>
      <c r="F120" s="201">
        <f t="shared" si="90"/>
        <v>0</v>
      </c>
      <c r="G120" s="205"/>
      <c r="H120" s="205"/>
      <c r="I120" s="205"/>
      <c r="J120" s="205"/>
      <c r="K120" s="205"/>
      <c r="L120" s="205"/>
      <c r="M120" s="202">
        <f t="shared" ref="M120:M135" si="136">SUM(N120:O120)</f>
        <v>16000000</v>
      </c>
      <c r="N120" s="202">
        <f t="shared" si="128"/>
        <v>16000000</v>
      </c>
      <c r="O120" s="202">
        <f t="shared" si="128"/>
        <v>0</v>
      </c>
      <c r="P120" s="205">
        <v>16000000</v>
      </c>
      <c r="Q120" s="205">
        <v>0</v>
      </c>
      <c r="R120" s="205"/>
      <c r="S120" s="205"/>
      <c r="T120" s="205"/>
      <c r="U120" s="205"/>
      <c r="V120" s="205">
        <f t="shared" si="129"/>
        <v>31000000</v>
      </c>
      <c r="W120" s="205"/>
      <c r="X120" s="204">
        <f t="shared" si="130"/>
        <v>31000000</v>
      </c>
      <c r="Y120" s="204">
        <f t="shared" si="134"/>
        <v>30000000</v>
      </c>
      <c r="Z120" s="204">
        <f t="shared" si="134"/>
        <v>1000000</v>
      </c>
      <c r="AA120" s="205">
        <v>30000000</v>
      </c>
      <c r="AB120" s="205">
        <v>1000000</v>
      </c>
      <c r="AC120" s="205"/>
      <c r="AD120" s="205"/>
      <c r="AE120" s="205"/>
      <c r="AF120" s="205"/>
      <c r="AG120" s="343">
        <f t="shared" si="135"/>
        <v>0</v>
      </c>
      <c r="AH120" s="205">
        <f t="shared" si="131"/>
        <v>0</v>
      </c>
      <c r="AI120" s="205"/>
      <c r="AJ120" s="205"/>
      <c r="AK120" s="202">
        <f t="shared" si="132"/>
        <v>0</v>
      </c>
      <c r="AL120" s="205"/>
      <c r="AM120" s="205"/>
      <c r="AN120" s="206">
        <f t="shared" si="72"/>
        <v>0</v>
      </c>
      <c r="AO120" s="230"/>
      <c r="AP120" s="230"/>
      <c r="AT120" s="233"/>
      <c r="AU120" s="233"/>
      <c r="AV120" s="234"/>
      <c r="AW120" s="234"/>
      <c r="AX120" s="235"/>
    </row>
    <row r="121" spans="1:50" s="232" customFormat="1" ht="15" customHeight="1">
      <c r="A121" s="228">
        <v>5</v>
      </c>
      <c r="B121" s="236" t="s">
        <v>214</v>
      </c>
      <c r="C121" s="200">
        <f t="shared" si="69"/>
        <v>177000000</v>
      </c>
      <c r="D121" s="201">
        <f t="shared" si="70"/>
        <v>0</v>
      </c>
      <c r="E121" s="201">
        <f t="shared" si="90"/>
        <v>0</v>
      </c>
      <c r="F121" s="201">
        <f t="shared" si="90"/>
        <v>0</v>
      </c>
      <c r="G121" s="205"/>
      <c r="H121" s="205"/>
      <c r="I121" s="205"/>
      <c r="J121" s="205"/>
      <c r="K121" s="205"/>
      <c r="L121" s="205"/>
      <c r="M121" s="202">
        <f t="shared" si="136"/>
        <v>20000000.000000015</v>
      </c>
      <c r="N121" s="202">
        <f t="shared" si="128"/>
        <v>20000000.000000015</v>
      </c>
      <c r="O121" s="202">
        <f t="shared" si="128"/>
        <v>0</v>
      </c>
      <c r="P121" s="205">
        <v>72221640.000000015</v>
      </c>
      <c r="Q121" s="205">
        <v>3400000.0000000005</v>
      </c>
      <c r="R121" s="205"/>
      <c r="S121" s="205"/>
      <c r="T121" s="205">
        <v>52221640</v>
      </c>
      <c r="U121" s="205">
        <v>3400000</v>
      </c>
      <c r="V121" s="205">
        <f t="shared" si="129"/>
        <v>157000000</v>
      </c>
      <c r="W121" s="205"/>
      <c r="X121" s="204">
        <f t="shared" si="130"/>
        <v>157000000</v>
      </c>
      <c r="Y121" s="204">
        <f t="shared" si="134"/>
        <v>149000000</v>
      </c>
      <c r="Z121" s="204">
        <f t="shared" si="134"/>
        <v>8000000</v>
      </c>
      <c r="AA121" s="205">
        <v>149000000</v>
      </c>
      <c r="AB121" s="205">
        <v>8000000</v>
      </c>
      <c r="AC121" s="205"/>
      <c r="AD121" s="205"/>
      <c r="AE121" s="205"/>
      <c r="AF121" s="205"/>
      <c r="AG121" s="343">
        <f t="shared" si="135"/>
        <v>172932000</v>
      </c>
      <c r="AH121" s="205">
        <f t="shared" si="131"/>
        <v>0</v>
      </c>
      <c r="AI121" s="205"/>
      <c r="AJ121" s="205"/>
      <c r="AK121" s="340">
        <f t="shared" si="132"/>
        <v>172932000</v>
      </c>
      <c r="AL121" s="343">
        <v>167582000</v>
      </c>
      <c r="AM121" s="343">
        <v>5350000</v>
      </c>
      <c r="AN121" s="206">
        <f t="shared" si="72"/>
        <v>97.701694915254237</v>
      </c>
      <c r="AO121" s="230"/>
      <c r="AP121" s="230"/>
      <c r="AT121" s="233"/>
      <c r="AU121" s="233"/>
      <c r="AV121" s="234"/>
      <c r="AW121" s="234"/>
      <c r="AX121" s="235"/>
    </row>
    <row r="122" spans="1:50" s="232" customFormat="1" ht="15" customHeight="1">
      <c r="A122" s="228">
        <v>6</v>
      </c>
      <c r="B122" s="236" t="s">
        <v>206</v>
      </c>
      <c r="C122" s="200">
        <f t="shared" si="69"/>
        <v>157000000</v>
      </c>
      <c r="D122" s="201">
        <f t="shared" si="70"/>
        <v>0</v>
      </c>
      <c r="E122" s="201">
        <f t="shared" si="90"/>
        <v>0</v>
      </c>
      <c r="F122" s="201">
        <f t="shared" si="90"/>
        <v>0</v>
      </c>
      <c r="G122" s="205"/>
      <c r="H122" s="205"/>
      <c r="I122" s="205"/>
      <c r="J122" s="205"/>
      <c r="K122" s="205"/>
      <c r="L122" s="205"/>
      <c r="M122" s="202">
        <f t="shared" si="136"/>
        <v>0</v>
      </c>
      <c r="N122" s="202">
        <f t="shared" si="128"/>
        <v>0</v>
      </c>
      <c r="O122" s="202">
        <f t="shared" si="128"/>
        <v>0</v>
      </c>
      <c r="P122" s="205">
        <v>75670000</v>
      </c>
      <c r="Q122" s="205">
        <v>3900000.0000000005</v>
      </c>
      <c r="R122" s="205"/>
      <c r="S122" s="205"/>
      <c r="T122" s="205">
        <v>75670000</v>
      </c>
      <c r="U122" s="205">
        <v>3900000.0000000005</v>
      </c>
      <c r="V122" s="205">
        <f t="shared" si="129"/>
        <v>157000000</v>
      </c>
      <c r="W122" s="205"/>
      <c r="X122" s="204">
        <f t="shared" si="130"/>
        <v>157000000</v>
      </c>
      <c r="Y122" s="204">
        <f t="shared" si="134"/>
        <v>150000000</v>
      </c>
      <c r="Z122" s="204">
        <f t="shared" si="134"/>
        <v>7000000</v>
      </c>
      <c r="AA122" s="205">
        <v>150000000</v>
      </c>
      <c r="AB122" s="205">
        <v>7000000</v>
      </c>
      <c r="AC122" s="205"/>
      <c r="AD122" s="205"/>
      <c r="AE122" s="205"/>
      <c r="AF122" s="205"/>
      <c r="AG122" s="343">
        <f t="shared" si="135"/>
        <v>136745590</v>
      </c>
      <c r="AH122" s="205">
        <f t="shared" si="131"/>
        <v>0</v>
      </c>
      <c r="AI122" s="205"/>
      <c r="AJ122" s="205"/>
      <c r="AK122" s="340">
        <f t="shared" si="132"/>
        <v>136745590</v>
      </c>
      <c r="AL122" s="343">
        <v>129745590</v>
      </c>
      <c r="AM122" s="343">
        <v>7000000</v>
      </c>
      <c r="AN122" s="206">
        <f t="shared" si="72"/>
        <v>87.099101910828026</v>
      </c>
      <c r="AO122" s="230"/>
      <c r="AP122" s="230"/>
      <c r="AT122" s="233"/>
      <c r="AU122" s="233"/>
      <c r="AV122" s="234"/>
      <c r="AW122" s="234"/>
      <c r="AX122" s="235"/>
    </row>
    <row r="123" spans="1:50" s="232" customFormat="1" ht="15" customHeight="1">
      <c r="A123" s="228">
        <v>7</v>
      </c>
      <c r="B123" s="236" t="s">
        <v>199</v>
      </c>
      <c r="C123" s="200">
        <f t="shared" si="69"/>
        <v>169000000</v>
      </c>
      <c r="D123" s="201">
        <f t="shared" si="70"/>
        <v>0</v>
      </c>
      <c r="E123" s="201">
        <f t="shared" si="90"/>
        <v>0</v>
      </c>
      <c r="F123" s="201">
        <f t="shared" si="90"/>
        <v>0</v>
      </c>
      <c r="G123" s="205"/>
      <c r="H123" s="205"/>
      <c r="I123" s="205"/>
      <c r="J123" s="205"/>
      <c r="K123" s="205"/>
      <c r="L123" s="205"/>
      <c r="M123" s="202">
        <f t="shared" si="136"/>
        <v>12000000</v>
      </c>
      <c r="N123" s="202">
        <f t="shared" si="128"/>
        <v>12000000</v>
      </c>
      <c r="O123" s="202">
        <f t="shared" si="128"/>
        <v>0</v>
      </c>
      <c r="P123" s="205">
        <v>48760284</v>
      </c>
      <c r="Q123" s="205">
        <v>0</v>
      </c>
      <c r="R123" s="205"/>
      <c r="S123" s="205"/>
      <c r="T123" s="205">
        <v>36760284</v>
      </c>
      <c r="U123" s="205"/>
      <c r="V123" s="205">
        <f t="shared" si="129"/>
        <v>157000000</v>
      </c>
      <c r="W123" s="205"/>
      <c r="X123" s="204">
        <f t="shared" si="130"/>
        <v>157000000</v>
      </c>
      <c r="Y123" s="204">
        <f t="shared" si="134"/>
        <v>150000000</v>
      </c>
      <c r="Z123" s="204">
        <f t="shared" si="134"/>
        <v>7000000</v>
      </c>
      <c r="AA123" s="205">
        <v>150000000</v>
      </c>
      <c r="AB123" s="205">
        <v>7000000</v>
      </c>
      <c r="AC123" s="205"/>
      <c r="AD123" s="205"/>
      <c r="AE123" s="205"/>
      <c r="AF123" s="205"/>
      <c r="AG123" s="343">
        <f t="shared" si="135"/>
        <v>164546354</v>
      </c>
      <c r="AH123" s="205">
        <f t="shared" si="131"/>
        <v>0</v>
      </c>
      <c r="AI123" s="205"/>
      <c r="AJ123" s="205"/>
      <c r="AK123" s="340">
        <f t="shared" si="132"/>
        <v>164546354</v>
      </c>
      <c r="AL123" s="343">
        <v>157653354</v>
      </c>
      <c r="AM123" s="343">
        <v>6893000</v>
      </c>
      <c r="AN123" s="206">
        <f t="shared" si="72"/>
        <v>97.364706508875742</v>
      </c>
      <c r="AO123" s="230"/>
      <c r="AP123" s="230"/>
      <c r="AT123" s="233"/>
      <c r="AU123" s="233"/>
      <c r="AV123" s="234"/>
      <c r="AW123" s="234"/>
      <c r="AX123" s="235"/>
    </row>
    <row r="124" spans="1:50" s="232" customFormat="1" ht="15" customHeight="1">
      <c r="A124" s="228">
        <v>8</v>
      </c>
      <c r="B124" s="236" t="s">
        <v>207</v>
      </c>
      <c r="C124" s="200">
        <f t="shared" si="69"/>
        <v>157000000</v>
      </c>
      <c r="D124" s="201">
        <f t="shared" si="70"/>
        <v>0</v>
      </c>
      <c r="E124" s="201">
        <f t="shared" si="90"/>
        <v>0</v>
      </c>
      <c r="F124" s="201">
        <f t="shared" si="90"/>
        <v>0</v>
      </c>
      <c r="G124" s="205"/>
      <c r="H124" s="205"/>
      <c r="I124" s="205"/>
      <c r="J124" s="205"/>
      <c r="K124" s="205"/>
      <c r="L124" s="205"/>
      <c r="M124" s="202">
        <f t="shared" si="136"/>
        <v>0</v>
      </c>
      <c r="N124" s="202">
        <f t="shared" si="128"/>
        <v>0</v>
      </c>
      <c r="O124" s="202">
        <f t="shared" si="128"/>
        <v>0</v>
      </c>
      <c r="P124" s="205">
        <v>10081830.000000024</v>
      </c>
      <c r="Q124" s="205">
        <v>0</v>
      </c>
      <c r="R124" s="205"/>
      <c r="S124" s="205"/>
      <c r="T124" s="205">
        <v>10081830.000000024</v>
      </c>
      <c r="U124" s="205"/>
      <c r="V124" s="205">
        <f t="shared" si="129"/>
        <v>157000000</v>
      </c>
      <c r="W124" s="205"/>
      <c r="X124" s="204">
        <f t="shared" si="130"/>
        <v>157000000</v>
      </c>
      <c r="Y124" s="204">
        <f t="shared" si="134"/>
        <v>150000000</v>
      </c>
      <c r="Z124" s="204">
        <f t="shared" si="134"/>
        <v>7000000</v>
      </c>
      <c r="AA124" s="205">
        <v>150000000</v>
      </c>
      <c r="AB124" s="205">
        <v>7000000</v>
      </c>
      <c r="AC124" s="205"/>
      <c r="AD124" s="205"/>
      <c r="AE124" s="205"/>
      <c r="AF124" s="205"/>
      <c r="AG124" s="343">
        <f t="shared" si="135"/>
        <v>22490242</v>
      </c>
      <c r="AH124" s="205">
        <f t="shared" si="131"/>
        <v>0</v>
      </c>
      <c r="AI124" s="205"/>
      <c r="AJ124" s="205"/>
      <c r="AK124" s="340">
        <f t="shared" si="132"/>
        <v>22490242</v>
      </c>
      <c r="AL124" s="343">
        <v>15490242</v>
      </c>
      <c r="AM124" s="343">
        <v>7000000</v>
      </c>
      <c r="AN124" s="206">
        <f t="shared" si="72"/>
        <v>14.324994904458599</v>
      </c>
      <c r="AO124" s="230"/>
      <c r="AP124" s="230"/>
      <c r="AT124" s="233"/>
      <c r="AU124" s="233"/>
      <c r="AV124" s="234"/>
      <c r="AW124" s="234"/>
      <c r="AX124" s="235"/>
    </row>
    <row r="125" spans="1:50" s="232" customFormat="1" ht="15" customHeight="1">
      <c r="A125" s="228">
        <v>9</v>
      </c>
      <c r="B125" s="236" t="s">
        <v>200</v>
      </c>
      <c r="C125" s="200">
        <f t="shared" si="69"/>
        <v>157447572</v>
      </c>
      <c r="D125" s="201">
        <f t="shared" si="70"/>
        <v>0</v>
      </c>
      <c r="E125" s="201">
        <f t="shared" si="90"/>
        <v>0</v>
      </c>
      <c r="F125" s="201">
        <f t="shared" si="90"/>
        <v>0</v>
      </c>
      <c r="G125" s="205"/>
      <c r="H125" s="205"/>
      <c r="I125" s="205"/>
      <c r="J125" s="205"/>
      <c r="K125" s="205"/>
      <c r="L125" s="205"/>
      <c r="M125" s="202">
        <f t="shared" si="136"/>
        <v>447572.00000000809</v>
      </c>
      <c r="N125" s="202">
        <f t="shared" si="128"/>
        <v>447572.00000000809</v>
      </c>
      <c r="O125" s="202">
        <f t="shared" si="128"/>
        <v>0</v>
      </c>
      <c r="P125" s="205">
        <v>447572.00000000809</v>
      </c>
      <c r="Q125" s="205">
        <v>0</v>
      </c>
      <c r="R125" s="205"/>
      <c r="S125" s="205"/>
      <c r="T125" s="205"/>
      <c r="U125" s="205"/>
      <c r="V125" s="205">
        <f t="shared" si="129"/>
        <v>157000000</v>
      </c>
      <c r="W125" s="205"/>
      <c r="X125" s="204">
        <f t="shared" si="130"/>
        <v>157000000</v>
      </c>
      <c r="Y125" s="204">
        <f t="shared" si="134"/>
        <v>150000000</v>
      </c>
      <c r="Z125" s="204">
        <f t="shared" si="134"/>
        <v>7000000</v>
      </c>
      <c r="AA125" s="205">
        <v>150000000</v>
      </c>
      <c r="AB125" s="205">
        <v>7000000</v>
      </c>
      <c r="AC125" s="205"/>
      <c r="AD125" s="205"/>
      <c r="AE125" s="205"/>
      <c r="AF125" s="205"/>
      <c r="AG125" s="343">
        <f t="shared" si="135"/>
        <v>143243550</v>
      </c>
      <c r="AH125" s="205">
        <f t="shared" si="131"/>
        <v>0</v>
      </c>
      <c r="AI125" s="205"/>
      <c r="AJ125" s="205"/>
      <c r="AK125" s="340">
        <f t="shared" si="132"/>
        <v>143243550</v>
      </c>
      <c r="AL125" s="343">
        <v>140343550</v>
      </c>
      <c r="AM125" s="343">
        <v>2900000</v>
      </c>
      <c r="AN125" s="206">
        <f t="shared" si="72"/>
        <v>90.978570314186868</v>
      </c>
      <c r="AO125" s="230"/>
      <c r="AP125" s="230"/>
      <c r="AT125" s="233"/>
      <c r="AU125" s="233"/>
      <c r="AV125" s="234"/>
      <c r="AW125" s="234"/>
      <c r="AX125" s="235"/>
    </row>
    <row r="126" spans="1:50" s="350" customFormat="1" ht="15" customHeight="1">
      <c r="A126" s="344">
        <v>10</v>
      </c>
      <c r="B126" s="345" t="s">
        <v>201</v>
      </c>
      <c r="C126" s="346">
        <f t="shared" si="69"/>
        <v>224805270</v>
      </c>
      <c r="D126" s="347">
        <f t="shared" si="70"/>
        <v>0</v>
      </c>
      <c r="E126" s="347">
        <f t="shared" si="90"/>
        <v>0</v>
      </c>
      <c r="F126" s="347">
        <f t="shared" si="90"/>
        <v>0</v>
      </c>
      <c r="G126" s="343"/>
      <c r="H126" s="343"/>
      <c r="I126" s="343"/>
      <c r="J126" s="343"/>
      <c r="K126" s="343"/>
      <c r="L126" s="343"/>
      <c r="M126" s="340">
        <f t="shared" si="136"/>
        <v>67805270</v>
      </c>
      <c r="N126" s="340">
        <f t="shared" si="128"/>
        <v>64344269.999999993</v>
      </c>
      <c r="O126" s="340">
        <f t="shared" si="128"/>
        <v>3461000.0000000005</v>
      </c>
      <c r="P126" s="343">
        <v>64344269.999999993</v>
      </c>
      <c r="Q126" s="343">
        <v>3461000.0000000005</v>
      </c>
      <c r="R126" s="343"/>
      <c r="S126" s="343"/>
      <c r="T126" s="343"/>
      <c r="U126" s="343"/>
      <c r="V126" s="343">
        <f t="shared" si="129"/>
        <v>157000000</v>
      </c>
      <c r="W126" s="343"/>
      <c r="X126" s="342">
        <f t="shared" si="130"/>
        <v>157000000</v>
      </c>
      <c r="Y126" s="342">
        <f t="shared" si="134"/>
        <v>150000000</v>
      </c>
      <c r="Z126" s="342">
        <f t="shared" si="134"/>
        <v>7000000</v>
      </c>
      <c r="AA126" s="343">
        <v>150000000</v>
      </c>
      <c r="AB126" s="343">
        <v>7000000</v>
      </c>
      <c r="AC126" s="343"/>
      <c r="AD126" s="343"/>
      <c r="AE126" s="343"/>
      <c r="AF126" s="343"/>
      <c r="AG126" s="343">
        <f t="shared" si="135"/>
        <v>93707600</v>
      </c>
      <c r="AH126" s="343">
        <f t="shared" si="131"/>
        <v>64841269.999999993</v>
      </c>
      <c r="AI126" s="343">
        <f>+N126</f>
        <v>64344269.999999993</v>
      </c>
      <c r="AJ126" s="343">
        <v>497000</v>
      </c>
      <c r="AK126" s="340">
        <f t="shared" si="132"/>
        <v>28866330.000000007</v>
      </c>
      <c r="AL126" s="343">
        <f>93210600-AI126</f>
        <v>28866330.000000007</v>
      </c>
      <c r="AM126" s="343"/>
      <c r="AN126" s="348">
        <f t="shared" si="72"/>
        <v>41.683898246691456</v>
      </c>
      <c r="AO126" s="349"/>
      <c r="AP126" s="349"/>
      <c r="AT126" s="351"/>
      <c r="AU126" s="351"/>
      <c r="AV126" s="352"/>
      <c r="AW126" s="352"/>
      <c r="AX126" s="353"/>
    </row>
    <row r="127" spans="1:50" s="350" customFormat="1" ht="15" customHeight="1">
      <c r="A127" s="344">
        <v>11</v>
      </c>
      <c r="B127" s="345" t="s">
        <v>216</v>
      </c>
      <c r="C127" s="346">
        <f t="shared" si="69"/>
        <v>201759999.99999997</v>
      </c>
      <c r="D127" s="347">
        <f t="shared" si="70"/>
        <v>0</v>
      </c>
      <c r="E127" s="347">
        <f t="shared" si="90"/>
        <v>0</v>
      </c>
      <c r="F127" s="347">
        <f t="shared" si="90"/>
        <v>0</v>
      </c>
      <c r="G127" s="343"/>
      <c r="H127" s="343"/>
      <c r="I127" s="343"/>
      <c r="J127" s="343"/>
      <c r="K127" s="343"/>
      <c r="L127" s="343"/>
      <c r="M127" s="340">
        <f t="shared" si="136"/>
        <v>44759999.99999997</v>
      </c>
      <c r="N127" s="340">
        <f t="shared" si="128"/>
        <v>42521999.99999997</v>
      </c>
      <c r="O127" s="340">
        <f t="shared" si="128"/>
        <v>2238000</v>
      </c>
      <c r="P127" s="343">
        <v>139640879.99999997</v>
      </c>
      <c r="Q127" s="343">
        <v>7162700</v>
      </c>
      <c r="R127" s="343"/>
      <c r="S127" s="343"/>
      <c r="T127" s="343">
        <v>97118880</v>
      </c>
      <c r="U127" s="343">
        <v>4924700</v>
      </c>
      <c r="V127" s="343">
        <f t="shared" si="129"/>
        <v>157000000</v>
      </c>
      <c r="W127" s="343"/>
      <c r="X127" s="342">
        <f t="shared" si="130"/>
        <v>157000000</v>
      </c>
      <c r="Y127" s="342">
        <f t="shared" si="134"/>
        <v>150000000</v>
      </c>
      <c r="Z127" s="342">
        <f t="shared" si="134"/>
        <v>7000000</v>
      </c>
      <c r="AA127" s="343">
        <v>150000000</v>
      </c>
      <c r="AB127" s="343">
        <v>7000000</v>
      </c>
      <c r="AC127" s="343"/>
      <c r="AD127" s="343"/>
      <c r="AE127" s="343"/>
      <c r="AF127" s="343"/>
      <c r="AG127" s="343">
        <f t="shared" si="135"/>
        <v>132685957</v>
      </c>
      <c r="AH127" s="343">
        <f t="shared" si="131"/>
        <v>0</v>
      </c>
      <c r="AI127" s="343"/>
      <c r="AJ127" s="343"/>
      <c r="AK127" s="340">
        <f t="shared" si="132"/>
        <v>132685957</v>
      </c>
      <c r="AL127" s="343">
        <v>125685957</v>
      </c>
      <c r="AM127" s="343">
        <v>7000000</v>
      </c>
      <c r="AN127" s="348">
        <f t="shared" si="72"/>
        <v>65.764253072957985</v>
      </c>
      <c r="AO127" s="349"/>
      <c r="AP127" s="349"/>
      <c r="AT127" s="351"/>
      <c r="AU127" s="351"/>
      <c r="AV127" s="352"/>
      <c r="AW127" s="352"/>
      <c r="AX127" s="353"/>
    </row>
    <row r="128" spans="1:50" s="232" customFormat="1" ht="15" customHeight="1">
      <c r="A128" s="228">
        <v>12</v>
      </c>
      <c r="B128" s="236" t="s">
        <v>203</v>
      </c>
      <c r="C128" s="200">
        <f t="shared" si="69"/>
        <v>274759040</v>
      </c>
      <c r="D128" s="201">
        <f t="shared" si="70"/>
        <v>0</v>
      </c>
      <c r="E128" s="201">
        <f t="shared" si="90"/>
        <v>0</v>
      </c>
      <c r="F128" s="201">
        <f t="shared" si="90"/>
        <v>0</v>
      </c>
      <c r="G128" s="205"/>
      <c r="H128" s="205"/>
      <c r="I128" s="205"/>
      <c r="J128" s="205"/>
      <c r="K128" s="205"/>
      <c r="L128" s="205"/>
      <c r="M128" s="202">
        <f t="shared" si="136"/>
        <v>117759040.00000001</v>
      </c>
      <c r="N128" s="202">
        <f t="shared" si="128"/>
        <v>117270000.00000001</v>
      </c>
      <c r="O128" s="202">
        <f t="shared" si="128"/>
        <v>489039.99999999924</v>
      </c>
      <c r="P128" s="205">
        <v>117270000.00000001</v>
      </c>
      <c r="Q128" s="205">
        <v>489039.99999999924</v>
      </c>
      <c r="R128" s="205"/>
      <c r="S128" s="205"/>
      <c r="T128" s="205"/>
      <c r="U128" s="205"/>
      <c r="V128" s="205">
        <f t="shared" si="129"/>
        <v>157000000</v>
      </c>
      <c r="W128" s="205"/>
      <c r="X128" s="204">
        <f t="shared" si="130"/>
        <v>157000000</v>
      </c>
      <c r="Y128" s="204">
        <f t="shared" si="134"/>
        <v>150000000</v>
      </c>
      <c r="Z128" s="204">
        <f t="shared" si="134"/>
        <v>7000000</v>
      </c>
      <c r="AA128" s="205">
        <v>150000000</v>
      </c>
      <c r="AB128" s="205">
        <v>7000000</v>
      </c>
      <c r="AC128" s="205"/>
      <c r="AD128" s="205"/>
      <c r="AE128" s="205"/>
      <c r="AF128" s="205"/>
      <c r="AG128" s="343">
        <f t="shared" si="135"/>
        <v>144235000</v>
      </c>
      <c r="AH128" s="205">
        <f t="shared" si="131"/>
        <v>0</v>
      </c>
      <c r="AI128" s="205"/>
      <c r="AJ128" s="205"/>
      <c r="AK128" s="340">
        <f t="shared" si="132"/>
        <v>144235000</v>
      </c>
      <c r="AL128" s="343">
        <v>138405000</v>
      </c>
      <c r="AM128" s="343">
        <v>5830000</v>
      </c>
      <c r="AN128" s="348">
        <f t="shared" si="72"/>
        <v>52.495088059704962</v>
      </c>
      <c r="AO128" s="230"/>
      <c r="AP128" s="230"/>
      <c r="AT128" s="233"/>
      <c r="AU128" s="233"/>
      <c r="AV128" s="234"/>
      <c r="AW128" s="234"/>
      <c r="AX128" s="235"/>
    </row>
    <row r="129" spans="1:50" s="350" customFormat="1" ht="15" customHeight="1">
      <c r="A129" s="344">
        <v>13</v>
      </c>
      <c r="B129" s="345" t="s">
        <v>208</v>
      </c>
      <c r="C129" s="346">
        <f t="shared" si="69"/>
        <v>240115820</v>
      </c>
      <c r="D129" s="347">
        <f t="shared" si="70"/>
        <v>0</v>
      </c>
      <c r="E129" s="347">
        <f t="shared" si="90"/>
        <v>0</v>
      </c>
      <c r="F129" s="347">
        <f t="shared" si="90"/>
        <v>0</v>
      </c>
      <c r="G129" s="343"/>
      <c r="H129" s="343"/>
      <c r="I129" s="343"/>
      <c r="J129" s="343"/>
      <c r="K129" s="343"/>
      <c r="L129" s="343"/>
      <c r="M129" s="340">
        <f t="shared" si="136"/>
        <v>83115820.000000015</v>
      </c>
      <c r="N129" s="340">
        <f t="shared" si="128"/>
        <v>76115820.000000015</v>
      </c>
      <c r="O129" s="340">
        <f t="shared" si="128"/>
        <v>7000000</v>
      </c>
      <c r="P129" s="343">
        <v>76115820.000000015</v>
      </c>
      <c r="Q129" s="343">
        <v>7000000</v>
      </c>
      <c r="R129" s="343"/>
      <c r="S129" s="343"/>
      <c r="T129" s="343"/>
      <c r="U129" s="343"/>
      <c r="V129" s="343">
        <f t="shared" si="129"/>
        <v>157000000</v>
      </c>
      <c r="W129" s="343"/>
      <c r="X129" s="342">
        <f t="shared" si="130"/>
        <v>157000000</v>
      </c>
      <c r="Y129" s="342">
        <f t="shared" si="134"/>
        <v>150000000</v>
      </c>
      <c r="Z129" s="342">
        <f t="shared" si="134"/>
        <v>7000000</v>
      </c>
      <c r="AA129" s="343">
        <v>150000000</v>
      </c>
      <c r="AB129" s="343">
        <v>7000000</v>
      </c>
      <c r="AC129" s="343"/>
      <c r="AD129" s="343"/>
      <c r="AE129" s="343"/>
      <c r="AF129" s="343"/>
      <c r="AG129" s="343">
        <f t="shared" si="135"/>
        <v>239940390</v>
      </c>
      <c r="AH129" s="343">
        <f>SUM(AI129:AJ129)</f>
        <v>83115820.000000015</v>
      </c>
      <c r="AI129" s="340">
        <v>76115820.000000015</v>
      </c>
      <c r="AJ129" s="340">
        <v>7000000</v>
      </c>
      <c r="AK129" s="340">
        <f t="shared" si="132"/>
        <v>156824570</v>
      </c>
      <c r="AL129" s="343">
        <f>149824570</f>
        <v>149824570</v>
      </c>
      <c r="AM129" s="343">
        <v>7000000</v>
      </c>
      <c r="AN129" s="348">
        <f t="shared" si="72"/>
        <v>99.926939424482725</v>
      </c>
      <c r="AO129" s="349"/>
      <c r="AP129" s="349"/>
      <c r="AT129" s="351"/>
      <c r="AU129" s="351"/>
      <c r="AV129" s="352"/>
      <c r="AW129" s="352"/>
      <c r="AX129" s="353"/>
    </row>
    <row r="130" spans="1:50" s="232" customFormat="1" ht="15" customHeight="1">
      <c r="A130" s="228">
        <v>14</v>
      </c>
      <c r="B130" s="236" t="s">
        <v>204</v>
      </c>
      <c r="C130" s="200">
        <f t="shared" si="69"/>
        <v>113850000</v>
      </c>
      <c r="D130" s="201">
        <f t="shared" si="70"/>
        <v>0</v>
      </c>
      <c r="E130" s="201">
        <f t="shared" si="90"/>
        <v>0</v>
      </c>
      <c r="F130" s="201">
        <f t="shared" si="90"/>
        <v>0</v>
      </c>
      <c r="G130" s="205"/>
      <c r="H130" s="205"/>
      <c r="I130" s="205"/>
      <c r="J130" s="205"/>
      <c r="K130" s="205"/>
      <c r="L130" s="205"/>
      <c r="M130" s="202">
        <f t="shared" si="136"/>
        <v>19850000</v>
      </c>
      <c r="N130" s="202">
        <f t="shared" si="128"/>
        <v>18830000</v>
      </c>
      <c r="O130" s="202">
        <f t="shared" si="128"/>
        <v>1020000</v>
      </c>
      <c r="P130" s="205">
        <v>18830000</v>
      </c>
      <c r="Q130" s="205">
        <v>1020000</v>
      </c>
      <c r="R130" s="205"/>
      <c r="S130" s="205"/>
      <c r="T130" s="205"/>
      <c r="U130" s="205"/>
      <c r="V130" s="205">
        <f t="shared" si="129"/>
        <v>94000000</v>
      </c>
      <c r="W130" s="205"/>
      <c r="X130" s="204">
        <f t="shared" si="130"/>
        <v>94000000</v>
      </c>
      <c r="Y130" s="204">
        <f t="shared" si="134"/>
        <v>89000000</v>
      </c>
      <c r="Z130" s="204">
        <f t="shared" si="134"/>
        <v>5000000</v>
      </c>
      <c r="AA130" s="205">
        <v>89000000</v>
      </c>
      <c r="AB130" s="205">
        <v>5000000</v>
      </c>
      <c r="AC130" s="205"/>
      <c r="AD130" s="205"/>
      <c r="AE130" s="205"/>
      <c r="AF130" s="205"/>
      <c r="AG130" s="343">
        <f t="shared" si="135"/>
        <v>45198800</v>
      </c>
      <c r="AH130" s="205">
        <f t="shared" ref="AH130:AH134" si="137">SUM(AI130:AJ130)</f>
        <v>0</v>
      </c>
      <c r="AI130" s="205"/>
      <c r="AJ130" s="205"/>
      <c r="AK130" s="340">
        <f t="shared" si="132"/>
        <v>45198800</v>
      </c>
      <c r="AL130" s="343">
        <v>40198800</v>
      </c>
      <c r="AM130" s="343">
        <v>5000000</v>
      </c>
      <c r="AN130" s="206">
        <f t="shared" si="72"/>
        <v>39.700307422046556</v>
      </c>
      <c r="AO130" s="230"/>
      <c r="AP130" s="230"/>
      <c r="AT130" s="233"/>
      <c r="AU130" s="233"/>
      <c r="AV130" s="234"/>
      <c r="AW130" s="234"/>
      <c r="AX130" s="235"/>
    </row>
    <row r="131" spans="1:50" s="232" customFormat="1" ht="15" customHeight="1">
      <c r="A131" s="228">
        <v>15</v>
      </c>
      <c r="B131" s="236" t="s">
        <v>212</v>
      </c>
      <c r="C131" s="200">
        <f t="shared" si="69"/>
        <v>171558000</v>
      </c>
      <c r="D131" s="201">
        <f t="shared" si="70"/>
        <v>0</v>
      </c>
      <c r="E131" s="201">
        <f t="shared" si="90"/>
        <v>0</v>
      </c>
      <c r="F131" s="201">
        <f t="shared" si="90"/>
        <v>0</v>
      </c>
      <c r="G131" s="205"/>
      <c r="H131" s="205"/>
      <c r="I131" s="205"/>
      <c r="J131" s="205"/>
      <c r="K131" s="205"/>
      <c r="L131" s="205"/>
      <c r="M131" s="202">
        <f t="shared" si="136"/>
        <v>14557999.999999993</v>
      </c>
      <c r="N131" s="202">
        <f t="shared" si="128"/>
        <v>14557999.999999993</v>
      </c>
      <c r="O131" s="202">
        <f t="shared" si="128"/>
        <v>0</v>
      </c>
      <c r="P131" s="205">
        <v>14557999.999999993</v>
      </c>
      <c r="Q131" s="205">
        <v>0</v>
      </c>
      <c r="R131" s="205"/>
      <c r="S131" s="205"/>
      <c r="T131" s="205"/>
      <c r="U131" s="205"/>
      <c r="V131" s="205">
        <f t="shared" si="129"/>
        <v>157000000</v>
      </c>
      <c r="W131" s="205"/>
      <c r="X131" s="204">
        <f t="shared" si="130"/>
        <v>157000000</v>
      </c>
      <c r="Y131" s="204">
        <f t="shared" si="134"/>
        <v>149000000</v>
      </c>
      <c r="Z131" s="204">
        <f t="shared" si="134"/>
        <v>8000000</v>
      </c>
      <c r="AA131" s="205">
        <v>149000000</v>
      </c>
      <c r="AB131" s="205">
        <v>8000000</v>
      </c>
      <c r="AC131" s="205"/>
      <c r="AD131" s="205"/>
      <c r="AE131" s="205"/>
      <c r="AF131" s="205"/>
      <c r="AG131" s="343">
        <f t="shared" si="135"/>
        <v>97714500</v>
      </c>
      <c r="AH131" s="205">
        <f t="shared" si="137"/>
        <v>0</v>
      </c>
      <c r="AI131" s="205"/>
      <c r="AJ131" s="205"/>
      <c r="AK131" s="340">
        <f t="shared" si="132"/>
        <v>97714500</v>
      </c>
      <c r="AL131" s="343">
        <v>89714500</v>
      </c>
      <c r="AM131" s="343">
        <v>8000000</v>
      </c>
      <c r="AN131" s="206">
        <f t="shared" si="72"/>
        <v>56.95712237260868</v>
      </c>
      <c r="AO131" s="230"/>
      <c r="AP131" s="230"/>
      <c r="AT131" s="233"/>
      <c r="AU131" s="233"/>
      <c r="AV131" s="234"/>
      <c r="AW131" s="234"/>
      <c r="AX131" s="235"/>
    </row>
    <row r="132" spans="1:50" s="350" customFormat="1" ht="15" customHeight="1">
      <c r="A132" s="344">
        <v>16</v>
      </c>
      <c r="B132" s="345" t="s">
        <v>211</v>
      </c>
      <c r="C132" s="346">
        <f t="shared" si="69"/>
        <v>163624400</v>
      </c>
      <c r="D132" s="347">
        <f t="shared" si="70"/>
        <v>0</v>
      </c>
      <c r="E132" s="347">
        <f t="shared" si="90"/>
        <v>0</v>
      </c>
      <c r="F132" s="347">
        <f t="shared" si="90"/>
        <v>0</v>
      </c>
      <c r="G132" s="343"/>
      <c r="H132" s="343"/>
      <c r="I132" s="343"/>
      <c r="J132" s="343"/>
      <c r="K132" s="343"/>
      <c r="L132" s="343"/>
      <c r="M132" s="340">
        <f t="shared" si="136"/>
        <v>5624399.9999999888</v>
      </c>
      <c r="N132" s="340">
        <f t="shared" si="128"/>
        <v>5352399.9999999888</v>
      </c>
      <c r="O132" s="340">
        <f t="shared" si="128"/>
        <v>272000.00000000023</v>
      </c>
      <c r="P132" s="343">
        <v>5352399.9999999888</v>
      </c>
      <c r="Q132" s="343">
        <v>272000.00000000023</v>
      </c>
      <c r="R132" s="343"/>
      <c r="S132" s="343"/>
      <c r="T132" s="343"/>
      <c r="U132" s="343"/>
      <c r="V132" s="343">
        <f t="shared" si="129"/>
        <v>158000000</v>
      </c>
      <c r="W132" s="343"/>
      <c r="X132" s="342">
        <f t="shared" si="130"/>
        <v>158000000</v>
      </c>
      <c r="Y132" s="342">
        <f t="shared" si="134"/>
        <v>150000000</v>
      </c>
      <c r="Z132" s="342">
        <f t="shared" si="134"/>
        <v>8000000</v>
      </c>
      <c r="AA132" s="343">
        <v>150000000</v>
      </c>
      <c r="AB132" s="343">
        <v>8000000</v>
      </c>
      <c r="AC132" s="343"/>
      <c r="AD132" s="343"/>
      <c r="AE132" s="343"/>
      <c r="AF132" s="343"/>
      <c r="AG132" s="343">
        <f t="shared" si="135"/>
        <v>118321960</v>
      </c>
      <c r="AH132" s="343">
        <f t="shared" si="137"/>
        <v>5624399.9999999888</v>
      </c>
      <c r="AI132" s="340">
        <v>5352399.9999999888</v>
      </c>
      <c r="AJ132" s="340">
        <v>272000.00000000023</v>
      </c>
      <c r="AK132" s="340">
        <f t="shared" si="132"/>
        <v>112697560.00000001</v>
      </c>
      <c r="AL132" s="343">
        <f>110049960-AI132</f>
        <v>104697560.00000001</v>
      </c>
      <c r="AM132" s="343">
        <v>8000000</v>
      </c>
      <c r="AN132" s="348">
        <f t="shared" si="72"/>
        <v>72.313151339286804</v>
      </c>
      <c r="AO132" s="349"/>
      <c r="AP132" s="349"/>
      <c r="AT132" s="351"/>
      <c r="AU132" s="351"/>
      <c r="AV132" s="352"/>
      <c r="AW132" s="352"/>
      <c r="AX132" s="353"/>
    </row>
    <row r="133" spans="1:50" s="350" customFormat="1" ht="15" customHeight="1">
      <c r="A133" s="344">
        <v>17</v>
      </c>
      <c r="B133" s="345" t="s">
        <v>209</v>
      </c>
      <c r="C133" s="346">
        <f t="shared" si="69"/>
        <v>181560000</v>
      </c>
      <c r="D133" s="347">
        <f t="shared" si="70"/>
        <v>0</v>
      </c>
      <c r="E133" s="347">
        <f t="shared" si="90"/>
        <v>0</v>
      </c>
      <c r="F133" s="347">
        <f t="shared" si="90"/>
        <v>0</v>
      </c>
      <c r="G133" s="343"/>
      <c r="H133" s="343"/>
      <c r="I133" s="343"/>
      <c r="J133" s="343"/>
      <c r="K133" s="343"/>
      <c r="L133" s="343"/>
      <c r="M133" s="340">
        <f t="shared" si="136"/>
        <v>63559999.999999993</v>
      </c>
      <c r="N133" s="340">
        <f t="shared" ref="N133:O135" si="138">+P133+R133-T133</f>
        <v>63559999.999999993</v>
      </c>
      <c r="O133" s="340">
        <f t="shared" si="138"/>
        <v>0</v>
      </c>
      <c r="P133" s="343">
        <v>63559999.999999993</v>
      </c>
      <c r="Q133" s="343">
        <v>0</v>
      </c>
      <c r="R133" s="343"/>
      <c r="S133" s="343"/>
      <c r="T133" s="343"/>
      <c r="U133" s="343"/>
      <c r="V133" s="343">
        <f t="shared" si="129"/>
        <v>118000000</v>
      </c>
      <c r="W133" s="343"/>
      <c r="X133" s="342">
        <f t="shared" si="130"/>
        <v>118000000</v>
      </c>
      <c r="Y133" s="342">
        <f t="shared" si="134"/>
        <v>110000000</v>
      </c>
      <c r="Z133" s="342">
        <f t="shared" si="134"/>
        <v>8000000</v>
      </c>
      <c r="AA133" s="343">
        <v>150000000</v>
      </c>
      <c r="AB133" s="343">
        <v>8000000</v>
      </c>
      <c r="AC133" s="343"/>
      <c r="AD133" s="343"/>
      <c r="AE133" s="343">
        <v>40000000</v>
      </c>
      <c r="AF133" s="343"/>
      <c r="AG133" s="343">
        <f t="shared" si="135"/>
        <v>161681000</v>
      </c>
      <c r="AH133" s="343">
        <f t="shared" si="137"/>
        <v>63559999.999999993</v>
      </c>
      <c r="AI133" s="343">
        <v>63559999.999999993</v>
      </c>
      <c r="AJ133" s="343"/>
      <c r="AK133" s="340">
        <f t="shared" si="132"/>
        <v>98121000</v>
      </c>
      <c r="AL133" s="343">
        <f>153681000-AI133</f>
        <v>90121000</v>
      </c>
      <c r="AM133" s="343">
        <v>8000000</v>
      </c>
      <c r="AN133" s="348">
        <f t="shared" si="72"/>
        <v>89.05100242344129</v>
      </c>
      <c r="AO133" s="349"/>
      <c r="AP133" s="349"/>
      <c r="AT133" s="351"/>
      <c r="AU133" s="351"/>
      <c r="AV133" s="352"/>
      <c r="AW133" s="352"/>
      <c r="AX133" s="353"/>
    </row>
    <row r="134" spans="1:50" s="232" customFormat="1" ht="15" customHeight="1">
      <c r="A134" s="228">
        <v>18</v>
      </c>
      <c r="B134" s="236" t="s">
        <v>218</v>
      </c>
      <c r="C134" s="200">
        <f t="shared" si="69"/>
        <v>62000000</v>
      </c>
      <c r="D134" s="201">
        <f t="shared" si="70"/>
        <v>0</v>
      </c>
      <c r="E134" s="201">
        <f t="shared" si="90"/>
        <v>0</v>
      </c>
      <c r="F134" s="201">
        <f t="shared" si="90"/>
        <v>0</v>
      </c>
      <c r="G134" s="205"/>
      <c r="H134" s="205"/>
      <c r="I134" s="205"/>
      <c r="J134" s="205"/>
      <c r="K134" s="205"/>
      <c r="L134" s="205"/>
      <c r="M134" s="202">
        <f t="shared" si="136"/>
        <v>0</v>
      </c>
      <c r="N134" s="202">
        <f t="shared" si="138"/>
        <v>0</v>
      </c>
      <c r="O134" s="202">
        <f t="shared" si="138"/>
        <v>0</v>
      </c>
      <c r="P134" s="205">
        <v>17764100</v>
      </c>
      <c r="Q134" s="205">
        <v>700000.00000000012</v>
      </c>
      <c r="R134" s="205"/>
      <c r="S134" s="205"/>
      <c r="T134" s="205">
        <v>17764100</v>
      </c>
      <c r="U134" s="205">
        <v>700000.00000000012</v>
      </c>
      <c r="V134" s="205">
        <f t="shared" si="129"/>
        <v>62000000</v>
      </c>
      <c r="W134" s="205"/>
      <c r="X134" s="204">
        <f t="shared" si="130"/>
        <v>62000000</v>
      </c>
      <c r="Y134" s="204">
        <f t="shared" si="134"/>
        <v>59600000</v>
      </c>
      <c r="Z134" s="204">
        <f t="shared" si="134"/>
        <v>2400000</v>
      </c>
      <c r="AA134" s="205">
        <v>89000000</v>
      </c>
      <c r="AB134" s="205">
        <v>5000000</v>
      </c>
      <c r="AC134" s="205"/>
      <c r="AD134" s="205"/>
      <c r="AE134" s="205">
        <v>29400000</v>
      </c>
      <c r="AF134" s="205">
        <v>2600000</v>
      </c>
      <c r="AG134" s="343">
        <f t="shared" si="135"/>
        <v>47781800</v>
      </c>
      <c r="AH134" s="205">
        <f t="shared" si="137"/>
        <v>0</v>
      </c>
      <c r="AI134" s="205"/>
      <c r="AJ134" s="205"/>
      <c r="AK134" s="340">
        <f t="shared" si="132"/>
        <v>47781800</v>
      </c>
      <c r="AL134" s="340">
        <v>45381800</v>
      </c>
      <c r="AM134" s="340">
        <v>2400000</v>
      </c>
      <c r="AN134" s="206">
        <f t="shared" si="72"/>
        <v>77.067419354838705</v>
      </c>
      <c r="AO134" s="230"/>
      <c r="AP134" s="230"/>
      <c r="AT134" s="233"/>
      <c r="AU134" s="233"/>
      <c r="AV134" s="234"/>
      <c r="AW134" s="234"/>
      <c r="AX134" s="235"/>
    </row>
    <row r="135" spans="1:50" s="208" customFormat="1">
      <c r="A135" s="228">
        <v>19</v>
      </c>
      <c r="B135" s="236" t="s">
        <v>231</v>
      </c>
      <c r="C135" s="201">
        <f t="shared" si="69"/>
        <v>0</v>
      </c>
      <c r="D135" s="201">
        <f t="shared" si="70"/>
        <v>0</v>
      </c>
      <c r="E135" s="201">
        <f t="shared" si="90"/>
        <v>0</v>
      </c>
      <c r="F135" s="201">
        <f t="shared" si="90"/>
        <v>0</v>
      </c>
      <c r="G135" s="202">
        <v>1302265850</v>
      </c>
      <c r="H135" s="202"/>
      <c r="I135" s="202"/>
      <c r="J135" s="202"/>
      <c r="K135" s="202">
        <v>1302265850</v>
      </c>
      <c r="L135" s="202"/>
      <c r="M135" s="202">
        <f t="shared" si="136"/>
        <v>0</v>
      </c>
      <c r="N135" s="202">
        <f t="shared" si="138"/>
        <v>0</v>
      </c>
      <c r="O135" s="202">
        <f t="shared" si="138"/>
        <v>0</v>
      </c>
      <c r="P135" s="202"/>
      <c r="Q135" s="202"/>
      <c r="R135" s="202"/>
      <c r="S135" s="202"/>
      <c r="T135" s="202"/>
      <c r="U135" s="202"/>
      <c r="V135" s="202"/>
      <c r="W135" s="202"/>
      <c r="X135" s="202"/>
      <c r="Y135" s="204">
        <f t="shared" si="134"/>
        <v>0</v>
      </c>
      <c r="Z135" s="204">
        <f t="shared" si="134"/>
        <v>0</v>
      </c>
      <c r="AA135" s="202"/>
      <c r="AB135" s="202"/>
      <c r="AC135" s="202"/>
      <c r="AD135" s="202"/>
      <c r="AE135" s="202"/>
      <c r="AF135" s="202"/>
      <c r="AG135" s="343">
        <f t="shared" si="135"/>
        <v>0</v>
      </c>
      <c r="AH135" s="202"/>
      <c r="AI135" s="202"/>
      <c r="AJ135" s="202"/>
      <c r="AK135" s="202">
        <f t="shared" si="132"/>
        <v>0</v>
      </c>
      <c r="AL135" s="202"/>
      <c r="AM135" s="202"/>
      <c r="AN135" s="206"/>
      <c r="AO135" s="207"/>
      <c r="AP135" s="207"/>
      <c r="AT135" s="209"/>
      <c r="AU135" s="209"/>
      <c r="AV135" s="210"/>
      <c r="AW135" s="210"/>
      <c r="AX135" s="211"/>
    </row>
    <row r="136" spans="1:50" s="208" customFormat="1" ht="61.5" customHeight="1">
      <c r="A136" s="225" t="s">
        <v>26</v>
      </c>
      <c r="B136" s="226" t="s">
        <v>116</v>
      </c>
      <c r="C136" s="264">
        <f t="shared" si="69"/>
        <v>678717440</v>
      </c>
      <c r="D136" s="264">
        <f t="shared" si="70"/>
        <v>0</v>
      </c>
      <c r="E136" s="264">
        <f t="shared" si="90"/>
        <v>0</v>
      </c>
      <c r="F136" s="264">
        <f t="shared" si="90"/>
        <v>0</v>
      </c>
      <c r="G136" s="288">
        <f t="shared" ref="G136:AM136" si="139">+G137</f>
        <v>129000000</v>
      </c>
      <c r="H136" s="288">
        <f t="shared" si="139"/>
        <v>0</v>
      </c>
      <c r="I136" s="288">
        <f t="shared" si="139"/>
        <v>0</v>
      </c>
      <c r="J136" s="288">
        <f t="shared" si="139"/>
        <v>0</v>
      </c>
      <c r="K136" s="288">
        <f t="shared" si="139"/>
        <v>129000000</v>
      </c>
      <c r="L136" s="288">
        <f t="shared" si="139"/>
        <v>0</v>
      </c>
      <c r="M136" s="288">
        <f t="shared" si="139"/>
        <v>208717440</v>
      </c>
      <c r="N136" s="288">
        <f t="shared" si="139"/>
        <v>184963440</v>
      </c>
      <c r="O136" s="288">
        <f t="shared" si="139"/>
        <v>23754000</v>
      </c>
      <c r="P136" s="288">
        <f t="shared" si="139"/>
        <v>140935826</v>
      </c>
      <c r="Q136" s="288">
        <f t="shared" si="139"/>
        <v>33000000</v>
      </c>
      <c r="R136" s="288">
        <f t="shared" si="139"/>
        <v>85527614</v>
      </c>
      <c r="S136" s="288">
        <f t="shared" si="139"/>
        <v>254000</v>
      </c>
      <c r="T136" s="288">
        <f t="shared" si="139"/>
        <v>41500000</v>
      </c>
      <c r="U136" s="288">
        <f t="shared" si="139"/>
        <v>9500000</v>
      </c>
      <c r="V136" s="288">
        <f t="shared" si="139"/>
        <v>470000000</v>
      </c>
      <c r="W136" s="288">
        <f t="shared" si="139"/>
        <v>0</v>
      </c>
      <c r="X136" s="288">
        <f t="shared" si="139"/>
        <v>470000000</v>
      </c>
      <c r="Y136" s="288">
        <f t="shared" si="139"/>
        <v>448000000</v>
      </c>
      <c r="Z136" s="288">
        <f t="shared" si="139"/>
        <v>22000000</v>
      </c>
      <c r="AA136" s="288">
        <f t="shared" si="139"/>
        <v>448000000</v>
      </c>
      <c r="AB136" s="288">
        <f t="shared" si="139"/>
        <v>22000000</v>
      </c>
      <c r="AC136" s="288">
        <f t="shared" si="139"/>
        <v>0</v>
      </c>
      <c r="AD136" s="288">
        <f t="shared" si="139"/>
        <v>0</v>
      </c>
      <c r="AE136" s="288">
        <f t="shared" si="139"/>
        <v>0</v>
      </c>
      <c r="AF136" s="288">
        <f t="shared" si="139"/>
        <v>0</v>
      </c>
      <c r="AG136" s="377">
        <f t="shared" si="139"/>
        <v>163227944</v>
      </c>
      <c r="AH136" s="288">
        <f t="shared" si="139"/>
        <v>11999900</v>
      </c>
      <c r="AI136" s="288">
        <f t="shared" si="139"/>
        <v>11999900</v>
      </c>
      <c r="AJ136" s="288">
        <f t="shared" si="139"/>
        <v>0</v>
      </c>
      <c r="AK136" s="288">
        <f t="shared" si="139"/>
        <v>151228044</v>
      </c>
      <c r="AL136" s="288">
        <f t="shared" si="139"/>
        <v>149629244</v>
      </c>
      <c r="AM136" s="288">
        <f t="shared" si="139"/>
        <v>1598800</v>
      </c>
      <c r="AN136" s="206">
        <f t="shared" si="72"/>
        <v>24.049469540667761</v>
      </c>
      <c r="AO136" s="284"/>
      <c r="AP136" s="284"/>
      <c r="AT136" s="209"/>
      <c r="AU136" s="209"/>
      <c r="AV136" s="210"/>
      <c r="AW136" s="210"/>
      <c r="AX136" s="211"/>
    </row>
    <row r="137" spans="1:50" s="208" customFormat="1" ht="76.5" customHeight="1">
      <c r="A137" s="237"/>
      <c r="B137" s="238" t="s">
        <v>239</v>
      </c>
      <c r="C137" s="201">
        <f t="shared" si="69"/>
        <v>678717440</v>
      </c>
      <c r="D137" s="201">
        <f t="shared" si="70"/>
        <v>0</v>
      </c>
      <c r="E137" s="201">
        <f t="shared" si="90"/>
        <v>0</v>
      </c>
      <c r="F137" s="201">
        <f t="shared" si="90"/>
        <v>0</v>
      </c>
      <c r="G137" s="239">
        <f t="shared" ref="G137:L137" si="140">SUM(G138:G156)</f>
        <v>129000000</v>
      </c>
      <c r="H137" s="239">
        <f t="shared" si="140"/>
        <v>0</v>
      </c>
      <c r="I137" s="239">
        <f t="shared" si="140"/>
        <v>0</v>
      </c>
      <c r="J137" s="239">
        <f t="shared" si="140"/>
        <v>0</v>
      </c>
      <c r="K137" s="239">
        <f t="shared" si="140"/>
        <v>129000000</v>
      </c>
      <c r="L137" s="239">
        <f t="shared" si="140"/>
        <v>0</v>
      </c>
      <c r="M137" s="239">
        <f>SUM(M138:M156)</f>
        <v>208717440</v>
      </c>
      <c r="N137" s="239">
        <f t="shared" ref="N137:U137" si="141">SUM(N138:N156)</f>
        <v>184963440</v>
      </c>
      <c r="O137" s="239">
        <f t="shared" si="141"/>
        <v>23754000</v>
      </c>
      <c r="P137" s="239">
        <f t="shared" si="141"/>
        <v>140935826</v>
      </c>
      <c r="Q137" s="239">
        <f t="shared" si="141"/>
        <v>33000000</v>
      </c>
      <c r="R137" s="239">
        <f t="shared" si="141"/>
        <v>85527614</v>
      </c>
      <c r="S137" s="239">
        <f t="shared" si="141"/>
        <v>254000</v>
      </c>
      <c r="T137" s="239">
        <f t="shared" si="141"/>
        <v>41500000</v>
      </c>
      <c r="U137" s="239">
        <f t="shared" si="141"/>
        <v>9500000</v>
      </c>
      <c r="V137" s="239">
        <f>SUM(V138:V156)</f>
        <v>470000000</v>
      </c>
      <c r="W137" s="239">
        <f>SUM(W138:W156)</f>
        <v>0</v>
      </c>
      <c r="X137" s="239">
        <f>SUM(X138:X156)</f>
        <v>470000000</v>
      </c>
      <c r="Y137" s="239">
        <f t="shared" ref="Y137:AF137" si="142">SUM(Y138:Y156)</f>
        <v>448000000</v>
      </c>
      <c r="Z137" s="239">
        <f t="shared" si="142"/>
        <v>22000000</v>
      </c>
      <c r="AA137" s="239">
        <f t="shared" si="142"/>
        <v>448000000</v>
      </c>
      <c r="AB137" s="239">
        <f t="shared" si="142"/>
        <v>22000000</v>
      </c>
      <c r="AC137" s="239">
        <f t="shared" si="142"/>
        <v>0</v>
      </c>
      <c r="AD137" s="239">
        <f t="shared" si="142"/>
        <v>0</v>
      </c>
      <c r="AE137" s="239">
        <f t="shared" si="142"/>
        <v>0</v>
      </c>
      <c r="AF137" s="239">
        <f t="shared" si="142"/>
        <v>0</v>
      </c>
      <c r="AG137" s="378">
        <f>SUM(AG138:AG156)</f>
        <v>163227944</v>
      </c>
      <c r="AH137" s="239">
        <f t="shared" ref="AH137:AM137" si="143">SUM(AH138:AH156)</f>
        <v>11999900</v>
      </c>
      <c r="AI137" s="239">
        <f t="shared" si="143"/>
        <v>11999900</v>
      </c>
      <c r="AJ137" s="239">
        <f t="shared" si="143"/>
        <v>0</v>
      </c>
      <c r="AK137" s="239">
        <f t="shared" si="143"/>
        <v>151228044</v>
      </c>
      <c r="AL137" s="239">
        <f t="shared" si="143"/>
        <v>149629244</v>
      </c>
      <c r="AM137" s="239">
        <f t="shared" si="143"/>
        <v>1598800</v>
      </c>
      <c r="AN137" s="206">
        <f t="shared" si="72"/>
        <v>24.049469540667761</v>
      </c>
      <c r="AO137" s="207"/>
      <c r="AP137" s="207"/>
      <c r="AT137" s="209"/>
      <c r="AU137" s="209"/>
      <c r="AV137" s="210"/>
      <c r="AW137" s="210"/>
      <c r="AX137" s="211"/>
    </row>
    <row r="138" spans="1:50" s="208" customFormat="1">
      <c r="A138" s="198">
        <v>1</v>
      </c>
      <c r="B138" s="199" t="s">
        <v>223</v>
      </c>
      <c r="C138" s="200">
        <f t="shared" si="69"/>
        <v>486935826</v>
      </c>
      <c r="D138" s="201">
        <f t="shared" si="70"/>
        <v>0</v>
      </c>
      <c r="E138" s="201">
        <f t="shared" si="90"/>
        <v>0</v>
      </c>
      <c r="F138" s="201">
        <f t="shared" si="90"/>
        <v>0</v>
      </c>
      <c r="G138" s="202">
        <v>129000000</v>
      </c>
      <c r="H138" s="202"/>
      <c r="I138" s="202"/>
      <c r="J138" s="202"/>
      <c r="K138" s="202">
        <v>129000000</v>
      </c>
      <c r="L138" s="202"/>
      <c r="M138" s="202">
        <f t="shared" ref="M138:M156" si="144">SUM(N138:O138)</f>
        <v>122935826</v>
      </c>
      <c r="N138" s="202">
        <f t="shared" ref="N138:O153" si="145">+P138+R138-T138</f>
        <v>99435826</v>
      </c>
      <c r="O138" s="202">
        <f t="shared" si="145"/>
        <v>23500000</v>
      </c>
      <c r="P138" s="202">
        <v>140935826</v>
      </c>
      <c r="Q138" s="202">
        <v>33000000</v>
      </c>
      <c r="R138" s="202"/>
      <c r="S138" s="202"/>
      <c r="T138" s="202">
        <f>170500000-G138</f>
        <v>41500000</v>
      </c>
      <c r="U138" s="202">
        <v>9500000</v>
      </c>
      <c r="V138" s="202">
        <f t="shared" ref="V138:V156" si="146">SUM(W138:X138)</f>
        <v>364000000</v>
      </c>
      <c r="W138" s="202"/>
      <c r="X138" s="204">
        <f>SUM(Y138:Z138)</f>
        <v>364000000</v>
      </c>
      <c r="Y138" s="204">
        <f t="shared" ref="Y138:Z153" si="147">+AA138+AC138-AE138</f>
        <v>347000000</v>
      </c>
      <c r="Z138" s="204">
        <f t="shared" si="147"/>
        <v>17000000</v>
      </c>
      <c r="AA138" s="202">
        <v>347000000</v>
      </c>
      <c r="AB138" s="202">
        <v>17000000</v>
      </c>
      <c r="AC138" s="202"/>
      <c r="AD138" s="202"/>
      <c r="AE138" s="202"/>
      <c r="AF138" s="202"/>
      <c r="AG138" s="343">
        <f>+AK138+AH138</f>
        <v>120101304</v>
      </c>
      <c r="AH138" s="205">
        <f t="shared" ref="AH138" si="148">SUM(AI138:AJ138)</f>
        <v>0</v>
      </c>
      <c r="AI138" s="202"/>
      <c r="AJ138" s="202"/>
      <c r="AK138" s="202">
        <f t="shared" ref="AK138:AK156" si="149">SUM(AL138:AM138)</f>
        <v>120101304</v>
      </c>
      <c r="AL138" s="340">
        <v>120101304</v>
      </c>
      <c r="AM138" s="202"/>
      <c r="AN138" s="206">
        <f t="shared" si="72"/>
        <v>24.664708897389694</v>
      </c>
      <c r="AO138" s="207"/>
      <c r="AP138" s="207"/>
      <c r="AT138" s="209"/>
      <c r="AU138" s="209"/>
      <c r="AV138" s="210"/>
      <c r="AW138" s="210"/>
      <c r="AX138" s="211"/>
    </row>
    <row r="139" spans="1:50" s="208" customFormat="1">
      <c r="A139" s="198">
        <v>2</v>
      </c>
      <c r="B139" s="199" t="s">
        <v>225</v>
      </c>
      <c r="C139" s="200">
        <f t="shared" si="69"/>
        <v>47000000</v>
      </c>
      <c r="D139" s="201">
        <f t="shared" si="70"/>
        <v>0</v>
      </c>
      <c r="E139" s="201">
        <f t="shared" si="90"/>
        <v>0</v>
      </c>
      <c r="F139" s="201">
        <f t="shared" si="90"/>
        <v>0</v>
      </c>
      <c r="G139" s="202"/>
      <c r="H139" s="202"/>
      <c r="I139" s="202"/>
      <c r="J139" s="202"/>
      <c r="K139" s="202"/>
      <c r="L139" s="202"/>
      <c r="M139" s="202">
        <f t="shared" si="144"/>
        <v>0</v>
      </c>
      <c r="N139" s="202">
        <f t="shared" si="145"/>
        <v>0</v>
      </c>
      <c r="O139" s="202">
        <f t="shared" si="145"/>
        <v>0</v>
      </c>
      <c r="P139" s="202"/>
      <c r="Q139" s="202"/>
      <c r="R139" s="202"/>
      <c r="S139" s="202"/>
      <c r="T139" s="202"/>
      <c r="U139" s="202"/>
      <c r="V139" s="202">
        <f t="shared" si="146"/>
        <v>47000000</v>
      </c>
      <c r="W139" s="202"/>
      <c r="X139" s="204">
        <f>SUM(Y139:Z139)</f>
        <v>47000000</v>
      </c>
      <c r="Y139" s="204">
        <f t="shared" si="147"/>
        <v>45000000</v>
      </c>
      <c r="Z139" s="204">
        <f t="shared" si="147"/>
        <v>2000000</v>
      </c>
      <c r="AA139" s="202">
        <v>45000000</v>
      </c>
      <c r="AB139" s="202">
        <v>2000000</v>
      </c>
      <c r="AC139" s="202"/>
      <c r="AD139" s="202"/>
      <c r="AE139" s="202"/>
      <c r="AF139" s="202"/>
      <c r="AG139" s="343">
        <f t="shared" ref="AG139:AG156" si="150">+AK139+AH139</f>
        <v>0</v>
      </c>
      <c r="AH139" s="205">
        <f t="shared" ref="AH139:AH156" si="151">SUM(AI139:AJ139)</f>
        <v>0</v>
      </c>
      <c r="AI139" s="202"/>
      <c r="AJ139" s="202"/>
      <c r="AK139" s="202">
        <f t="shared" si="149"/>
        <v>0</v>
      </c>
      <c r="AL139" s="202"/>
      <c r="AM139" s="202"/>
      <c r="AN139" s="206">
        <f t="shared" si="72"/>
        <v>0</v>
      </c>
      <c r="AO139" s="207"/>
      <c r="AP139" s="207"/>
      <c r="AT139" s="209"/>
      <c r="AU139" s="209"/>
      <c r="AV139" s="210"/>
      <c r="AW139" s="210"/>
      <c r="AX139" s="211"/>
    </row>
    <row r="140" spans="1:50" s="356" customFormat="1">
      <c r="A140" s="354">
        <v>3</v>
      </c>
      <c r="B140" s="345" t="s">
        <v>213</v>
      </c>
      <c r="C140" s="346">
        <f t="shared" si="69"/>
        <v>3700000</v>
      </c>
      <c r="D140" s="347">
        <f t="shared" si="70"/>
        <v>0</v>
      </c>
      <c r="E140" s="347">
        <f t="shared" si="90"/>
        <v>0</v>
      </c>
      <c r="F140" s="347">
        <f t="shared" si="90"/>
        <v>0</v>
      </c>
      <c r="G140" s="340"/>
      <c r="H140" s="340"/>
      <c r="I140" s="340"/>
      <c r="J140" s="340"/>
      <c r="K140" s="340"/>
      <c r="L140" s="340"/>
      <c r="M140" s="340">
        <f t="shared" si="144"/>
        <v>0</v>
      </c>
      <c r="N140" s="340">
        <f t="shared" si="145"/>
        <v>0</v>
      </c>
      <c r="O140" s="340">
        <f t="shared" si="145"/>
        <v>0</v>
      </c>
      <c r="P140" s="340"/>
      <c r="Q140" s="340"/>
      <c r="R140" s="340"/>
      <c r="S140" s="340"/>
      <c r="T140" s="340"/>
      <c r="U140" s="340"/>
      <c r="V140" s="340">
        <f t="shared" si="146"/>
        <v>3700000</v>
      </c>
      <c r="W140" s="340"/>
      <c r="X140" s="342">
        <f>SUM(Y140:Z140)</f>
        <v>3700000</v>
      </c>
      <c r="Y140" s="342">
        <f t="shared" si="147"/>
        <v>3500000</v>
      </c>
      <c r="Z140" s="342">
        <f t="shared" si="147"/>
        <v>200000</v>
      </c>
      <c r="AA140" s="340">
        <v>3500000</v>
      </c>
      <c r="AB140" s="340">
        <v>200000</v>
      </c>
      <c r="AC140" s="340"/>
      <c r="AD140" s="340"/>
      <c r="AE140" s="340"/>
      <c r="AF140" s="340"/>
      <c r="AG140" s="343">
        <f t="shared" si="150"/>
        <v>3700000</v>
      </c>
      <c r="AH140" s="343">
        <f t="shared" si="151"/>
        <v>0</v>
      </c>
      <c r="AI140" s="340"/>
      <c r="AJ140" s="340"/>
      <c r="AK140" s="340">
        <f t="shared" si="149"/>
        <v>3700000</v>
      </c>
      <c r="AL140" s="340">
        <v>3500000</v>
      </c>
      <c r="AM140" s="340">
        <v>200000</v>
      </c>
      <c r="AN140" s="348">
        <f t="shared" si="72"/>
        <v>100</v>
      </c>
      <c r="AO140" s="355"/>
      <c r="AP140" s="355"/>
      <c r="AT140" s="212"/>
      <c r="AU140" s="212"/>
      <c r="AV140" s="357"/>
      <c r="AW140" s="357"/>
      <c r="AX140" s="358"/>
    </row>
    <row r="141" spans="1:50" s="208" customFormat="1">
      <c r="A141" s="198">
        <v>4</v>
      </c>
      <c r="B141" s="236" t="s">
        <v>210</v>
      </c>
      <c r="C141" s="200">
        <f t="shared" ref="C141:C192" si="152">+D141+M141+V141</f>
        <v>1800000</v>
      </c>
      <c r="D141" s="201">
        <f t="shared" ref="D141:D192" si="153">SUM(E141:F141)</f>
        <v>0</v>
      </c>
      <c r="E141" s="201">
        <f t="shared" si="90"/>
        <v>0</v>
      </c>
      <c r="F141" s="201">
        <f t="shared" si="90"/>
        <v>0</v>
      </c>
      <c r="G141" s="202"/>
      <c r="H141" s="202"/>
      <c r="I141" s="202"/>
      <c r="J141" s="202"/>
      <c r="K141" s="202"/>
      <c r="L141" s="202"/>
      <c r="M141" s="202">
        <f t="shared" si="144"/>
        <v>0</v>
      </c>
      <c r="N141" s="202">
        <f t="shared" si="145"/>
        <v>0</v>
      </c>
      <c r="O141" s="202">
        <f t="shared" si="145"/>
        <v>0</v>
      </c>
      <c r="P141" s="202"/>
      <c r="Q141" s="202"/>
      <c r="R141" s="202"/>
      <c r="S141" s="202"/>
      <c r="T141" s="202"/>
      <c r="U141" s="202"/>
      <c r="V141" s="202">
        <f t="shared" si="146"/>
        <v>1800000</v>
      </c>
      <c r="W141" s="202"/>
      <c r="X141" s="204">
        <f t="shared" ref="X141:X156" si="154">SUM(Y141:Z141)</f>
        <v>1800000</v>
      </c>
      <c r="Y141" s="204">
        <f t="shared" si="147"/>
        <v>1700000</v>
      </c>
      <c r="Z141" s="204">
        <f t="shared" si="147"/>
        <v>100000</v>
      </c>
      <c r="AA141" s="202">
        <v>1700000</v>
      </c>
      <c r="AB141" s="202">
        <v>100000</v>
      </c>
      <c r="AC141" s="202"/>
      <c r="AD141" s="202"/>
      <c r="AE141" s="202"/>
      <c r="AF141" s="202"/>
      <c r="AG141" s="343">
        <f t="shared" si="150"/>
        <v>0</v>
      </c>
      <c r="AH141" s="205">
        <f t="shared" si="151"/>
        <v>0</v>
      </c>
      <c r="AI141" s="202"/>
      <c r="AJ141" s="202"/>
      <c r="AK141" s="202">
        <f t="shared" si="149"/>
        <v>0</v>
      </c>
      <c r="AL141" s="204"/>
      <c r="AM141" s="204"/>
      <c r="AN141" s="206">
        <f t="shared" si="72"/>
        <v>0</v>
      </c>
      <c r="AO141" s="207"/>
      <c r="AP141" s="207"/>
      <c r="AT141" s="209"/>
      <c r="AU141" s="209"/>
      <c r="AV141" s="210"/>
      <c r="AW141" s="210"/>
      <c r="AX141" s="211"/>
    </row>
    <row r="142" spans="1:50" s="208" customFormat="1">
      <c r="A142" s="198">
        <v>5</v>
      </c>
      <c r="B142" s="236" t="s">
        <v>205</v>
      </c>
      <c r="C142" s="200">
        <f t="shared" si="152"/>
        <v>1200000</v>
      </c>
      <c r="D142" s="201">
        <f t="shared" si="153"/>
        <v>0</v>
      </c>
      <c r="E142" s="201">
        <f t="shared" si="90"/>
        <v>0</v>
      </c>
      <c r="F142" s="201">
        <f t="shared" si="90"/>
        <v>0</v>
      </c>
      <c r="G142" s="202"/>
      <c r="H142" s="202"/>
      <c r="I142" s="202"/>
      <c r="J142" s="202"/>
      <c r="K142" s="202"/>
      <c r="L142" s="202"/>
      <c r="M142" s="202">
        <f t="shared" si="144"/>
        <v>0</v>
      </c>
      <c r="N142" s="202">
        <f t="shared" si="145"/>
        <v>0</v>
      </c>
      <c r="O142" s="202">
        <f t="shared" si="145"/>
        <v>0</v>
      </c>
      <c r="P142" s="202"/>
      <c r="Q142" s="202"/>
      <c r="R142" s="202"/>
      <c r="S142" s="202"/>
      <c r="T142" s="202"/>
      <c r="U142" s="202"/>
      <c r="V142" s="202">
        <f t="shared" si="146"/>
        <v>1200000</v>
      </c>
      <c r="W142" s="202"/>
      <c r="X142" s="204">
        <f t="shared" si="154"/>
        <v>1200000</v>
      </c>
      <c r="Y142" s="204">
        <f t="shared" si="147"/>
        <v>1100000</v>
      </c>
      <c r="Z142" s="204">
        <f t="shared" si="147"/>
        <v>100000</v>
      </c>
      <c r="AA142" s="202">
        <v>1100000</v>
      </c>
      <c r="AB142" s="202">
        <v>100000</v>
      </c>
      <c r="AC142" s="202"/>
      <c r="AD142" s="202"/>
      <c r="AE142" s="202"/>
      <c r="AF142" s="202"/>
      <c r="AG142" s="343">
        <f t="shared" si="150"/>
        <v>0</v>
      </c>
      <c r="AH142" s="205">
        <f t="shared" si="151"/>
        <v>0</v>
      </c>
      <c r="AI142" s="202"/>
      <c r="AJ142" s="202"/>
      <c r="AK142" s="202">
        <f t="shared" si="149"/>
        <v>0</v>
      </c>
      <c r="AL142" s="202"/>
      <c r="AM142" s="202"/>
      <c r="AN142" s="206">
        <f t="shared" si="72"/>
        <v>0</v>
      </c>
      <c r="AO142" s="207"/>
      <c r="AP142" s="207"/>
      <c r="AT142" s="209"/>
      <c r="AU142" s="209"/>
      <c r="AV142" s="210"/>
      <c r="AW142" s="210"/>
      <c r="AX142" s="211"/>
    </row>
    <row r="143" spans="1:50" s="356" customFormat="1">
      <c r="A143" s="354">
        <v>6</v>
      </c>
      <c r="B143" s="345" t="s">
        <v>214</v>
      </c>
      <c r="C143" s="346">
        <f t="shared" si="152"/>
        <v>3700000</v>
      </c>
      <c r="D143" s="347">
        <f t="shared" si="153"/>
        <v>0</v>
      </c>
      <c r="E143" s="347">
        <f t="shared" si="90"/>
        <v>0</v>
      </c>
      <c r="F143" s="347">
        <f t="shared" si="90"/>
        <v>0</v>
      </c>
      <c r="G143" s="340"/>
      <c r="H143" s="340"/>
      <c r="I143" s="340"/>
      <c r="J143" s="340"/>
      <c r="K143" s="340"/>
      <c r="L143" s="340"/>
      <c r="M143" s="340">
        <f t="shared" si="144"/>
        <v>0</v>
      </c>
      <c r="N143" s="340">
        <f t="shared" si="145"/>
        <v>0</v>
      </c>
      <c r="O143" s="340">
        <f t="shared" si="145"/>
        <v>0</v>
      </c>
      <c r="P143" s="340"/>
      <c r="Q143" s="340"/>
      <c r="R143" s="340"/>
      <c r="S143" s="340"/>
      <c r="T143" s="340"/>
      <c r="U143" s="340"/>
      <c r="V143" s="340">
        <f t="shared" si="146"/>
        <v>3700000</v>
      </c>
      <c r="W143" s="340"/>
      <c r="X143" s="342">
        <f t="shared" si="154"/>
        <v>3700000</v>
      </c>
      <c r="Y143" s="342">
        <f t="shared" si="147"/>
        <v>3500000</v>
      </c>
      <c r="Z143" s="342">
        <f t="shared" si="147"/>
        <v>200000</v>
      </c>
      <c r="AA143" s="340">
        <v>3500000</v>
      </c>
      <c r="AB143" s="340">
        <v>200000</v>
      </c>
      <c r="AC143" s="340"/>
      <c r="AD143" s="340"/>
      <c r="AE143" s="340"/>
      <c r="AF143" s="340"/>
      <c r="AG143" s="343">
        <f t="shared" si="150"/>
        <v>3700000</v>
      </c>
      <c r="AH143" s="343">
        <f t="shared" si="151"/>
        <v>0</v>
      </c>
      <c r="AI143" s="340"/>
      <c r="AJ143" s="340"/>
      <c r="AK143" s="340">
        <f t="shared" si="149"/>
        <v>3700000</v>
      </c>
      <c r="AL143" s="340">
        <v>3500000</v>
      </c>
      <c r="AM143" s="340">
        <v>200000</v>
      </c>
      <c r="AN143" s="348">
        <f t="shared" ref="AN143:AN191" si="155">+AG143/C143*100</f>
        <v>100</v>
      </c>
      <c r="AO143" s="355"/>
      <c r="AP143" s="355"/>
      <c r="AT143" s="212"/>
      <c r="AU143" s="212"/>
      <c r="AV143" s="357"/>
      <c r="AW143" s="357"/>
      <c r="AX143" s="358"/>
    </row>
    <row r="144" spans="1:50" s="208" customFormat="1">
      <c r="A144" s="198">
        <v>7</v>
      </c>
      <c r="B144" s="236" t="s">
        <v>206</v>
      </c>
      <c r="C144" s="200">
        <f t="shared" si="152"/>
        <v>18700000</v>
      </c>
      <c r="D144" s="201">
        <f t="shared" si="153"/>
        <v>0</v>
      </c>
      <c r="E144" s="201">
        <f t="shared" si="90"/>
        <v>0</v>
      </c>
      <c r="F144" s="201">
        <f t="shared" si="90"/>
        <v>0</v>
      </c>
      <c r="G144" s="202"/>
      <c r="H144" s="202"/>
      <c r="I144" s="202"/>
      <c r="J144" s="202"/>
      <c r="K144" s="202"/>
      <c r="L144" s="202"/>
      <c r="M144" s="202">
        <f t="shared" si="144"/>
        <v>15000000</v>
      </c>
      <c r="N144" s="202">
        <f t="shared" si="145"/>
        <v>15000000</v>
      </c>
      <c r="O144" s="202">
        <f t="shared" si="145"/>
        <v>0</v>
      </c>
      <c r="P144" s="202"/>
      <c r="Q144" s="202"/>
      <c r="R144" s="202">
        <v>15000000</v>
      </c>
      <c r="S144" s="202"/>
      <c r="T144" s="202"/>
      <c r="U144" s="202"/>
      <c r="V144" s="202">
        <f t="shared" si="146"/>
        <v>3700000</v>
      </c>
      <c r="W144" s="202"/>
      <c r="X144" s="204">
        <f t="shared" si="154"/>
        <v>3700000</v>
      </c>
      <c r="Y144" s="204">
        <f t="shared" si="147"/>
        <v>3500000</v>
      </c>
      <c r="Z144" s="204">
        <f t="shared" si="147"/>
        <v>200000</v>
      </c>
      <c r="AA144" s="202">
        <v>3500000</v>
      </c>
      <c r="AB144" s="202">
        <v>200000</v>
      </c>
      <c r="AC144" s="202"/>
      <c r="AD144" s="202"/>
      <c r="AE144" s="202"/>
      <c r="AF144" s="202"/>
      <c r="AG144" s="343">
        <f t="shared" si="150"/>
        <v>11999900</v>
      </c>
      <c r="AH144" s="343">
        <f t="shared" si="151"/>
        <v>11999900</v>
      </c>
      <c r="AI144" s="340">
        <v>11999900</v>
      </c>
      <c r="AJ144" s="340"/>
      <c r="AK144" s="202">
        <f t="shared" si="149"/>
        <v>0</v>
      </c>
      <c r="AL144" s="202"/>
      <c r="AM144" s="202"/>
      <c r="AN144" s="206">
        <f t="shared" si="155"/>
        <v>64.170588235294119</v>
      </c>
      <c r="AO144" s="207"/>
      <c r="AP144" s="207"/>
      <c r="AT144" s="209"/>
      <c r="AU144" s="209"/>
      <c r="AV144" s="210"/>
      <c r="AW144" s="210"/>
      <c r="AX144" s="211"/>
    </row>
    <row r="145" spans="1:50" s="356" customFormat="1">
      <c r="A145" s="354">
        <v>8</v>
      </c>
      <c r="B145" s="345" t="s">
        <v>199</v>
      </c>
      <c r="C145" s="346">
        <f t="shared" si="152"/>
        <v>40460284</v>
      </c>
      <c r="D145" s="347">
        <f t="shared" si="153"/>
        <v>0</v>
      </c>
      <c r="E145" s="347">
        <f t="shared" si="90"/>
        <v>0</v>
      </c>
      <c r="F145" s="347">
        <f t="shared" si="90"/>
        <v>0</v>
      </c>
      <c r="G145" s="340"/>
      <c r="H145" s="340"/>
      <c r="I145" s="340"/>
      <c r="J145" s="340"/>
      <c r="K145" s="340"/>
      <c r="L145" s="340"/>
      <c r="M145" s="340">
        <f t="shared" si="144"/>
        <v>36760284</v>
      </c>
      <c r="N145" s="340">
        <f t="shared" si="145"/>
        <v>36760284</v>
      </c>
      <c r="O145" s="340">
        <f t="shared" si="145"/>
        <v>0</v>
      </c>
      <c r="P145" s="340"/>
      <c r="Q145" s="340"/>
      <c r="R145" s="340">
        <v>36760284</v>
      </c>
      <c r="S145" s="340"/>
      <c r="T145" s="340"/>
      <c r="U145" s="340"/>
      <c r="V145" s="340">
        <f t="shared" si="146"/>
        <v>3700000</v>
      </c>
      <c r="W145" s="340"/>
      <c r="X145" s="342">
        <f t="shared" si="154"/>
        <v>3700000</v>
      </c>
      <c r="Y145" s="342">
        <f t="shared" si="147"/>
        <v>3500000</v>
      </c>
      <c r="Z145" s="342">
        <f t="shared" si="147"/>
        <v>200000</v>
      </c>
      <c r="AA145" s="340">
        <v>3500000</v>
      </c>
      <c r="AB145" s="340">
        <v>200000</v>
      </c>
      <c r="AC145" s="340"/>
      <c r="AD145" s="340"/>
      <c r="AE145" s="340"/>
      <c r="AF145" s="340"/>
      <c r="AG145" s="343">
        <f t="shared" si="150"/>
        <v>3694700</v>
      </c>
      <c r="AH145" s="343">
        <f t="shared" si="151"/>
        <v>0</v>
      </c>
      <c r="AI145" s="340"/>
      <c r="AJ145" s="340"/>
      <c r="AK145" s="340">
        <f t="shared" si="149"/>
        <v>3694700</v>
      </c>
      <c r="AL145" s="340">
        <v>3494700</v>
      </c>
      <c r="AM145" s="340">
        <v>200000</v>
      </c>
      <c r="AN145" s="348">
        <f t="shared" si="155"/>
        <v>9.1316709492202275</v>
      </c>
      <c r="AO145" s="355"/>
      <c r="AP145" s="355"/>
      <c r="AT145" s="212"/>
      <c r="AU145" s="212"/>
      <c r="AV145" s="357"/>
      <c r="AW145" s="357"/>
      <c r="AX145" s="358"/>
    </row>
    <row r="146" spans="1:50" s="356" customFormat="1">
      <c r="A146" s="354">
        <v>9</v>
      </c>
      <c r="B146" s="345" t="s">
        <v>207</v>
      </c>
      <c r="C146" s="346">
        <f t="shared" si="152"/>
        <v>17721330</v>
      </c>
      <c r="D146" s="347">
        <f t="shared" si="153"/>
        <v>0</v>
      </c>
      <c r="E146" s="347">
        <f t="shared" si="90"/>
        <v>0</v>
      </c>
      <c r="F146" s="347">
        <f t="shared" si="90"/>
        <v>0</v>
      </c>
      <c r="G146" s="340"/>
      <c r="H146" s="340"/>
      <c r="I146" s="340"/>
      <c r="J146" s="340"/>
      <c r="K146" s="340"/>
      <c r="L146" s="340"/>
      <c r="M146" s="340">
        <f t="shared" si="144"/>
        <v>14021330</v>
      </c>
      <c r="N146" s="340">
        <f t="shared" si="145"/>
        <v>13767330</v>
      </c>
      <c r="O146" s="340">
        <f t="shared" si="145"/>
        <v>254000</v>
      </c>
      <c r="P146" s="340"/>
      <c r="Q146" s="340"/>
      <c r="R146" s="340">
        <v>13767330</v>
      </c>
      <c r="S146" s="340">
        <v>254000</v>
      </c>
      <c r="T146" s="340"/>
      <c r="U146" s="340"/>
      <c r="V146" s="340">
        <f t="shared" si="146"/>
        <v>3700000</v>
      </c>
      <c r="W146" s="340"/>
      <c r="X146" s="342">
        <f t="shared" si="154"/>
        <v>3700000</v>
      </c>
      <c r="Y146" s="342">
        <f t="shared" si="147"/>
        <v>3500000</v>
      </c>
      <c r="Z146" s="342">
        <f t="shared" si="147"/>
        <v>200000</v>
      </c>
      <c r="AA146" s="340">
        <v>3500000</v>
      </c>
      <c r="AB146" s="340">
        <v>200000</v>
      </c>
      <c r="AC146" s="340"/>
      <c r="AD146" s="340"/>
      <c r="AE146" s="340"/>
      <c r="AF146" s="340"/>
      <c r="AG146" s="343">
        <f t="shared" si="150"/>
        <v>3544640</v>
      </c>
      <c r="AH146" s="343">
        <f t="shared" si="151"/>
        <v>0</v>
      </c>
      <c r="AI146" s="340"/>
      <c r="AJ146" s="340"/>
      <c r="AK146" s="340">
        <f t="shared" si="149"/>
        <v>3544640</v>
      </c>
      <c r="AL146" s="340">
        <v>3344640</v>
      </c>
      <c r="AM146" s="340">
        <v>200000</v>
      </c>
      <c r="AN146" s="348">
        <f t="shared" si="155"/>
        <v>20.002110451077883</v>
      </c>
      <c r="AO146" s="355"/>
      <c r="AP146" s="355"/>
      <c r="AT146" s="212"/>
      <c r="AU146" s="212"/>
      <c r="AV146" s="357"/>
      <c r="AW146" s="357"/>
      <c r="AX146" s="358"/>
    </row>
    <row r="147" spans="1:50" s="208" customFormat="1">
      <c r="A147" s="198">
        <v>10</v>
      </c>
      <c r="B147" s="236" t="s">
        <v>200</v>
      </c>
      <c r="C147" s="200">
        <f t="shared" si="152"/>
        <v>3700000</v>
      </c>
      <c r="D147" s="201">
        <f t="shared" si="153"/>
        <v>0</v>
      </c>
      <c r="E147" s="201">
        <f t="shared" si="90"/>
        <v>0</v>
      </c>
      <c r="F147" s="201">
        <f t="shared" si="90"/>
        <v>0</v>
      </c>
      <c r="G147" s="202"/>
      <c r="H147" s="202"/>
      <c r="I147" s="202"/>
      <c r="J147" s="202"/>
      <c r="K147" s="202"/>
      <c r="L147" s="202"/>
      <c r="M147" s="202">
        <f t="shared" si="144"/>
        <v>0</v>
      </c>
      <c r="N147" s="202">
        <f t="shared" si="145"/>
        <v>0</v>
      </c>
      <c r="O147" s="202">
        <f t="shared" si="145"/>
        <v>0</v>
      </c>
      <c r="P147" s="202"/>
      <c r="Q147" s="202"/>
      <c r="R147" s="202"/>
      <c r="S147" s="202"/>
      <c r="T147" s="202"/>
      <c r="U147" s="202"/>
      <c r="V147" s="202">
        <f t="shared" si="146"/>
        <v>3700000</v>
      </c>
      <c r="W147" s="202"/>
      <c r="X147" s="204">
        <f t="shared" si="154"/>
        <v>3700000</v>
      </c>
      <c r="Y147" s="204">
        <f t="shared" si="147"/>
        <v>3500000</v>
      </c>
      <c r="Z147" s="204">
        <f t="shared" si="147"/>
        <v>200000</v>
      </c>
      <c r="AA147" s="202">
        <v>3500000</v>
      </c>
      <c r="AB147" s="202">
        <v>200000</v>
      </c>
      <c r="AC147" s="202"/>
      <c r="AD147" s="202"/>
      <c r="AE147" s="202"/>
      <c r="AF147" s="202"/>
      <c r="AG147" s="343">
        <f t="shared" si="150"/>
        <v>0</v>
      </c>
      <c r="AH147" s="205">
        <f t="shared" si="151"/>
        <v>0</v>
      </c>
      <c r="AI147" s="202"/>
      <c r="AJ147" s="202"/>
      <c r="AK147" s="202">
        <f t="shared" si="149"/>
        <v>0</v>
      </c>
      <c r="AL147" s="202"/>
      <c r="AM147" s="202"/>
      <c r="AN147" s="206">
        <f t="shared" si="155"/>
        <v>0</v>
      </c>
      <c r="AO147" s="207"/>
      <c r="AP147" s="207"/>
      <c r="AT147" s="209"/>
      <c r="AU147" s="209"/>
      <c r="AV147" s="210"/>
      <c r="AW147" s="210"/>
      <c r="AX147" s="211"/>
    </row>
    <row r="148" spans="1:50" s="356" customFormat="1">
      <c r="A148" s="354">
        <v>11</v>
      </c>
      <c r="B148" s="345" t="s">
        <v>201</v>
      </c>
      <c r="C148" s="346">
        <f t="shared" si="152"/>
        <v>3700000</v>
      </c>
      <c r="D148" s="347">
        <f t="shared" si="153"/>
        <v>0</v>
      </c>
      <c r="E148" s="347">
        <f t="shared" si="90"/>
        <v>0</v>
      </c>
      <c r="F148" s="347">
        <f t="shared" si="90"/>
        <v>0</v>
      </c>
      <c r="G148" s="340"/>
      <c r="H148" s="340"/>
      <c r="I148" s="340"/>
      <c r="J148" s="340"/>
      <c r="K148" s="340"/>
      <c r="L148" s="340"/>
      <c r="M148" s="340">
        <f t="shared" si="144"/>
        <v>0</v>
      </c>
      <c r="N148" s="340">
        <f t="shared" si="145"/>
        <v>0</v>
      </c>
      <c r="O148" s="340">
        <f t="shared" si="145"/>
        <v>0</v>
      </c>
      <c r="P148" s="340"/>
      <c r="Q148" s="340"/>
      <c r="R148" s="340"/>
      <c r="S148" s="340"/>
      <c r="T148" s="340"/>
      <c r="U148" s="340"/>
      <c r="V148" s="340">
        <f t="shared" si="146"/>
        <v>3700000</v>
      </c>
      <c r="W148" s="340"/>
      <c r="X148" s="342">
        <f t="shared" si="154"/>
        <v>3700000</v>
      </c>
      <c r="Y148" s="342">
        <f t="shared" si="147"/>
        <v>3500000</v>
      </c>
      <c r="Z148" s="342">
        <f t="shared" si="147"/>
        <v>200000</v>
      </c>
      <c r="AA148" s="340">
        <v>3500000</v>
      </c>
      <c r="AB148" s="340">
        <v>200000</v>
      </c>
      <c r="AC148" s="340"/>
      <c r="AD148" s="340"/>
      <c r="AE148" s="340"/>
      <c r="AF148" s="340"/>
      <c r="AG148" s="343">
        <f t="shared" si="150"/>
        <v>3700000</v>
      </c>
      <c r="AH148" s="343">
        <f t="shared" si="151"/>
        <v>0</v>
      </c>
      <c r="AI148" s="340"/>
      <c r="AJ148" s="340"/>
      <c r="AK148" s="340">
        <f t="shared" si="149"/>
        <v>3700000</v>
      </c>
      <c r="AL148" s="340">
        <v>3500000</v>
      </c>
      <c r="AM148" s="340">
        <v>200000</v>
      </c>
      <c r="AN148" s="348">
        <f t="shared" si="155"/>
        <v>100</v>
      </c>
      <c r="AO148" s="355"/>
      <c r="AP148" s="355"/>
      <c r="AT148" s="212"/>
      <c r="AU148" s="212"/>
      <c r="AV148" s="357"/>
      <c r="AW148" s="357"/>
      <c r="AX148" s="358"/>
    </row>
    <row r="149" spans="1:50" s="356" customFormat="1">
      <c r="A149" s="354">
        <v>12</v>
      </c>
      <c r="B149" s="345" t="s">
        <v>216</v>
      </c>
      <c r="C149" s="346">
        <f t="shared" si="152"/>
        <v>23700000</v>
      </c>
      <c r="D149" s="347">
        <f t="shared" si="153"/>
        <v>0</v>
      </c>
      <c r="E149" s="347">
        <f t="shared" si="90"/>
        <v>0</v>
      </c>
      <c r="F149" s="347">
        <f t="shared" si="90"/>
        <v>0</v>
      </c>
      <c r="G149" s="340"/>
      <c r="H149" s="340"/>
      <c r="I149" s="340"/>
      <c r="J149" s="340"/>
      <c r="K149" s="340"/>
      <c r="L149" s="340"/>
      <c r="M149" s="340">
        <f t="shared" si="144"/>
        <v>20000000</v>
      </c>
      <c r="N149" s="340">
        <f t="shared" si="145"/>
        <v>20000000</v>
      </c>
      <c r="O149" s="340">
        <f t="shared" si="145"/>
        <v>0</v>
      </c>
      <c r="P149" s="340"/>
      <c r="Q149" s="340"/>
      <c r="R149" s="340">
        <v>20000000</v>
      </c>
      <c r="S149" s="340"/>
      <c r="T149" s="340"/>
      <c r="U149" s="340"/>
      <c r="V149" s="340">
        <f t="shared" si="146"/>
        <v>3700000</v>
      </c>
      <c r="W149" s="340"/>
      <c r="X149" s="342">
        <f t="shared" si="154"/>
        <v>3700000</v>
      </c>
      <c r="Y149" s="342">
        <f t="shared" si="147"/>
        <v>3500000</v>
      </c>
      <c r="Z149" s="342">
        <f t="shared" si="147"/>
        <v>200000</v>
      </c>
      <c r="AA149" s="340">
        <v>3500000</v>
      </c>
      <c r="AB149" s="340">
        <v>200000</v>
      </c>
      <c r="AC149" s="340"/>
      <c r="AD149" s="340"/>
      <c r="AE149" s="340"/>
      <c r="AF149" s="340"/>
      <c r="AG149" s="343">
        <f t="shared" si="150"/>
        <v>3700000</v>
      </c>
      <c r="AH149" s="343">
        <f t="shared" si="151"/>
        <v>0</v>
      </c>
      <c r="AI149" s="340"/>
      <c r="AJ149" s="340"/>
      <c r="AK149" s="340">
        <f t="shared" si="149"/>
        <v>3700000</v>
      </c>
      <c r="AL149" s="340">
        <v>3500000</v>
      </c>
      <c r="AM149" s="340">
        <v>200000</v>
      </c>
      <c r="AN149" s="348">
        <f t="shared" si="155"/>
        <v>15.611814345991561</v>
      </c>
      <c r="AO149" s="355"/>
      <c r="AP149" s="355"/>
      <c r="AT149" s="212"/>
      <c r="AU149" s="212"/>
      <c r="AV149" s="357"/>
      <c r="AW149" s="357"/>
      <c r="AX149" s="358"/>
    </row>
    <row r="150" spans="1:50" s="208" customFormat="1">
      <c r="A150" s="198">
        <v>13</v>
      </c>
      <c r="B150" s="236" t="s">
        <v>203</v>
      </c>
      <c r="C150" s="200">
        <f t="shared" si="152"/>
        <v>3700000</v>
      </c>
      <c r="D150" s="201">
        <f t="shared" si="153"/>
        <v>0</v>
      </c>
      <c r="E150" s="201">
        <f t="shared" si="90"/>
        <v>0</v>
      </c>
      <c r="F150" s="201">
        <f t="shared" si="90"/>
        <v>0</v>
      </c>
      <c r="G150" s="202"/>
      <c r="H150" s="202"/>
      <c r="I150" s="202"/>
      <c r="J150" s="202"/>
      <c r="K150" s="202"/>
      <c r="L150" s="202"/>
      <c r="M150" s="202">
        <f t="shared" si="144"/>
        <v>0</v>
      </c>
      <c r="N150" s="202">
        <f t="shared" si="145"/>
        <v>0</v>
      </c>
      <c r="O150" s="202">
        <f t="shared" si="145"/>
        <v>0</v>
      </c>
      <c r="P150" s="202"/>
      <c r="Q150" s="202"/>
      <c r="R150" s="202"/>
      <c r="S150" s="202"/>
      <c r="T150" s="202"/>
      <c r="U150" s="202"/>
      <c r="V150" s="202">
        <f t="shared" si="146"/>
        <v>3700000</v>
      </c>
      <c r="W150" s="202"/>
      <c r="X150" s="204">
        <f t="shared" si="154"/>
        <v>3700000</v>
      </c>
      <c r="Y150" s="204">
        <f t="shared" si="147"/>
        <v>3500000</v>
      </c>
      <c r="Z150" s="204">
        <f t="shared" si="147"/>
        <v>200000</v>
      </c>
      <c r="AA150" s="202">
        <v>3500000</v>
      </c>
      <c r="AB150" s="202">
        <v>200000</v>
      </c>
      <c r="AC150" s="202"/>
      <c r="AD150" s="202"/>
      <c r="AE150" s="202"/>
      <c r="AF150" s="202"/>
      <c r="AG150" s="343">
        <f t="shared" si="150"/>
        <v>0</v>
      </c>
      <c r="AH150" s="205">
        <f t="shared" si="151"/>
        <v>0</v>
      </c>
      <c r="AI150" s="202"/>
      <c r="AJ150" s="202"/>
      <c r="AK150" s="202">
        <f t="shared" si="149"/>
        <v>0</v>
      </c>
      <c r="AL150" s="202"/>
      <c r="AM150" s="202"/>
      <c r="AN150" s="206">
        <f t="shared" si="155"/>
        <v>0</v>
      </c>
      <c r="AO150" s="207"/>
      <c r="AP150" s="207"/>
      <c r="AT150" s="209"/>
      <c r="AU150" s="209"/>
      <c r="AV150" s="210"/>
      <c r="AW150" s="210"/>
      <c r="AX150" s="211"/>
    </row>
    <row r="151" spans="1:50" s="208" customFormat="1">
      <c r="A151" s="198">
        <v>14</v>
      </c>
      <c r="B151" s="236" t="s">
        <v>208</v>
      </c>
      <c r="C151" s="200">
        <f t="shared" si="152"/>
        <v>3700000</v>
      </c>
      <c r="D151" s="201">
        <f t="shared" si="153"/>
        <v>0</v>
      </c>
      <c r="E151" s="201">
        <f t="shared" si="90"/>
        <v>0</v>
      </c>
      <c r="F151" s="201">
        <f t="shared" si="90"/>
        <v>0</v>
      </c>
      <c r="G151" s="202"/>
      <c r="H151" s="202"/>
      <c r="I151" s="202"/>
      <c r="J151" s="202"/>
      <c r="K151" s="202"/>
      <c r="L151" s="202"/>
      <c r="M151" s="202">
        <f t="shared" si="144"/>
        <v>0</v>
      </c>
      <c r="N151" s="202">
        <f t="shared" si="145"/>
        <v>0</v>
      </c>
      <c r="O151" s="202">
        <f t="shared" si="145"/>
        <v>0</v>
      </c>
      <c r="P151" s="202"/>
      <c r="Q151" s="202"/>
      <c r="R151" s="202"/>
      <c r="S151" s="202"/>
      <c r="T151" s="202"/>
      <c r="U151" s="202"/>
      <c r="V151" s="202">
        <f t="shared" si="146"/>
        <v>3700000</v>
      </c>
      <c r="W151" s="202"/>
      <c r="X151" s="204">
        <f t="shared" si="154"/>
        <v>3700000</v>
      </c>
      <c r="Y151" s="204">
        <f t="shared" si="147"/>
        <v>3500000</v>
      </c>
      <c r="Z151" s="204">
        <f t="shared" si="147"/>
        <v>200000</v>
      </c>
      <c r="AA151" s="202">
        <v>3500000</v>
      </c>
      <c r="AB151" s="202">
        <v>200000</v>
      </c>
      <c r="AC151" s="202"/>
      <c r="AD151" s="202"/>
      <c r="AE151" s="202"/>
      <c r="AF151" s="202"/>
      <c r="AG151" s="343">
        <f t="shared" si="150"/>
        <v>0</v>
      </c>
      <c r="AH151" s="205">
        <f t="shared" si="151"/>
        <v>0</v>
      </c>
      <c r="AI151" s="202"/>
      <c r="AJ151" s="202"/>
      <c r="AK151" s="202">
        <f t="shared" si="149"/>
        <v>0</v>
      </c>
      <c r="AL151" s="202"/>
      <c r="AM151" s="202"/>
      <c r="AN151" s="206">
        <f t="shared" si="155"/>
        <v>0</v>
      </c>
      <c r="AO151" s="207"/>
      <c r="AP151" s="207"/>
      <c r="AT151" s="209"/>
      <c r="AU151" s="209"/>
      <c r="AV151" s="210"/>
      <c r="AW151" s="210"/>
      <c r="AX151" s="211"/>
    </row>
    <row r="152" spans="1:50" s="356" customFormat="1">
      <c r="A152" s="354">
        <v>15</v>
      </c>
      <c r="B152" s="345" t="s">
        <v>204</v>
      </c>
      <c r="C152" s="346">
        <f t="shared" si="152"/>
        <v>1800000</v>
      </c>
      <c r="D152" s="347">
        <f t="shared" si="153"/>
        <v>0</v>
      </c>
      <c r="E152" s="347">
        <f t="shared" si="90"/>
        <v>0</v>
      </c>
      <c r="F152" s="347">
        <f t="shared" si="90"/>
        <v>0</v>
      </c>
      <c r="G152" s="340"/>
      <c r="H152" s="340"/>
      <c r="I152" s="340"/>
      <c r="J152" s="340"/>
      <c r="K152" s="340"/>
      <c r="L152" s="340"/>
      <c r="M152" s="340">
        <f t="shared" si="144"/>
        <v>0</v>
      </c>
      <c r="N152" s="340">
        <f t="shared" si="145"/>
        <v>0</v>
      </c>
      <c r="O152" s="340">
        <f t="shared" si="145"/>
        <v>0</v>
      </c>
      <c r="P152" s="340"/>
      <c r="Q152" s="340"/>
      <c r="R152" s="340"/>
      <c r="S152" s="340"/>
      <c r="T152" s="340"/>
      <c r="U152" s="340"/>
      <c r="V152" s="340">
        <f t="shared" si="146"/>
        <v>1800000</v>
      </c>
      <c r="W152" s="340"/>
      <c r="X152" s="342">
        <f t="shared" si="154"/>
        <v>1800000</v>
      </c>
      <c r="Y152" s="342">
        <f t="shared" si="147"/>
        <v>1700000</v>
      </c>
      <c r="Z152" s="342">
        <f t="shared" si="147"/>
        <v>100000</v>
      </c>
      <c r="AA152" s="340">
        <v>1700000</v>
      </c>
      <c r="AB152" s="340">
        <v>100000</v>
      </c>
      <c r="AC152" s="340"/>
      <c r="AD152" s="340"/>
      <c r="AE152" s="340"/>
      <c r="AF152" s="340"/>
      <c r="AG152" s="343">
        <f t="shared" si="150"/>
        <v>1800000</v>
      </c>
      <c r="AH152" s="343">
        <f t="shared" si="151"/>
        <v>0</v>
      </c>
      <c r="AI152" s="340"/>
      <c r="AJ152" s="340"/>
      <c r="AK152" s="340">
        <f t="shared" si="149"/>
        <v>1800000</v>
      </c>
      <c r="AL152" s="340">
        <v>1700000</v>
      </c>
      <c r="AM152" s="340">
        <v>100000</v>
      </c>
      <c r="AN152" s="348">
        <f t="shared" si="155"/>
        <v>100</v>
      </c>
      <c r="AO152" s="355"/>
      <c r="AP152" s="355"/>
      <c r="AT152" s="212"/>
      <c r="AU152" s="212"/>
      <c r="AV152" s="357"/>
      <c r="AW152" s="357"/>
      <c r="AX152" s="358"/>
    </row>
    <row r="153" spans="1:50" s="208" customFormat="1">
      <c r="A153" s="198">
        <v>16</v>
      </c>
      <c r="B153" s="236" t="s">
        <v>212</v>
      </c>
      <c r="C153" s="200">
        <f t="shared" si="152"/>
        <v>6200000</v>
      </c>
      <c r="D153" s="201">
        <f t="shared" si="153"/>
        <v>0</v>
      </c>
      <c r="E153" s="201">
        <f t="shared" si="90"/>
        <v>0</v>
      </c>
      <c r="F153" s="201">
        <f t="shared" si="90"/>
        <v>0</v>
      </c>
      <c r="G153" s="202"/>
      <c r="H153" s="202"/>
      <c r="I153" s="202"/>
      <c r="J153" s="202"/>
      <c r="K153" s="202"/>
      <c r="L153" s="202"/>
      <c r="M153" s="202">
        <f t="shared" si="144"/>
        <v>0</v>
      </c>
      <c r="N153" s="202">
        <f t="shared" si="145"/>
        <v>0</v>
      </c>
      <c r="O153" s="202">
        <f t="shared" si="145"/>
        <v>0</v>
      </c>
      <c r="P153" s="202"/>
      <c r="Q153" s="202"/>
      <c r="R153" s="202"/>
      <c r="S153" s="202"/>
      <c r="T153" s="202"/>
      <c r="U153" s="202"/>
      <c r="V153" s="202">
        <f t="shared" si="146"/>
        <v>6200000</v>
      </c>
      <c r="W153" s="202"/>
      <c r="X153" s="204">
        <f t="shared" si="154"/>
        <v>6200000</v>
      </c>
      <c r="Y153" s="204">
        <f t="shared" si="147"/>
        <v>6000000</v>
      </c>
      <c r="Z153" s="204">
        <f t="shared" si="147"/>
        <v>200000</v>
      </c>
      <c r="AA153" s="202">
        <v>6000000</v>
      </c>
      <c r="AB153" s="202">
        <v>200000</v>
      </c>
      <c r="AC153" s="202"/>
      <c r="AD153" s="202"/>
      <c r="AE153" s="202"/>
      <c r="AF153" s="202"/>
      <c r="AG153" s="343">
        <f t="shared" si="150"/>
        <v>0</v>
      </c>
      <c r="AH153" s="205">
        <f t="shared" si="151"/>
        <v>0</v>
      </c>
      <c r="AI153" s="202"/>
      <c r="AJ153" s="202"/>
      <c r="AK153" s="202">
        <f t="shared" si="149"/>
        <v>0</v>
      </c>
      <c r="AL153" s="202"/>
      <c r="AM153" s="202"/>
      <c r="AN153" s="206">
        <f t="shared" si="155"/>
        <v>0</v>
      </c>
      <c r="AO153" s="207"/>
      <c r="AP153" s="207"/>
      <c r="AT153" s="209"/>
      <c r="AU153" s="209"/>
      <c r="AV153" s="210"/>
      <c r="AW153" s="210"/>
      <c r="AX153" s="211"/>
    </row>
    <row r="154" spans="1:50" s="356" customFormat="1">
      <c r="A154" s="354">
        <v>17</v>
      </c>
      <c r="B154" s="345" t="s">
        <v>211</v>
      </c>
      <c r="C154" s="346">
        <f t="shared" si="152"/>
        <v>6100000</v>
      </c>
      <c r="D154" s="347">
        <f t="shared" si="153"/>
        <v>0</v>
      </c>
      <c r="E154" s="347">
        <f t="shared" si="90"/>
        <v>0</v>
      </c>
      <c r="F154" s="347">
        <f t="shared" si="90"/>
        <v>0</v>
      </c>
      <c r="G154" s="340"/>
      <c r="H154" s="340"/>
      <c r="I154" s="340"/>
      <c r="J154" s="340"/>
      <c r="K154" s="340"/>
      <c r="L154" s="340"/>
      <c r="M154" s="340">
        <f t="shared" si="144"/>
        <v>0</v>
      </c>
      <c r="N154" s="340">
        <f t="shared" ref="N154:O156" si="156">+P154+R154-T154</f>
        <v>0</v>
      </c>
      <c r="O154" s="340">
        <f t="shared" si="156"/>
        <v>0</v>
      </c>
      <c r="P154" s="340"/>
      <c r="Q154" s="340"/>
      <c r="R154" s="340"/>
      <c r="S154" s="340"/>
      <c r="T154" s="340"/>
      <c r="U154" s="340"/>
      <c r="V154" s="340">
        <f t="shared" si="146"/>
        <v>6100000</v>
      </c>
      <c r="W154" s="340"/>
      <c r="X154" s="342">
        <f t="shared" si="154"/>
        <v>6100000</v>
      </c>
      <c r="Y154" s="342">
        <f t="shared" ref="Y154:Z156" si="157">+AA154+AC154-AE154</f>
        <v>5900000</v>
      </c>
      <c r="Z154" s="342">
        <f t="shared" si="157"/>
        <v>200000</v>
      </c>
      <c r="AA154" s="340">
        <v>5900000</v>
      </c>
      <c r="AB154" s="340">
        <v>200000</v>
      </c>
      <c r="AC154" s="340"/>
      <c r="AD154" s="340"/>
      <c r="AE154" s="340"/>
      <c r="AF154" s="340"/>
      <c r="AG154" s="343">
        <f t="shared" si="150"/>
        <v>6087400</v>
      </c>
      <c r="AH154" s="343">
        <f t="shared" si="151"/>
        <v>0</v>
      </c>
      <c r="AI154" s="340"/>
      <c r="AJ154" s="340"/>
      <c r="AK154" s="340">
        <f t="shared" si="149"/>
        <v>6087400</v>
      </c>
      <c r="AL154" s="340">
        <v>5888600</v>
      </c>
      <c r="AM154" s="340">
        <v>198800</v>
      </c>
      <c r="AN154" s="348">
        <f t="shared" si="155"/>
        <v>99.79344262295082</v>
      </c>
      <c r="AO154" s="355"/>
      <c r="AP154" s="355"/>
      <c r="AT154" s="212"/>
      <c r="AU154" s="212"/>
      <c r="AV154" s="357"/>
      <c r="AW154" s="357"/>
      <c r="AX154" s="358"/>
    </row>
    <row r="155" spans="1:50" s="208" customFormat="1">
      <c r="A155" s="198">
        <v>18</v>
      </c>
      <c r="B155" s="236" t="s">
        <v>209</v>
      </c>
      <c r="C155" s="200">
        <f t="shared" si="152"/>
        <v>3700000</v>
      </c>
      <c r="D155" s="201">
        <f t="shared" si="153"/>
        <v>0</v>
      </c>
      <c r="E155" s="201">
        <f t="shared" si="90"/>
        <v>0</v>
      </c>
      <c r="F155" s="201">
        <f t="shared" si="90"/>
        <v>0</v>
      </c>
      <c r="G155" s="202"/>
      <c r="H155" s="202"/>
      <c r="I155" s="202"/>
      <c r="J155" s="202"/>
      <c r="K155" s="202"/>
      <c r="L155" s="202"/>
      <c r="M155" s="202">
        <f t="shared" si="144"/>
        <v>0</v>
      </c>
      <c r="N155" s="202">
        <f t="shared" si="156"/>
        <v>0</v>
      </c>
      <c r="O155" s="202">
        <f t="shared" si="156"/>
        <v>0</v>
      </c>
      <c r="P155" s="202"/>
      <c r="Q155" s="202"/>
      <c r="R155" s="202"/>
      <c r="S155" s="202"/>
      <c r="T155" s="202"/>
      <c r="U155" s="202"/>
      <c r="V155" s="202">
        <f t="shared" si="146"/>
        <v>3700000</v>
      </c>
      <c r="W155" s="202"/>
      <c r="X155" s="204">
        <f t="shared" si="154"/>
        <v>3700000</v>
      </c>
      <c r="Y155" s="204">
        <f t="shared" si="157"/>
        <v>3500000</v>
      </c>
      <c r="Z155" s="204">
        <f t="shared" si="157"/>
        <v>200000</v>
      </c>
      <c r="AA155" s="202">
        <v>3500000</v>
      </c>
      <c r="AB155" s="202">
        <v>200000</v>
      </c>
      <c r="AC155" s="202"/>
      <c r="AD155" s="202"/>
      <c r="AE155" s="202"/>
      <c r="AF155" s="202"/>
      <c r="AG155" s="343">
        <f t="shared" si="150"/>
        <v>0</v>
      </c>
      <c r="AH155" s="205">
        <f t="shared" si="151"/>
        <v>0</v>
      </c>
      <c r="AI155" s="202"/>
      <c r="AJ155" s="202"/>
      <c r="AK155" s="202">
        <f t="shared" si="149"/>
        <v>0</v>
      </c>
      <c r="AL155" s="202"/>
      <c r="AM155" s="202"/>
      <c r="AN155" s="206">
        <f t="shared" si="155"/>
        <v>0</v>
      </c>
      <c r="AO155" s="207"/>
      <c r="AP155" s="207"/>
      <c r="AT155" s="209"/>
      <c r="AU155" s="209"/>
      <c r="AV155" s="210"/>
      <c r="AW155" s="210"/>
      <c r="AX155" s="211"/>
    </row>
    <row r="156" spans="1:50" s="356" customFormat="1">
      <c r="A156" s="354">
        <v>19</v>
      </c>
      <c r="B156" s="345" t="s">
        <v>218</v>
      </c>
      <c r="C156" s="346">
        <f t="shared" si="152"/>
        <v>1200000</v>
      </c>
      <c r="D156" s="347">
        <f t="shared" si="153"/>
        <v>0</v>
      </c>
      <c r="E156" s="347">
        <f t="shared" si="90"/>
        <v>0</v>
      </c>
      <c r="F156" s="347">
        <f t="shared" si="90"/>
        <v>0</v>
      </c>
      <c r="G156" s="340"/>
      <c r="H156" s="340"/>
      <c r="I156" s="340"/>
      <c r="J156" s="340"/>
      <c r="K156" s="340"/>
      <c r="L156" s="340"/>
      <c r="M156" s="340">
        <f t="shared" si="144"/>
        <v>0</v>
      </c>
      <c r="N156" s="340">
        <f t="shared" si="156"/>
        <v>0</v>
      </c>
      <c r="O156" s="340">
        <f t="shared" si="156"/>
        <v>0</v>
      </c>
      <c r="P156" s="340"/>
      <c r="Q156" s="340"/>
      <c r="R156" s="340"/>
      <c r="S156" s="340"/>
      <c r="T156" s="340"/>
      <c r="U156" s="340"/>
      <c r="V156" s="340">
        <f t="shared" si="146"/>
        <v>1200000</v>
      </c>
      <c r="W156" s="340"/>
      <c r="X156" s="342">
        <f t="shared" si="154"/>
        <v>1200000</v>
      </c>
      <c r="Y156" s="342">
        <f t="shared" si="157"/>
        <v>1100000</v>
      </c>
      <c r="Z156" s="342">
        <f t="shared" si="157"/>
        <v>100000</v>
      </c>
      <c r="AA156" s="340">
        <v>1100000</v>
      </c>
      <c r="AB156" s="340">
        <v>100000</v>
      </c>
      <c r="AC156" s="340"/>
      <c r="AD156" s="340"/>
      <c r="AE156" s="340"/>
      <c r="AF156" s="340"/>
      <c r="AG156" s="343">
        <f t="shared" si="150"/>
        <v>1200000</v>
      </c>
      <c r="AH156" s="343">
        <f t="shared" si="151"/>
        <v>0</v>
      </c>
      <c r="AI156" s="340"/>
      <c r="AJ156" s="340"/>
      <c r="AK156" s="340">
        <f t="shared" si="149"/>
        <v>1200000</v>
      </c>
      <c r="AL156" s="340">
        <v>1100000</v>
      </c>
      <c r="AM156" s="340">
        <v>100000</v>
      </c>
      <c r="AN156" s="348">
        <f t="shared" si="155"/>
        <v>100</v>
      </c>
      <c r="AO156" s="355"/>
      <c r="AP156" s="355"/>
      <c r="AT156" s="212"/>
      <c r="AU156" s="212"/>
      <c r="AV156" s="357"/>
      <c r="AW156" s="357"/>
      <c r="AX156" s="358"/>
    </row>
    <row r="157" spans="1:50" s="208" customFormat="1" ht="90.75" customHeight="1">
      <c r="A157" s="225" t="s">
        <v>76</v>
      </c>
      <c r="B157" s="226" t="s">
        <v>27</v>
      </c>
      <c r="C157" s="264">
        <f t="shared" si="152"/>
        <v>830187000</v>
      </c>
      <c r="D157" s="264">
        <f t="shared" si="153"/>
        <v>0</v>
      </c>
      <c r="E157" s="264">
        <f t="shared" si="90"/>
        <v>0</v>
      </c>
      <c r="F157" s="264">
        <f t="shared" si="90"/>
        <v>0</v>
      </c>
      <c r="G157" s="288">
        <f>+G158+G161+G163</f>
        <v>275675400</v>
      </c>
      <c r="H157" s="288">
        <f t="shared" ref="H157:U157" si="158">+H158+H161+H163</f>
        <v>0</v>
      </c>
      <c r="I157" s="288">
        <f t="shared" si="158"/>
        <v>0</v>
      </c>
      <c r="J157" s="288">
        <f t="shared" si="158"/>
        <v>0</v>
      </c>
      <c r="K157" s="288">
        <f t="shared" si="158"/>
        <v>275675400</v>
      </c>
      <c r="L157" s="288">
        <f t="shared" si="158"/>
        <v>0</v>
      </c>
      <c r="M157" s="288">
        <f t="shared" si="158"/>
        <v>105187000</v>
      </c>
      <c r="N157" s="288">
        <f t="shared" si="158"/>
        <v>100206400</v>
      </c>
      <c r="O157" s="288">
        <f t="shared" si="158"/>
        <v>4980600</v>
      </c>
      <c r="P157" s="288">
        <f t="shared" si="158"/>
        <v>1035619880</v>
      </c>
      <c r="Q157" s="288">
        <f t="shared" si="158"/>
        <v>31005100</v>
      </c>
      <c r="R157" s="288">
        <f t="shared" si="158"/>
        <v>6080000</v>
      </c>
      <c r="S157" s="288">
        <f t="shared" si="158"/>
        <v>0</v>
      </c>
      <c r="T157" s="288">
        <f t="shared" si="158"/>
        <v>941493480</v>
      </c>
      <c r="U157" s="288">
        <f t="shared" si="158"/>
        <v>26024500</v>
      </c>
      <c r="V157" s="288">
        <f>+V158+V161+V163</f>
        <v>725000000</v>
      </c>
      <c r="W157" s="288">
        <f>+W158+W161+W163</f>
        <v>0</v>
      </c>
      <c r="X157" s="288">
        <f>+X158+X161+X163</f>
        <v>725000000</v>
      </c>
      <c r="Y157" s="288">
        <f t="shared" ref="Y157:AF157" si="159">+Y158+Y161+Y163</f>
        <v>708000000</v>
      </c>
      <c r="Z157" s="288">
        <f t="shared" si="159"/>
        <v>17000000</v>
      </c>
      <c r="AA157" s="288">
        <f t="shared" si="159"/>
        <v>1003000000</v>
      </c>
      <c r="AB157" s="288">
        <f t="shared" si="159"/>
        <v>52000000</v>
      </c>
      <c r="AC157" s="288">
        <f t="shared" si="159"/>
        <v>0</v>
      </c>
      <c r="AD157" s="288">
        <f t="shared" si="159"/>
        <v>0</v>
      </c>
      <c r="AE157" s="288">
        <f t="shared" si="159"/>
        <v>295000000</v>
      </c>
      <c r="AF157" s="288">
        <f t="shared" si="159"/>
        <v>35000000</v>
      </c>
      <c r="AG157" s="377">
        <f>+AG158+AG161+AG163</f>
        <v>379068421</v>
      </c>
      <c r="AH157" s="288">
        <f t="shared" ref="AH157:AM157" si="160">+AH158+AH161+AH163</f>
        <v>8670400</v>
      </c>
      <c r="AI157" s="288">
        <f t="shared" si="160"/>
        <v>8070400</v>
      </c>
      <c r="AJ157" s="288">
        <f t="shared" si="160"/>
        <v>600000</v>
      </c>
      <c r="AK157" s="288">
        <f t="shared" si="160"/>
        <v>370398021</v>
      </c>
      <c r="AL157" s="288">
        <f t="shared" si="160"/>
        <v>361798021</v>
      </c>
      <c r="AM157" s="288">
        <f t="shared" si="160"/>
        <v>8600000</v>
      </c>
      <c r="AN157" s="206">
        <f t="shared" si="155"/>
        <v>45.660606706681747</v>
      </c>
      <c r="AO157" s="289">
        <f>+AO158+AO161+AO163</f>
        <v>0</v>
      </c>
      <c r="AP157" s="289">
        <f>+AP158+AP161+AP163</f>
        <v>0</v>
      </c>
      <c r="AT157" s="209"/>
      <c r="AU157" s="209"/>
      <c r="AV157" s="210"/>
      <c r="AW157" s="210"/>
      <c r="AX157" s="211"/>
    </row>
    <row r="158" spans="1:50" s="208" customFormat="1" ht="191.25" customHeight="1">
      <c r="A158" s="267"/>
      <c r="B158" s="268" t="s">
        <v>117</v>
      </c>
      <c r="C158" s="201">
        <f>+D158+M158+V158</f>
        <v>460000000</v>
      </c>
      <c r="D158" s="201">
        <f t="shared" si="153"/>
        <v>0</v>
      </c>
      <c r="E158" s="201">
        <f t="shared" si="90"/>
        <v>0</v>
      </c>
      <c r="F158" s="201">
        <f t="shared" si="90"/>
        <v>0</v>
      </c>
      <c r="G158" s="290">
        <f t="shared" ref="G158:U158" si="161">SUM(G159:G160)</f>
        <v>137675400</v>
      </c>
      <c r="H158" s="290">
        <f t="shared" si="161"/>
        <v>0</v>
      </c>
      <c r="I158" s="290">
        <f t="shared" si="161"/>
        <v>0</v>
      </c>
      <c r="J158" s="290">
        <f t="shared" si="161"/>
        <v>0</v>
      </c>
      <c r="K158" s="290">
        <f t="shared" si="161"/>
        <v>137675400</v>
      </c>
      <c r="L158" s="290">
        <f t="shared" si="161"/>
        <v>0</v>
      </c>
      <c r="M158" s="290">
        <f t="shared" si="161"/>
        <v>0</v>
      </c>
      <c r="N158" s="290">
        <f t="shared" si="161"/>
        <v>0</v>
      </c>
      <c r="O158" s="290">
        <f t="shared" si="161"/>
        <v>0</v>
      </c>
      <c r="P158" s="290">
        <f t="shared" si="161"/>
        <v>690077600</v>
      </c>
      <c r="Q158" s="290">
        <f t="shared" si="161"/>
        <v>14311000</v>
      </c>
      <c r="R158" s="290">
        <f t="shared" si="161"/>
        <v>0</v>
      </c>
      <c r="S158" s="290">
        <f t="shared" si="161"/>
        <v>0</v>
      </c>
      <c r="T158" s="290">
        <f t="shared" si="161"/>
        <v>690077600</v>
      </c>
      <c r="U158" s="290">
        <f t="shared" si="161"/>
        <v>14311000</v>
      </c>
      <c r="V158" s="290">
        <f>SUM(V159:V160)</f>
        <v>460000000</v>
      </c>
      <c r="W158" s="290">
        <f>SUM(W159:W160)</f>
        <v>0</v>
      </c>
      <c r="X158" s="290">
        <f>SUM(X159:X160)</f>
        <v>460000000</v>
      </c>
      <c r="Y158" s="290">
        <f t="shared" ref="Y158:AF158" si="162">SUM(Y159:Y160)</f>
        <v>453000000</v>
      </c>
      <c r="Z158" s="290">
        <f t="shared" si="162"/>
        <v>7000000</v>
      </c>
      <c r="AA158" s="290">
        <f t="shared" si="162"/>
        <v>668000000</v>
      </c>
      <c r="AB158" s="290">
        <f t="shared" si="162"/>
        <v>38000000</v>
      </c>
      <c r="AC158" s="290">
        <f t="shared" si="162"/>
        <v>0</v>
      </c>
      <c r="AD158" s="290">
        <f t="shared" si="162"/>
        <v>0</v>
      </c>
      <c r="AE158" s="290">
        <f t="shared" si="162"/>
        <v>215000000</v>
      </c>
      <c r="AF158" s="290">
        <f t="shared" si="162"/>
        <v>31000000</v>
      </c>
      <c r="AG158" s="379">
        <f>SUM(AG159:AG160)</f>
        <v>340514021</v>
      </c>
      <c r="AH158" s="290">
        <f t="shared" ref="AH158:AM158" si="163">SUM(AH159:AH160)</f>
        <v>0</v>
      </c>
      <c r="AI158" s="290">
        <f t="shared" si="163"/>
        <v>0</v>
      </c>
      <c r="AJ158" s="290">
        <f t="shared" si="163"/>
        <v>0</v>
      </c>
      <c r="AK158" s="290">
        <f t="shared" si="163"/>
        <v>340514021</v>
      </c>
      <c r="AL158" s="290">
        <f t="shared" si="163"/>
        <v>333514021</v>
      </c>
      <c r="AM158" s="290">
        <f t="shared" si="163"/>
        <v>7000000</v>
      </c>
      <c r="AN158" s="206">
        <f t="shared" si="155"/>
        <v>74.02478717391304</v>
      </c>
      <c r="AO158" s="207"/>
      <c r="AP158" s="207"/>
      <c r="AT158" s="209"/>
      <c r="AU158" s="209"/>
      <c r="AV158" s="210"/>
      <c r="AW158" s="210"/>
      <c r="AX158" s="211"/>
    </row>
    <row r="159" spans="1:50" s="208" customFormat="1">
      <c r="A159" s="198"/>
      <c r="B159" s="229" t="s">
        <v>223</v>
      </c>
      <c r="C159" s="200">
        <f t="shared" si="152"/>
        <v>310000000</v>
      </c>
      <c r="D159" s="201">
        <f t="shared" si="153"/>
        <v>0</v>
      </c>
      <c r="E159" s="201">
        <f t="shared" si="90"/>
        <v>0</v>
      </c>
      <c r="F159" s="201">
        <f t="shared" si="90"/>
        <v>0</v>
      </c>
      <c r="G159" s="202">
        <v>137675400</v>
      </c>
      <c r="H159" s="202"/>
      <c r="I159" s="202"/>
      <c r="J159" s="202"/>
      <c r="K159" s="202">
        <f>+G159</f>
        <v>137675400</v>
      </c>
      <c r="L159" s="202"/>
      <c r="M159" s="202"/>
      <c r="N159" s="202">
        <f t="shared" ref="N159:O191" si="164">+P159+R159-T159</f>
        <v>0</v>
      </c>
      <c r="O159" s="202">
        <f t="shared" si="164"/>
        <v>0</v>
      </c>
      <c r="P159" s="202">
        <v>690077600</v>
      </c>
      <c r="Q159" s="202">
        <v>14311000</v>
      </c>
      <c r="R159" s="202"/>
      <c r="S159" s="202"/>
      <c r="T159" s="202">
        <v>690077600</v>
      </c>
      <c r="U159" s="202">
        <v>14311000</v>
      </c>
      <c r="V159" s="202">
        <f>SUM(W159:X159)</f>
        <v>310000000</v>
      </c>
      <c r="W159" s="202"/>
      <c r="X159" s="202">
        <f>556000000-246000000</f>
        <v>310000000</v>
      </c>
      <c r="Y159" s="204">
        <f>+AA159+AC159-AE159</f>
        <v>310000000</v>
      </c>
      <c r="Z159" s="204">
        <f>+AB159+AD159-AF159</f>
        <v>0</v>
      </c>
      <c r="AA159" s="202">
        <v>525000000</v>
      </c>
      <c r="AB159" s="202">
        <v>31000000</v>
      </c>
      <c r="AC159" s="202"/>
      <c r="AD159" s="202"/>
      <c r="AE159" s="202">
        <v>215000000</v>
      </c>
      <c r="AF159" s="202">
        <v>31000000</v>
      </c>
      <c r="AG159" s="343">
        <f t="shared" ref="AG159:AG160" si="165">+AK159+AH159</f>
        <v>190514021</v>
      </c>
      <c r="AH159" s="205">
        <f t="shared" ref="AH159" si="166">SUM(AI159:AJ159)</f>
        <v>0</v>
      </c>
      <c r="AI159" s="202"/>
      <c r="AJ159" s="202"/>
      <c r="AK159" s="202">
        <f t="shared" ref="AK159:AK160" si="167">SUM(AL159:AM159)</f>
        <v>190514021</v>
      </c>
      <c r="AL159" s="202">
        <v>190514021</v>
      </c>
      <c r="AM159" s="202"/>
      <c r="AN159" s="206">
        <f t="shared" si="155"/>
        <v>61.45613580645162</v>
      </c>
      <c r="AO159" s="207"/>
      <c r="AP159" s="207"/>
      <c r="AT159" s="209"/>
      <c r="AU159" s="209"/>
      <c r="AV159" s="210"/>
      <c r="AW159" s="210"/>
      <c r="AX159" s="211"/>
    </row>
    <row r="160" spans="1:50" s="208" customFormat="1">
      <c r="A160" s="198"/>
      <c r="B160" s="229" t="s">
        <v>225</v>
      </c>
      <c r="C160" s="200">
        <f t="shared" si="152"/>
        <v>150000000</v>
      </c>
      <c r="D160" s="201">
        <f t="shared" si="153"/>
        <v>0</v>
      </c>
      <c r="E160" s="201">
        <f t="shared" si="90"/>
        <v>0</v>
      </c>
      <c r="F160" s="201">
        <f t="shared" si="90"/>
        <v>0</v>
      </c>
      <c r="G160" s="202"/>
      <c r="H160" s="202"/>
      <c r="I160" s="202"/>
      <c r="J160" s="202"/>
      <c r="K160" s="202"/>
      <c r="L160" s="202"/>
      <c r="M160" s="202"/>
      <c r="N160" s="202">
        <f t="shared" si="164"/>
        <v>0</v>
      </c>
      <c r="O160" s="202">
        <f t="shared" si="164"/>
        <v>0</v>
      </c>
      <c r="P160" s="202"/>
      <c r="Q160" s="202"/>
      <c r="R160" s="202"/>
      <c r="S160" s="202"/>
      <c r="T160" s="202"/>
      <c r="U160" s="202"/>
      <c r="V160" s="202">
        <f>SUM(W160:X160)</f>
        <v>150000000</v>
      </c>
      <c r="W160" s="202"/>
      <c r="X160" s="202">
        <v>150000000</v>
      </c>
      <c r="Y160" s="204">
        <f>+AA160+AC160-AE160</f>
        <v>143000000</v>
      </c>
      <c r="Z160" s="204">
        <f>+AB160+AD160-AF160</f>
        <v>7000000</v>
      </c>
      <c r="AA160" s="202">
        <v>143000000</v>
      </c>
      <c r="AB160" s="202">
        <v>7000000</v>
      </c>
      <c r="AC160" s="202"/>
      <c r="AD160" s="202"/>
      <c r="AE160" s="202"/>
      <c r="AF160" s="202"/>
      <c r="AG160" s="343">
        <f t="shared" si="165"/>
        <v>150000000</v>
      </c>
      <c r="AH160" s="205">
        <f t="shared" ref="AH160" si="168">SUM(AI160:AJ160)</f>
        <v>0</v>
      </c>
      <c r="AI160" s="202"/>
      <c r="AJ160" s="202"/>
      <c r="AK160" s="202">
        <f t="shared" si="167"/>
        <v>150000000</v>
      </c>
      <c r="AL160" s="202">
        <v>143000000</v>
      </c>
      <c r="AM160" s="202">
        <v>7000000</v>
      </c>
      <c r="AN160" s="206">
        <f t="shared" si="155"/>
        <v>100</v>
      </c>
      <c r="AO160" s="207"/>
      <c r="AP160" s="207"/>
      <c r="AT160" s="209"/>
      <c r="AU160" s="209"/>
      <c r="AV160" s="210"/>
      <c r="AW160" s="210"/>
      <c r="AX160" s="211"/>
    </row>
    <row r="161" spans="1:50" s="208" customFormat="1" ht="88.5" customHeight="1">
      <c r="A161" s="267"/>
      <c r="B161" s="268" t="s">
        <v>28</v>
      </c>
      <c r="C161" s="201">
        <f t="shared" si="152"/>
        <v>92000000</v>
      </c>
      <c r="D161" s="201">
        <f t="shared" si="153"/>
        <v>0</v>
      </c>
      <c r="E161" s="201">
        <f t="shared" ref="E161:F192" si="169">+G161+I161-K161</f>
        <v>0</v>
      </c>
      <c r="F161" s="201">
        <f t="shared" si="169"/>
        <v>0</v>
      </c>
      <c r="G161" s="290">
        <f t="shared" ref="G161:AF161" si="170">+G162</f>
        <v>51000000</v>
      </c>
      <c r="H161" s="290">
        <f t="shared" si="170"/>
        <v>0</v>
      </c>
      <c r="I161" s="290">
        <f t="shared" si="170"/>
        <v>0</v>
      </c>
      <c r="J161" s="290">
        <f t="shared" si="170"/>
        <v>0</v>
      </c>
      <c r="K161" s="290">
        <f t="shared" si="170"/>
        <v>51000000</v>
      </c>
      <c r="L161" s="290">
        <f t="shared" si="170"/>
        <v>0</v>
      </c>
      <c r="M161" s="290">
        <f t="shared" si="170"/>
        <v>0</v>
      </c>
      <c r="N161" s="290">
        <f t="shared" si="170"/>
        <v>0</v>
      </c>
      <c r="O161" s="290">
        <f t="shared" si="170"/>
        <v>0</v>
      </c>
      <c r="P161" s="290">
        <f t="shared" si="170"/>
        <v>138000000</v>
      </c>
      <c r="Q161" s="290">
        <f t="shared" si="170"/>
        <v>0</v>
      </c>
      <c r="R161" s="290">
        <f t="shared" si="170"/>
        <v>0</v>
      </c>
      <c r="S161" s="290">
        <f t="shared" si="170"/>
        <v>0</v>
      </c>
      <c r="T161" s="290">
        <f t="shared" si="170"/>
        <v>138000000</v>
      </c>
      <c r="U161" s="290">
        <f t="shared" si="170"/>
        <v>0</v>
      </c>
      <c r="V161" s="290">
        <f t="shared" si="170"/>
        <v>92000000</v>
      </c>
      <c r="W161" s="290">
        <f t="shared" si="170"/>
        <v>0</v>
      </c>
      <c r="X161" s="290">
        <f t="shared" si="170"/>
        <v>92000000</v>
      </c>
      <c r="Y161" s="290">
        <f t="shared" si="170"/>
        <v>92000000</v>
      </c>
      <c r="Z161" s="290">
        <f t="shared" si="170"/>
        <v>0</v>
      </c>
      <c r="AA161" s="290">
        <f t="shared" si="170"/>
        <v>92000000</v>
      </c>
      <c r="AB161" s="290">
        <f t="shared" si="170"/>
        <v>0</v>
      </c>
      <c r="AC161" s="290">
        <f t="shared" si="170"/>
        <v>0</v>
      </c>
      <c r="AD161" s="290">
        <f t="shared" si="170"/>
        <v>0</v>
      </c>
      <c r="AE161" s="290">
        <f t="shared" si="170"/>
        <v>0</v>
      </c>
      <c r="AF161" s="290">
        <f t="shared" si="170"/>
        <v>0</v>
      </c>
      <c r="AG161" s="379">
        <f>+AG162</f>
        <v>0</v>
      </c>
      <c r="AH161" s="290">
        <f t="shared" ref="AH161:AM161" si="171">+AH162</f>
        <v>0</v>
      </c>
      <c r="AI161" s="290">
        <f t="shared" si="171"/>
        <v>0</v>
      </c>
      <c r="AJ161" s="290">
        <f t="shared" si="171"/>
        <v>0</v>
      </c>
      <c r="AK161" s="290">
        <f t="shared" si="171"/>
        <v>0</v>
      </c>
      <c r="AL161" s="290">
        <f t="shared" si="171"/>
        <v>0</v>
      </c>
      <c r="AM161" s="290">
        <f t="shared" si="171"/>
        <v>0</v>
      </c>
      <c r="AN161" s="206">
        <f t="shared" si="155"/>
        <v>0</v>
      </c>
      <c r="AO161" s="207"/>
      <c r="AP161" s="207"/>
      <c r="AT161" s="209"/>
      <c r="AU161" s="209"/>
      <c r="AV161" s="210"/>
      <c r="AW161" s="210"/>
      <c r="AX161" s="211"/>
    </row>
    <row r="162" spans="1:50" s="208" customFormat="1" ht="21.75" customHeight="1">
      <c r="A162" s="198">
        <v>8</v>
      </c>
      <c r="B162" s="199" t="s">
        <v>194</v>
      </c>
      <c r="C162" s="200">
        <f t="shared" si="152"/>
        <v>92000000</v>
      </c>
      <c r="D162" s="201">
        <f t="shared" si="153"/>
        <v>0</v>
      </c>
      <c r="E162" s="201">
        <f t="shared" si="169"/>
        <v>0</v>
      </c>
      <c r="F162" s="201">
        <f t="shared" si="169"/>
        <v>0</v>
      </c>
      <c r="G162" s="202">
        <v>51000000</v>
      </c>
      <c r="H162" s="202"/>
      <c r="I162" s="202"/>
      <c r="J162" s="202"/>
      <c r="K162" s="202">
        <v>51000000</v>
      </c>
      <c r="L162" s="202"/>
      <c r="M162" s="202">
        <f>SUM(N162:O162)</f>
        <v>0</v>
      </c>
      <c r="N162" s="202">
        <f t="shared" si="164"/>
        <v>0</v>
      </c>
      <c r="O162" s="202">
        <f t="shared" si="164"/>
        <v>0</v>
      </c>
      <c r="P162" s="202">
        <v>138000000</v>
      </c>
      <c r="Q162" s="202"/>
      <c r="R162" s="202"/>
      <c r="S162" s="202"/>
      <c r="T162" s="202">
        <v>138000000</v>
      </c>
      <c r="U162" s="202"/>
      <c r="V162" s="202">
        <f>SUM(W162:X162)</f>
        <v>92000000</v>
      </c>
      <c r="W162" s="202"/>
      <c r="X162" s="202">
        <f>SUM(Y162:Z162)</f>
        <v>92000000</v>
      </c>
      <c r="Y162" s="204">
        <f>+AA162+AC162-AE162</f>
        <v>92000000</v>
      </c>
      <c r="Z162" s="204">
        <f>+AB162+AD162-AF162</f>
        <v>0</v>
      </c>
      <c r="AA162" s="202">
        <v>92000000</v>
      </c>
      <c r="AB162" s="202"/>
      <c r="AC162" s="202"/>
      <c r="AD162" s="202"/>
      <c r="AE162" s="202"/>
      <c r="AF162" s="202"/>
      <c r="AG162" s="340"/>
      <c r="AH162" s="202"/>
      <c r="AI162" s="202"/>
      <c r="AJ162" s="202"/>
      <c r="AK162" s="202">
        <f>SUM(AL162:AM162)</f>
        <v>0</v>
      </c>
      <c r="AL162" s="202"/>
      <c r="AM162" s="202"/>
      <c r="AN162" s="206">
        <f t="shared" si="155"/>
        <v>0</v>
      </c>
      <c r="AO162" s="207"/>
      <c r="AP162" s="207"/>
      <c r="AT162" s="209"/>
      <c r="AU162" s="209"/>
      <c r="AV162" s="210"/>
      <c r="AW162" s="210"/>
      <c r="AX162" s="211"/>
    </row>
    <row r="163" spans="1:50" s="208" customFormat="1" ht="66" customHeight="1">
      <c r="A163" s="267"/>
      <c r="B163" s="268" t="s">
        <v>118</v>
      </c>
      <c r="C163" s="286">
        <f t="shared" ref="C163:F163" si="172">SUM(C164:C192)</f>
        <v>278187000</v>
      </c>
      <c r="D163" s="286">
        <f t="shared" si="172"/>
        <v>0</v>
      </c>
      <c r="E163" s="286">
        <f t="shared" si="172"/>
        <v>0</v>
      </c>
      <c r="F163" s="286">
        <f t="shared" si="172"/>
        <v>0</v>
      </c>
      <c r="G163" s="286">
        <f>SUM(G164:G192)</f>
        <v>87000000</v>
      </c>
      <c r="H163" s="286">
        <f t="shared" ref="H163:AM163" si="173">SUM(H164:H192)</f>
        <v>0</v>
      </c>
      <c r="I163" s="286">
        <f t="shared" si="173"/>
        <v>0</v>
      </c>
      <c r="J163" s="286">
        <f t="shared" si="173"/>
        <v>0</v>
      </c>
      <c r="K163" s="286">
        <f t="shared" si="173"/>
        <v>87000000</v>
      </c>
      <c r="L163" s="286">
        <f t="shared" si="173"/>
        <v>0</v>
      </c>
      <c r="M163" s="286">
        <f t="shared" si="173"/>
        <v>105187000</v>
      </c>
      <c r="N163" s="286">
        <f t="shared" si="173"/>
        <v>100206400</v>
      </c>
      <c r="O163" s="286">
        <f t="shared" si="173"/>
        <v>4980600</v>
      </c>
      <c r="P163" s="286">
        <f t="shared" si="173"/>
        <v>207542280</v>
      </c>
      <c r="Q163" s="286">
        <f t="shared" si="173"/>
        <v>16694100</v>
      </c>
      <c r="R163" s="286">
        <f t="shared" si="173"/>
        <v>6080000</v>
      </c>
      <c r="S163" s="286">
        <f t="shared" si="173"/>
        <v>0</v>
      </c>
      <c r="T163" s="286">
        <f t="shared" si="173"/>
        <v>113415880</v>
      </c>
      <c r="U163" s="286">
        <f t="shared" si="173"/>
        <v>11713500</v>
      </c>
      <c r="V163" s="286">
        <f t="shared" si="173"/>
        <v>173000000</v>
      </c>
      <c r="W163" s="286">
        <f t="shared" si="173"/>
        <v>0</v>
      </c>
      <c r="X163" s="286">
        <f t="shared" si="173"/>
        <v>173000000</v>
      </c>
      <c r="Y163" s="286">
        <f t="shared" si="173"/>
        <v>163000000</v>
      </c>
      <c r="Z163" s="286">
        <f t="shared" si="173"/>
        <v>10000000</v>
      </c>
      <c r="AA163" s="286">
        <f t="shared" si="173"/>
        <v>243000000</v>
      </c>
      <c r="AB163" s="286">
        <f t="shared" si="173"/>
        <v>14000000</v>
      </c>
      <c r="AC163" s="286">
        <f t="shared" si="173"/>
        <v>0</v>
      </c>
      <c r="AD163" s="286">
        <f t="shared" si="173"/>
        <v>0</v>
      </c>
      <c r="AE163" s="286">
        <f t="shared" si="173"/>
        <v>80000000</v>
      </c>
      <c r="AF163" s="286">
        <f t="shared" si="173"/>
        <v>4000000</v>
      </c>
      <c r="AG163" s="361">
        <f t="shared" si="173"/>
        <v>38554400</v>
      </c>
      <c r="AH163" s="286">
        <f t="shared" si="173"/>
        <v>8670400</v>
      </c>
      <c r="AI163" s="286">
        <f t="shared" si="173"/>
        <v>8070400</v>
      </c>
      <c r="AJ163" s="286">
        <f t="shared" si="173"/>
        <v>600000</v>
      </c>
      <c r="AK163" s="286">
        <f t="shared" si="173"/>
        <v>29884000</v>
      </c>
      <c r="AL163" s="286">
        <f t="shared" si="173"/>
        <v>28284000</v>
      </c>
      <c r="AM163" s="286">
        <f t="shared" si="173"/>
        <v>1600000</v>
      </c>
      <c r="AN163" s="206">
        <f t="shared" si="155"/>
        <v>13.859166675653428</v>
      </c>
      <c r="AO163" s="291">
        <f t="shared" ref="AO163:AP163" si="174">SUM(AO164:AO191)</f>
        <v>0</v>
      </c>
      <c r="AP163" s="291">
        <f t="shared" si="174"/>
        <v>0</v>
      </c>
      <c r="AT163" s="209"/>
      <c r="AU163" s="209"/>
      <c r="AV163" s="210"/>
      <c r="AW163" s="210"/>
      <c r="AX163" s="211"/>
    </row>
    <row r="164" spans="1:50" s="208" customFormat="1">
      <c r="A164" s="228">
        <v>1</v>
      </c>
      <c r="B164" s="292" t="s">
        <v>219</v>
      </c>
      <c r="C164" s="200">
        <f t="shared" si="152"/>
        <v>15200000</v>
      </c>
      <c r="D164" s="201">
        <f t="shared" si="153"/>
        <v>0</v>
      </c>
      <c r="E164" s="201">
        <f t="shared" si="169"/>
        <v>0</v>
      </c>
      <c r="F164" s="201">
        <f t="shared" si="169"/>
        <v>0</v>
      </c>
      <c r="G164" s="202"/>
      <c r="H164" s="202"/>
      <c r="I164" s="202"/>
      <c r="J164" s="202"/>
      <c r="K164" s="202"/>
      <c r="L164" s="202"/>
      <c r="M164" s="202">
        <f>SUM(N164:O164)</f>
        <v>10000000</v>
      </c>
      <c r="N164" s="202">
        <f t="shared" si="164"/>
        <v>9500000</v>
      </c>
      <c r="O164" s="202">
        <f t="shared" si="164"/>
        <v>500000</v>
      </c>
      <c r="P164" s="202">
        <v>9500000</v>
      </c>
      <c r="Q164" s="202">
        <v>500000</v>
      </c>
      <c r="R164" s="202"/>
      <c r="S164" s="202"/>
      <c r="T164" s="202"/>
      <c r="U164" s="202"/>
      <c r="V164" s="202">
        <f>SUM(W164:X164)</f>
        <v>5200000</v>
      </c>
      <c r="W164" s="202"/>
      <c r="X164" s="202">
        <f t="shared" ref="X164:X174" si="175">SUM(Y164:Z164)</f>
        <v>5200000</v>
      </c>
      <c r="Y164" s="204">
        <f t="shared" ref="Y164:Z174" si="176">+AA164+AC164-AE164</f>
        <v>4900000</v>
      </c>
      <c r="Z164" s="204">
        <f t="shared" si="176"/>
        <v>300000</v>
      </c>
      <c r="AA164" s="202">
        <v>4900000</v>
      </c>
      <c r="AB164" s="202">
        <v>300000</v>
      </c>
      <c r="AC164" s="202"/>
      <c r="AD164" s="202"/>
      <c r="AE164" s="202"/>
      <c r="AF164" s="202"/>
      <c r="AG164" s="343">
        <f t="shared" ref="AG164:AG191" si="177">+AK164+AH164</f>
        <v>0</v>
      </c>
      <c r="AH164" s="205">
        <f t="shared" ref="AH164" si="178">SUM(AI164:AJ164)</f>
        <v>0</v>
      </c>
      <c r="AI164" s="202"/>
      <c r="AJ164" s="202"/>
      <c r="AK164" s="202">
        <f t="shared" ref="AK164:AK191" si="179">SUM(AL164:AM164)</f>
        <v>0</v>
      </c>
      <c r="AL164" s="202"/>
      <c r="AM164" s="202"/>
      <c r="AN164" s="206">
        <f t="shared" si="155"/>
        <v>0</v>
      </c>
      <c r="AO164" s="207"/>
      <c r="AP164" s="207"/>
      <c r="AT164" s="209"/>
      <c r="AU164" s="209"/>
      <c r="AV164" s="210"/>
      <c r="AW164" s="210"/>
      <c r="AX164" s="211"/>
    </row>
    <row r="165" spans="1:50" s="208" customFormat="1">
      <c r="A165" s="228">
        <v>3</v>
      </c>
      <c r="B165" s="229" t="s">
        <v>223</v>
      </c>
      <c r="C165" s="200">
        <f t="shared" si="152"/>
        <v>21000000</v>
      </c>
      <c r="D165" s="201">
        <f t="shared" si="153"/>
        <v>0</v>
      </c>
      <c r="E165" s="201">
        <f t="shared" si="169"/>
        <v>0</v>
      </c>
      <c r="F165" s="201">
        <f t="shared" si="169"/>
        <v>0</v>
      </c>
      <c r="G165" s="202">
        <v>87000000</v>
      </c>
      <c r="H165" s="202"/>
      <c r="I165" s="202"/>
      <c r="J165" s="202"/>
      <c r="K165" s="202">
        <v>87000000</v>
      </c>
      <c r="L165" s="202"/>
      <c r="M165" s="202">
        <f>SUM(N165:O165)</f>
        <v>0</v>
      </c>
      <c r="N165" s="202">
        <f t="shared" si="164"/>
        <v>0</v>
      </c>
      <c r="O165" s="202">
        <f t="shared" si="164"/>
        <v>0</v>
      </c>
      <c r="P165" s="202">
        <v>80715880</v>
      </c>
      <c r="Q165" s="202">
        <v>9913500</v>
      </c>
      <c r="R165" s="202"/>
      <c r="S165" s="202"/>
      <c r="T165" s="202">
        <f>167715880-87000000</f>
        <v>80715880</v>
      </c>
      <c r="U165" s="202">
        <v>9913500</v>
      </c>
      <c r="V165" s="202">
        <f t="shared" ref="V165:V174" si="180">SUM(W165:X165)</f>
        <v>21000000</v>
      </c>
      <c r="W165" s="202"/>
      <c r="X165" s="202">
        <f t="shared" si="175"/>
        <v>21000000</v>
      </c>
      <c r="Y165" s="204">
        <f t="shared" si="176"/>
        <v>20000000</v>
      </c>
      <c r="Z165" s="204">
        <f t="shared" si="176"/>
        <v>1000000</v>
      </c>
      <c r="AA165" s="202">
        <v>100000000</v>
      </c>
      <c r="AB165" s="202">
        <v>5000000</v>
      </c>
      <c r="AC165" s="202"/>
      <c r="AD165" s="202"/>
      <c r="AE165" s="202">
        <v>80000000</v>
      </c>
      <c r="AF165" s="202">
        <v>4000000</v>
      </c>
      <c r="AG165" s="343">
        <f t="shared" si="177"/>
        <v>0</v>
      </c>
      <c r="AH165" s="205">
        <f t="shared" ref="AH165:AH191" si="181">SUM(AI165:AJ165)</f>
        <v>0</v>
      </c>
      <c r="AI165" s="202"/>
      <c r="AJ165" s="202"/>
      <c r="AK165" s="202">
        <f t="shared" si="179"/>
        <v>0</v>
      </c>
      <c r="AL165" s="202"/>
      <c r="AM165" s="202"/>
      <c r="AN165" s="206">
        <f t="shared" si="155"/>
        <v>0</v>
      </c>
      <c r="AO165" s="207"/>
      <c r="AP165" s="207"/>
      <c r="AT165" s="209"/>
      <c r="AU165" s="209"/>
      <c r="AV165" s="210"/>
      <c r="AW165" s="210"/>
      <c r="AX165" s="211"/>
    </row>
    <row r="166" spans="1:50" s="208" customFormat="1">
      <c r="A166" s="228">
        <v>5</v>
      </c>
      <c r="B166" s="293" t="s">
        <v>194</v>
      </c>
      <c r="C166" s="200">
        <f t="shared" si="152"/>
        <v>5200000</v>
      </c>
      <c r="D166" s="201">
        <f t="shared" si="153"/>
        <v>0</v>
      </c>
      <c r="E166" s="201">
        <f t="shared" si="169"/>
        <v>0</v>
      </c>
      <c r="F166" s="201">
        <f t="shared" si="169"/>
        <v>0</v>
      </c>
      <c r="G166" s="202"/>
      <c r="H166" s="202"/>
      <c r="I166" s="202"/>
      <c r="J166" s="202"/>
      <c r="K166" s="202"/>
      <c r="L166" s="202"/>
      <c r="M166" s="202">
        <f t="shared" ref="M166:M192" si="182">SUM(N166:O166)</f>
        <v>0</v>
      </c>
      <c r="N166" s="202">
        <f t="shared" si="164"/>
        <v>0</v>
      </c>
      <c r="O166" s="202">
        <f t="shared" si="164"/>
        <v>0</v>
      </c>
      <c r="P166" s="202"/>
      <c r="Q166" s="202"/>
      <c r="R166" s="202"/>
      <c r="S166" s="202"/>
      <c r="T166" s="202"/>
      <c r="U166" s="202"/>
      <c r="V166" s="202">
        <f t="shared" si="180"/>
        <v>5200000</v>
      </c>
      <c r="W166" s="202"/>
      <c r="X166" s="202">
        <f t="shared" si="175"/>
        <v>5200000</v>
      </c>
      <c r="Y166" s="204">
        <f t="shared" si="176"/>
        <v>4900000</v>
      </c>
      <c r="Z166" s="204">
        <f t="shared" si="176"/>
        <v>300000</v>
      </c>
      <c r="AA166" s="202">
        <v>4900000</v>
      </c>
      <c r="AB166" s="202">
        <v>300000</v>
      </c>
      <c r="AC166" s="202"/>
      <c r="AD166" s="202"/>
      <c r="AE166" s="202"/>
      <c r="AF166" s="202"/>
      <c r="AG166" s="343">
        <f t="shared" si="177"/>
        <v>5200000</v>
      </c>
      <c r="AH166" s="205">
        <f t="shared" si="181"/>
        <v>0</v>
      </c>
      <c r="AI166" s="202"/>
      <c r="AJ166" s="202"/>
      <c r="AK166" s="202">
        <f t="shared" si="179"/>
        <v>5200000</v>
      </c>
      <c r="AL166" s="204">
        <v>4900000</v>
      </c>
      <c r="AM166" s="204">
        <v>300000</v>
      </c>
      <c r="AN166" s="206">
        <f t="shared" si="155"/>
        <v>100</v>
      </c>
      <c r="AO166" s="207"/>
      <c r="AP166" s="207"/>
      <c r="AT166" s="209"/>
      <c r="AU166" s="209"/>
      <c r="AV166" s="210"/>
      <c r="AW166" s="210"/>
      <c r="AX166" s="211"/>
    </row>
    <row r="167" spans="1:50" s="208" customFormat="1">
      <c r="A167" s="228">
        <v>6</v>
      </c>
      <c r="B167" s="223" t="s">
        <v>224</v>
      </c>
      <c r="C167" s="200">
        <f t="shared" si="152"/>
        <v>9000000</v>
      </c>
      <c r="D167" s="201">
        <f t="shared" si="153"/>
        <v>0</v>
      </c>
      <c r="E167" s="201">
        <f t="shared" si="169"/>
        <v>0</v>
      </c>
      <c r="F167" s="201">
        <f t="shared" si="169"/>
        <v>0</v>
      </c>
      <c r="G167" s="202"/>
      <c r="H167" s="202"/>
      <c r="I167" s="202"/>
      <c r="J167" s="202"/>
      <c r="K167" s="202"/>
      <c r="L167" s="202"/>
      <c r="M167" s="202">
        <f t="shared" si="182"/>
        <v>0</v>
      </c>
      <c r="N167" s="202">
        <f t="shared" si="164"/>
        <v>0</v>
      </c>
      <c r="O167" s="202">
        <f t="shared" si="164"/>
        <v>0</v>
      </c>
      <c r="P167" s="202"/>
      <c r="Q167" s="202"/>
      <c r="R167" s="202"/>
      <c r="S167" s="202"/>
      <c r="T167" s="202"/>
      <c r="U167" s="202"/>
      <c r="V167" s="202">
        <f t="shared" si="180"/>
        <v>9000000</v>
      </c>
      <c r="W167" s="202"/>
      <c r="X167" s="202">
        <f t="shared" si="175"/>
        <v>9000000</v>
      </c>
      <c r="Y167" s="204">
        <f t="shared" si="176"/>
        <v>8500000</v>
      </c>
      <c r="Z167" s="204">
        <f t="shared" si="176"/>
        <v>500000</v>
      </c>
      <c r="AA167" s="202">
        <v>8500000</v>
      </c>
      <c r="AB167" s="202">
        <v>500000</v>
      </c>
      <c r="AC167" s="202"/>
      <c r="AD167" s="202"/>
      <c r="AE167" s="202"/>
      <c r="AF167" s="202"/>
      <c r="AG167" s="343">
        <f t="shared" si="177"/>
        <v>0</v>
      </c>
      <c r="AH167" s="205">
        <f t="shared" si="181"/>
        <v>0</v>
      </c>
      <c r="AI167" s="202"/>
      <c r="AJ167" s="202"/>
      <c r="AK167" s="202">
        <f t="shared" si="179"/>
        <v>0</v>
      </c>
      <c r="AL167" s="202"/>
      <c r="AM167" s="202"/>
      <c r="AN167" s="206">
        <f t="shared" si="155"/>
        <v>0</v>
      </c>
      <c r="AO167" s="207"/>
      <c r="AP167" s="207"/>
      <c r="AT167" s="209"/>
      <c r="AU167" s="209"/>
      <c r="AV167" s="210"/>
      <c r="AW167" s="210"/>
      <c r="AX167" s="211"/>
    </row>
    <row r="168" spans="1:50" s="208" customFormat="1">
      <c r="A168" s="228">
        <v>7</v>
      </c>
      <c r="B168" s="293" t="s">
        <v>221</v>
      </c>
      <c r="C168" s="200">
        <f t="shared" si="152"/>
        <v>10300000</v>
      </c>
      <c r="D168" s="201">
        <f t="shared" si="153"/>
        <v>0</v>
      </c>
      <c r="E168" s="201">
        <f t="shared" si="169"/>
        <v>0</v>
      </c>
      <c r="F168" s="201">
        <f t="shared" si="169"/>
        <v>0</v>
      </c>
      <c r="G168" s="202"/>
      <c r="H168" s="202"/>
      <c r="I168" s="202"/>
      <c r="J168" s="202"/>
      <c r="K168" s="202"/>
      <c r="L168" s="202"/>
      <c r="M168" s="202">
        <f t="shared" si="182"/>
        <v>0</v>
      </c>
      <c r="N168" s="202">
        <f t="shared" si="164"/>
        <v>0</v>
      </c>
      <c r="O168" s="202">
        <f t="shared" si="164"/>
        <v>0</v>
      </c>
      <c r="P168" s="202"/>
      <c r="Q168" s="202"/>
      <c r="R168" s="202"/>
      <c r="S168" s="202"/>
      <c r="T168" s="202"/>
      <c r="U168" s="202"/>
      <c r="V168" s="202">
        <f t="shared" si="180"/>
        <v>10300000</v>
      </c>
      <c r="W168" s="202"/>
      <c r="X168" s="202">
        <f t="shared" si="175"/>
        <v>10300000</v>
      </c>
      <c r="Y168" s="204">
        <f t="shared" si="176"/>
        <v>9600000</v>
      </c>
      <c r="Z168" s="204">
        <f t="shared" si="176"/>
        <v>700000</v>
      </c>
      <c r="AA168" s="202">
        <v>9600000</v>
      </c>
      <c r="AB168" s="202">
        <v>700000</v>
      </c>
      <c r="AC168" s="202"/>
      <c r="AD168" s="202"/>
      <c r="AE168" s="202"/>
      <c r="AF168" s="202"/>
      <c r="AG168" s="343">
        <f t="shared" si="177"/>
        <v>0</v>
      </c>
      <c r="AH168" s="205">
        <f t="shared" si="181"/>
        <v>0</v>
      </c>
      <c r="AI168" s="202"/>
      <c r="AJ168" s="202"/>
      <c r="AK168" s="202">
        <f t="shared" si="179"/>
        <v>0</v>
      </c>
      <c r="AL168" s="202"/>
      <c r="AM168" s="202"/>
      <c r="AN168" s="206">
        <f t="shared" si="155"/>
        <v>0</v>
      </c>
      <c r="AO168" s="207"/>
      <c r="AP168" s="207"/>
      <c r="AT168" s="209"/>
      <c r="AU168" s="209"/>
      <c r="AV168" s="210"/>
      <c r="AW168" s="210"/>
      <c r="AX168" s="211"/>
    </row>
    <row r="169" spans="1:50" s="208" customFormat="1" ht="32.25" customHeight="1">
      <c r="A169" s="228">
        <v>8</v>
      </c>
      <c r="B169" s="294" t="s">
        <v>226</v>
      </c>
      <c r="C169" s="200">
        <f t="shared" si="152"/>
        <v>9000000</v>
      </c>
      <c r="D169" s="201">
        <f t="shared" si="153"/>
        <v>0</v>
      </c>
      <c r="E169" s="201">
        <f t="shared" si="169"/>
        <v>0</v>
      </c>
      <c r="F169" s="201">
        <f t="shared" si="169"/>
        <v>0</v>
      </c>
      <c r="G169" s="202"/>
      <c r="H169" s="202"/>
      <c r="I169" s="202"/>
      <c r="J169" s="202"/>
      <c r="K169" s="202"/>
      <c r="L169" s="202"/>
      <c r="M169" s="202">
        <f t="shared" si="182"/>
        <v>0</v>
      </c>
      <c r="N169" s="202">
        <f t="shared" si="164"/>
        <v>0</v>
      </c>
      <c r="O169" s="202">
        <f t="shared" si="164"/>
        <v>0</v>
      </c>
      <c r="P169" s="202"/>
      <c r="Q169" s="202"/>
      <c r="R169" s="202"/>
      <c r="S169" s="202"/>
      <c r="T169" s="202"/>
      <c r="U169" s="202"/>
      <c r="V169" s="202">
        <f t="shared" si="180"/>
        <v>9000000</v>
      </c>
      <c r="W169" s="202"/>
      <c r="X169" s="202">
        <f t="shared" si="175"/>
        <v>9000000</v>
      </c>
      <c r="Y169" s="204">
        <f t="shared" si="176"/>
        <v>8500000</v>
      </c>
      <c r="Z169" s="204">
        <f t="shared" si="176"/>
        <v>500000</v>
      </c>
      <c r="AA169" s="202">
        <v>8500000</v>
      </c>
      <c r="AB169" s="202">
        <v>500000</v>
      </c>
      <c r="AC169" s="202"/>
      <c r="AD169" s="202"/>
      <c r="AE169" s="202"/>
      <c r="AF169" s="202"/>
      <c r="AG169" s="343">
        <f t="shared" si="177"/>
        <v>0</v>
      </c>
      <c r="AH169" s="205">
        <f t="shared" si="181"/>
        <v>0</v>
      </c>
      <c r="AI169" s="202"/>
      <c r="AJ169" s="202"/>
      <c r="AK169" s="202">
        <f t="shared" si="179"/>
        <v>0</v>
      </c>
      <c r="AL169" s="202"/>
      <c r="AM169" s="202"/>
      <c r="AN169" s="206">
        <f t="shared" si="155"/>
        <v>0</v>
      </c>
      <c r="AO169" s="207"/>
      <c r="AP169" s="207"/>
      <c r="AT169" s="209"/>
      <c r="AU169" s="209"/>
      <c r="AV169" s="210"/>
      <c r="AW169" s="210"/>
      <c r="AX169" s="211"/>
    </row>
    <row r="170" spans="1:50" s="208" customFormat="1">
      <c r="A170" s="228">
        <v>9</v>
      </c>
      <c r="B170" s="295" t="s">
        <v>227</v>
      </c>
      <c r="C170" s="200">
        <f t="shared" si="152"/>
        <v>10300000</v>
      </c>
      <c r="D170" s="201">
        <f t="shared" si="153"/>
        <v>0</v>
      </c>
      <c r="E170" s="201">
        <f t="shared" si="169"/>
        <v>0</v>
      </c>
      <c r="F170" s="201">
        <f t="shared" si="169"/>
        <v>0</v>
      </c>
      <c r="G170" s="202"/>
      <c r="H170" s="202"/>
      <c r="I170" s="202"/>
      <c r="J170" s="202"/>
      <c r="K170" s="202"/>
      <c r="L170" s="202"/>
      <c r="M170" s="202">
        <f t="shared" si="182"/>
        <v>0</v>
      </c>
      <c r="N170" s="202">
        <f t="shared" si="164"/>
        <v>0</v>
      </c>
      <c r="O170" s="202">
        <f t="shared" si="164"/>
        <v>0</v>
      </c>
      <c r="P170" s="202"/>
      <c r="Q170" s="202"/>
      <c r="R170" s="202"/>
      <c r="S170" s="202"/>
      <c r="T170" s="202"/>
      <c r="U170" s="202"/>
      <c r="V170" s="202">
        <f t="shared" si="180"/>
        <v>10300000</v>
      </c>
      <c r="W170" s="202"/>
      <c r="X170" s="202">
        <f t="shared" si="175"/>
        <v>10300000</v>
      </c>
      <c r="Y170" s="204">
        <f t="shared" si="176"/>
        <v>9600000</v>
      </c>
      <c r="Z170" s="204">
        <f t="shared" si="176"/>
        <v>700000</v>
      </c>
      <c r="AA170" s="202">
        <v>9600000</v>
      </c>
      <c r="AB170" s="202">
        <v>700000</v>
      </c>
      <c r="AC170" s="202"/>
      <c r="AD170" s="202"/>
      <c r="AE170" s="202"/>
      <c r="AF170" s="202"/>
      <c r="AG170" s="343">
        <f t="shared" si="177"/>
        <v>10300000</v>
      </c>
      <c r="AH170" s="205">
        <f t="shared" si="181"/>
        <v>0</v>
      </c>
      <c r="AI170" s="202"/>
      <c r="AJ170" s="202"/>
      <c r="AK170" s="202">
        <f t="shared" si="179"/>
        <v>10300000</v>
      </c>
      <c r="AL170" s="204">
        <v>9600000</v>
      </c>
      <c r="AM170" s="204">
        <v>700000</v>
      </c>
      <c r="AN170" s="206">
        <f t="shared" si="155"/>
        <v>100</v>
      </c>
      <c r="AO170" s="207"/>
      <c r="AP170" s="207"/>
      <c r="AT170" s="209"/>
      <c r="AU170" s="209"/>
      <c r="AV170" s="210"/>
      <c r="AW170" s="210"/>
      <c r="AX170" s="211"/>
    </row>
    <row r="171" spans="1:50" s="208" customFormat="1">
      <c r="A171" s="228">
        <v>10</v>
      </c>
      <c r="B171" s="295" t="s">
        <v>228</v>
      </c>
      <c r="C171" s="200">
        <f t="shared" si="152"/>
        <v>10300000</v>
      </c>
      <c r="D171" s="201">
        <f t="shared" si="153"/>
        <v>0</v>
      </c>
      <c r="E171" s="201">
        <f t="shared" si="169"/>
        <v>0</v>
      </c>
      <c r="F171" s="201">
        <f t="shared" si="169"/>
        <v>0</v>
      </c>
      <c r="G171" s="202"/>
      <c r="H171" s="202"/>
      <c r="I171" s="202"/>
      <c r="J171" s="202"/>
      <c r="K171" s="202"/>
      <c r="L171" s="202"/>
      <c r="M171" s="202">
        <f t="shared" si="182"/>
        <v>0</v>
      </c>
      <c r="N171" s="202">
        <f t="shared" si="164"/>
        <v>0</v>
      </c>
      <c r="O171" s="202">
        <f t="shared" si="164"/>
        <v>0</v>
      </c>
      <c r="P171" s="202"/>
      <c r="Q171" s="202"/>
      <c r="R171" s="202"/>
      <c r="S171" s="202"/>
      <c r="T171" s="202"/>
      <c r="U171" s="202"/>
      <c r="V171" s="202">
        <f t="shared" si="180"/>
        <v>10300000</v>
      </c>
      <c r="W171" s="202"/>
      <c r="X171" s="202">
        <f t="shared" si="175"/>
        <v>10300000</v>
      </c>
      <c r="Y171" s="204">
        <f t="shared" si="176"/>
        <v>9600000</v>
      </c>
      <c r="Z171" s="204">
        <f t="shared" si="176"/>
        <v>700000</v>
      </c>
      <c r="AA171" s="202">
        <v>9600000</v>
      </c>
      <c r="AB171" s="202">
        <v>700000</v>
      </c>
      <c r="AC171" s="202"/>
      <c r="AD171" s="202"/>
      <c r="AE171" s="202"/>
      <c r="AF171" s="202"/>
      <c r="AG171" s="343">
        <f t="shared" si="177"/>
        <v>0</v>
      </c>
      <c r="AH171" s="205">
        <f t="shared" si="181"/>
        <v>0</v>
      </c>
      <c r="AI171" s="202"/>
      <c r="AJ171" s="202"/>
      <c r="AK171" s="202">
        <f t="shared" si="179"/>
        <v>0</v>
      </c>
      <c r="AL171" s="202"/>
      <c r="AM171" s="202"/>
      <c r="AN171" s="206">
        <f t="shared" si="155"/>
        <v>0</v>
      </c>
      <c r="AO171" s="296"/>
      <c r="AP171" s="296"/>
      <c r="AT171" s="209"/>
      <c r="AU171" s="209"/>
      <c r="AV171" s="210"/>
      <c r="AW171" s="210"/>
      <c r="AX171" s="211"/>
    </row>
    <row r="172" spans="1:50" s="208" customFormat="1">
      <c r="A172" s="228">
        <v>11</v>
      </c>
      <c r="B172" s="229" t="s">
        <v>229</v>
      </c>
      <c r="C172" s="200">
        <f t="shared" si="152"/>
        <v>10300000</v>
      </c>
      <c r="D172" s="201">
        <f t="shared" si="153"/>
        <v>0</v>
      </c>
      <c r="E172" s="201">
        <f t="shared" si="169"/>
        <v>0</v>
      </c>
      <c r="F172" s="201">
        <f t="shared" si="169"/>
        <v>0</v>
      </c>
      <c r="G172" s="202"/>
      <c r="H172" s="202"/>
      <c r="I172" s="202"/>
      <c r="J172" s="202"/>
      <c r="K172" s="202"/>
      <c r="L172" s="202"/>
      <c r="M172" s="202">
        <f t="shared" si="182"/>
        <v>0</v>
      </c>
      <c r="N172" s="202">
        <f t="shared" si="164"/>
        <v>0</v>
      </c>
      <c r="O172" s="202">
        <f t="shared" si="164"/>
        <v>0</v>
      </c>
      <c r="P172" s="202"/>
      <c r="Q172" s="202"/>
      <c r="R172" s="202"/>
      <c r="S172" s="202"/>
      <c r="T172" s="202"/>
      <c r="U172" s="202"/>
      <c r="V172" s="202">
        <f t="shared" si="180"/>
        <v>10300000</v>
      </c>
      <c r="W172" s="202"/>
      <c r="X172" s="202">
        <f t="shared" si="175"/>
        <v>10300000</v>
      </c>
      <c r="Y172" s="204">
        <f t="shared" si="176"/>
        <v>9600000</v>
      </c>
      <c r="Z172" s="204">
        <f t="shared" si="176"/>
        <v>700000</v>
      </c>
      <c r="AA172" s="202">
        <v>9600000</v>
      </c>
      <c r="AB172" s="202">
        <v>700000</v>
      </c>
      <c r="AC172" s="202"/>
      <c r="AD172" s="202"/>
      <c r="AE172" s="202"/>
      <c r="AF172" s="202"/>
      <c r="AG172" s="343">
        <f t="shared" si="177"/>
        <v>0</v>
      </c>
      <c r="AH172" s="205">
        <f t="shared" si="181"/>
        <v>0</v>
      </c>
      <c r="AI172" s="202"/>
      <c r="AJ172" s="202"/>
      <c r="AK172" s="202">
        <f t="shared" si="179"/>
        <v>0</v>
      </c>
      <c r="AL172" s="202"/>
      <c r="AM172" s="202"/>
      <c r="AN172" s="206">
        <f t="shared" si="155"/>
        <v>0</v>
      </c>
      <c r="AO172" s="207"/>
      <c r="AP172" s="207"/>
      <c r="AT172" s="209"/>
      <c r="AU172" s="209"/>
      <c r="AV172" s="210"/>
      <c r="AW172" s="210"/>
      <c r="AX172" s="211"/>
    </row>
    <row r="173" spans="1:50" s="208" customFormat="1" ht="25.5" customHeight="1">
      <c r="A173" s="228">
        <v>12</v>
      </c>
      <c r="B173" s="295" t="s">
        <v>217</v>
      </c>
      <c r="C173" s="200">
        <f t="shared" si="152"/>
        <v>10300000</v>
      </c>
      <c r="D173" s="201">
        <f t="shared" si="153"/>
        <v>0</v>
      </c>
      <c r="E173" s="201">
        <f t="shared" si="169"/>
        <v>0</v>
      </c>
      <c r="F173" s="201">
        <f t="shared" si="169"/>
        <v>0</v>
      </c>
      <c r="G173" s="202"/>
      <c r="H173" s="202"/>
      <c r="I173" s="202"/>
      <c r="J173" s="202"/>
      <c r="K173" s="202"/>
      <c r="L173" s="202"/>
      <c r="M173" s="202">
        <f t="shared" si="182"/>
        <v>0</v>
      </c>
      <c r="N173" s="202">
        <f t="shared" si="164"/>
        <v>0</v>
      </c>
      <c r="O173" s="202">
        <f t="shared" si="164"/>
        <v>0</v>
      </c>
      <c r="P173" s="202"/>
      <c r="Q173" s="202"/>
      <c r="R173" s="202"/>
      <c r="S173" s="202"/>
      <c r="T173" s="202"/>
      <c r="U173" s="202"/>
      <c r="V173" s="202">
        <f t="shared" si="180"/>
        <v>10300000</v>
      </c>
      <c r="W173" s="202"/>
      <c r="X173" s="202">
        <f t="shared" si="175"/>
        <v>10300000</v>
      </c>
      <c r="Y173" s="204">
        <f t="shared" si="176"/>
        <v>9600000</v>
      </c>
      <c r="Z173" s="204">
        <f t="shared" si="176"/>
        <v>700000</v>
      </c>
      <c r="AA173" s="202">
        <v>9600000</v>
      </c>
      <c r="AB173" s="202">
        <v>700000</v>
      </c>
      <c r="AC173" s="202"/>
      <c r="AD173" s="202"/>
      <c r="AE173" s="202"/>
      <c r="AF173" s="202"/>
      <c r="AG173" s="343">
        <f t="shared" si="177"/>
        <v>5084000</v>
      </c>
      <c r="AH173" s="205">
        <f t="shared" si="181"/>
        <v>0</v>
      </c>
      <c r="AI173" s="202"/>
      <c r="AJ173" s="202"/>
      <c r="AK173" s="202">
        <f t="shared" si="179"/>
        <v>5084000</v>
      </c>
      <c r="AL173" s="202">
        <v>5084000</v>
      </c>
      <c r="AM173" s="202"/>
      <c r="AN173" s="206">
        <f t="shared" si="155"/>
        <v>49.359223300970875</v>
      </c>
      <c r="AO173" s="207"/>
      <c r="AP173" s="207"/>
      <c r="AT173" s="209"/>
      <c r="AU173" s="209"/>
      <c r="AV173" s="210"/>
      <c r="AW173" s="210"/>
      <c r="AX173" s="211"/>
    </row>
    <row r="174" spans="1:50" s="208" customFormat="1" ht="23.25" customHeight="1">
      <c r="A174" s="228">
        <v>13</v>
      </c>
      <c r="B174" s="295" t="s">
        <v>232</v>
      </c>
      <c r="C174" s="200">
        <f t="shared" si="152"/>
        <v>10000000</v>
      </c>
      <c r="D174" s="201">
        <f t="shared" si="153"/>
        <v>0</v>
      </c>
      <c r="E174" s="201">
        <f t="shared" si="169"/>
        <v>0</v>
      </c>
      <c r="F174" s="201">
        <f t="shared" si="169"/>
        <v>0</v>
      </c>
      <c r="G174" s="202"/>
      <c r="H174" s="202"/>
      <c r="I174" s="202"/>
      <c r="J174" s="202"/>
      <c r="K174" s="202"/>
      <c r="L174" s="202"/>
      <c r="M174" s="202">
        <f t="shared" si="182"/>
        <v>10000000</v>
      </c>
      <c r="N174" s="202">
        <f t="shared" si="164"/>
        <v>9500000</v>
      </c>
      <c r="O174" s="202">
        <f t="shared" si="164"/>
        <v>500000</v>
      </c>
      <c r="P174" s="202">
        <v>9500000</v>
      </c>
      <c r="Q174" s="202">
        <v>500000</v>
      </c>
      <c r="R174" s="202"/>
      <c r="S174" s="202"/>
      <c r="T174" s="202"/>
      <c r="U174" s="202"/>
      <c r="V174" s="202">
        <f t="shared" si="180"/>
        <v>0</v>
      </c>
      <c r="W174" s="202"/>
      <c r="X174" s="202">
        <f t="shared" si="175"/>
        <v>0</v>
      </c>
      <c r="Y174" s="204">
        <f t="shared" si="176"/>
        <v>0</v>
      </c>
      <c r="Z174" s="204">
        <f t="shared" si="176"/>
        <v>0</v>
      </c>
      <c r="AA174" s="202"/>
      <c r="AB174" s="202"/>
      <c r="AC174" s="202"/>
      <c r="AD174" s="202"/>
      <c r="AE174" s="202"/>
      <c r="AF174" s="202"/>
      <c r="AG174" s="343">
        <f t="shared" si="177"/>
        <v>0</v>
      </c>
      <c r="AH174" s="205">
        <f t="shared" si="181"/>
        <v>0</v>
      </c>
      <c r="AI174" s="202"/>
      <c r="AJ174" s="202"/>
      <c r="AK174" s="202">
        <f t="shared" si="179"/>
        <v>0</v>
      </c>
      <c r="AL174" s="202"/>
      <c r="AM174" s="202"/>
      <c r="AN174" s="206">
        <f t="shared" si="155"/>
        <v>0</v>
      </c>
      <c r="AO174" s="207"/>
      <c r="AP174" s="207"/>
      <c r="AT174" s="209"/>
      <c r="AU174" s="209"/>
      <c r="AV174" s="210"/>
      <c r="AW174" s="210"/>
      <c r="AX174" s="211"/>
    </row>
    <row r="175" spans="1:50" s="208" customFormat="1">
      <c r="A175" s="228">
        <v>14</v>
      </c>
      <c r="B175" s="236" t="s">
        <v>213</v>
      </c>
      <c r="C175" s="200">
        <f t="shared" si="152"/>
        <v>7200000.0000000009</v>
      </c>
      <c r="D175" s="201">
        <f t="shared" si="153"/>
        <v>0</v>
      </c>
      <c r="E175" s="201">
        <f t="shared" si="169"/>
        <v>0</v>
      </c>
      <c r="F175" s="201">
        <f t="shared" si="169"/>
        <v>0</v>
      </c>
      <c r="G175" s="202"/>
      <c r="H175" s="202"/>
      <c r="I175" s="202"/>
      <c r="J175" s="202"/>
      <c r="K175" s="202"/>
      <c r="L175" s="202"/>
      <c r="M175" s="202">
        <f t="shared" si="182"/>
        <v>2100000.0000000009</v>
      </c>
      <c r="N175" s="202">
        <f t="shared" si="164"/>
        <v>1970000.0000000007</v>
      </c>
      <c r="O175" s="202">
        <f t="shared" si="164"/>
        <v>130000</v>
      </c>
      <c r="P175" s="202">
        <v>1970000.0000000007</v>
      </c>
      <c r="Q175" s="202">
        <v>130000</v>
      </c>
      <c r="R175" s="202"/>
      <c r="S175" s="202"/>
      <c r="T175" s="202"/>
      <c r="U175" s="202"/>
      <c r="V175" s="202">
        <f t="shared" ref="V175:V191" si="183">SUM(W175:X175)</f>
        <v>5100000</v>
      </c>
      <c r="W175" s="203"/>
      <c r="X175" s="202">
        <f>SUM(Y175:Z175)</f>
        <v>5100000</v>
      </c>
      <c r="Y175" s="204">
        <f>+AA175+AC175-AE175</f>
        <v>4800000</v>
      </c>
      <c r="Z175" s="204">
        <f>+AB175+AD175-AF175</f>
        <v>300000</v>
      </c>
      <c r="AA175" s="205">
        <v>4800000</v>
      </c>
      <c r="AB175" s="205">
        <v>300000</v>
      </c>
      <c r="AC175" s="205"/>
      <c r="AD175" s="205"/>
      <c r="AE175" s="205"/>
      <c r="AF175" s="205"/>
      <c r="AG175" s="343">
        <f t="shared" si="177"/>
        <v>0</v>
      </c>
      <c r="AH175" s="205">
        <f t="shared" si="181"/>
        <v>0</v>
      </c>
      <c r="AI175" s="203"/>
      <c r="AJ175" s="203"/>
      <c r="AK175" s="202">
        <f t="shared" si="179"/>
        <v>0</v>
      </c>
      <c r="AL175" s="203"/>
      <c r="AM175" s="203"/>
      <c r="AN175" s="206">
        <f t="shared" si="155"/>
        <v>0</v>
      </c>
      <c r="AO175" s="207"/>
      <c r="AP175" s="207"/>
      <c r="AT175" s="209"/>
      <c r="AU175" s="209"/>
      <c r="AV175" s="210"/>
      <c r="AW175" s="210"/>
      <c r="AX175" s="211"/>
    </row>
    <row r="176" spans="1:50" s="208" customFormat="1">
      <c r="A176" s="228">
        <v>15</v>
      </c>
      <c r="B176" s="236" t="s">
        <v>210</v>
      </c>
      <c r="C176" s="200">
        <f t="shared" si="152"/>
        <v>7000000</v>
      </c>
      <c r="D176" s="201">
        <f t="shared" si="153"/>
        <v>0</v>
      </c>
      <c r="E176" s="201">
        <f t="shared" si="169"/>
        <v>0</v>
      </c>
      <c r="F176" s="201">
        <f t="shared" si="169"/>
        <v>0</v>
      </c>
      <c r="G176" s="202"/>
      <c r="H176" s="202"/>
      <c r="I176" s="202"/>
      <c r="J176" s="202"/>
      <c r="K176" s="202"/>
      <c r="L176" s="202"/>
      <c r="M176" s="202">
        <f t="shared" si="182"/>
        <v>5000000</v>
      </c>
      <c r="N176" s="202">
        <f t="shared" si="164"/>
        <v>4700000</v>
      </c>
      <c r="O176" s="202">
        <f t="shared" si="164"/>
        <v>300000</v>
      </c>
      <c r="P176" s="202">
        <v>4700000</v>
      </c>
      <c r="Q176" s="202">
        <v>300000</v>
      </c>
      <c r="R176" s="202"/>
      <c r="S176" s="202"/>
      <c r="T176" s="202"/>
      <c r="U176" s="202"/>
      <c r="V176" s="202">
        <f t="shared" si="183"/>
        <v>2000000</v>
      </c>
      <c r="W176" s="203"/>
      <c r="X176" s="202">
        <f t="shared" ref="X176:X191" si="184">SUM(Y176:Z176)</f>
        <v>2000000</v>
      </c>
      <c r="Y176" s="204">
        <f t="shared" ref="Y176:Z191" si="185">+AA176+AC176-AE176</f>
        <v>1900000</v>
      </c>
      <c r="Z176" s="204">
        <f t="shared" si="185"/>
        <v>100000</v>
      </c>
      <c r="AA176" s="205">
        <v>1900000</v>
      </c>
      <c r="AB176" s="205">
        <v>100000</v>
      </c>
      <c r="AC176" s="205"/>
      <c r="AD176" s="205"/>
      <c r="AE176" s="205"/>
      <c r="AF176" s="205"/>
      <c r="AG176" s="343">
        <f t="shared" si="177"/>
        <v>0</v>
      </c>
      <c r="AH176" s="205">
        <f t="shared" si="181"/>
        <v>0</v>
      </c>
      <c r="AI176" s="203"/>
      <c r="AJ176" s="203"/>
      <c r="AK176" s="202">
        <f t="shared" si="179"/>
        <v>0</v>
      </c>
      <c r="AL176" s="203"/>
      <c r="AM176" s="203"/>
      <c r="AN176" s="206">
        <f t="shared" si="155"/>
        <v>0</v>
      </c>
      <c r="AO176" s="207"/>
      <c r="AP176" s="207"/>
      <c r="AT176" s="209"/>
      <c r="AU176" s="209"/>
      <c r="AV176" s="210"/>
      <c r="AW176" s="210"/>
      <c r="AX176" s="211"/>
    </row>
    <row r="177" spans="1:50" s="208" customFormat="1">
      <c r="A177" s="228">
        <v>16</v>
      </c>
      <c r="B177" s="236" t="s">
        <v>205</v>
      </c>
      <c r="C177" s="200">
        <f t="shared" si="152"/>
        <v>3600000</v>
      </c>
      <c r="D177" s="201">
        <f t="shared" si="153"/>
        <v>0</v>
      </c>
      <c r="E177" s="201">
        <f t="shared" si="169"/>
        <v>0</v>
      </c>
      <c r="F177" s="201">
        <f t="shared" si="169"/>
        <v>0</v>
      </c>
      <c r="G177" s="202"/>
      <c r="H177" s="202"/>
      <c r="I177" s="202"/>
      <c r="J177" s="202"/>
      <c r="K177" s="202"/>
      <c r="L177" s="202"/>
      <c r="M177" s="202">
        <f t="shared" si="182"/>
        <v>2500000</v>
      </c>
      <c r="N177" s="202">
        <f t="shared" si="164"/>
        <v>2370000</v>
      </c>
      <c r="O177" s="202">
        <f t="shared" si="164"/>
        <v>130000</v>
      </c>
      <c r="P177" s="202">
        <v>2370000</v>
      </c>
      <c r="Q177" s="202">
        <v>130000</v>
      </c>
      <c r="R177" s="202"/>
      <c r="S177" s="202"/>
      <c r="T177" s="202"/>
      <c r="U177" s="202"/>
      <c r="V177" s="202">
        <f t="shared" si="183"/>
        <v>1100000</v>
      </c>
      <c r="W177" s="203"/>
      <c r="X177" s="202">
        <f t="shared" si="184"/>
        <v>1100000</v>
      </c>
      <c r="Y177" s="204">
        <f t="shared" si="185"/>
        <v>1000000</v>
      </c>
      <c r="Z177" s="204">
        <f t="shared" si="185"/>
        <v>100000</v>
      </c>
      <c r="AA177" s="205">
        <v>1000000</v>
      </c>
      <c r="AB177" s="205">
        <v>100000</v>
      </c>
      <c r="AC177" s="205"/>
      <c r="AD177" s="205"/>
      <c r="AE177" s="205"/>
      <c r="AF177" s="205"/>
      <c r="AG177" s="343">
        <f t="shared" si="177"/>
        <v>0</v>
      </c>
      <c r="AH177" s="205">
        <f t="shared" si="181"/>
        <v>0</v>
      </c>
      <c r="AI177" s="203"/>
      <c r="AJ177" s="203"/>
      <c r="AK177" s="202">
        <f t="shared" si="179"/>
        <v>0</v>
      </c>
      <c r="AL177" s="203"/>
      <c r="AM177" s="203"/>
      <c r="AN177" s="206">
        <f t="shared" si="155"/>
        <v>0</v>
      </c>
      <c r="AO177" s="207"/>
      <c r="AP177" s="207"/>
      <c r="AT177" s="209"/>
      <c r="AU177" s="209"/>
      <c r="AV177" s="210"/>
      <c r="AW177" s="210"/>
      <c r="AX177" s="211"/>
    </row>
    <row r="178" spans="1:50" s="208" customFormat="1">
      <c r="A178" s="228">
        <v>17</v>
      </c>
      <c r="B178" s="236" t="s">
        <v>214</v>
      </c>
      <c r="C178" s="200">
        <f t="shared" si="152"/>
        <v>5100000</v>
      </c>
      <c r="D178" s="201">
        <f t="shared" si="153"/>
        <v>0</v>
      </c>
      <c r="E178" s="201">
        <f t="shared" si="169"/>
        <v>0</v>
      </c>
      <c r="F178" s="201">
        <f t="shared" si="169"/>
        <v>0</v>
      </c>
      <c r="G178" s="202"/>
      <c r="H178" s="202"/>
      <c r="I178" s="202"/>
      <c r="J178" s="202"/>
      <c r="K178" s="202"/>
      <c r="L178" s="202"/>
      <c r="M178" s="202">
        <f t="shared" si="182"/>
        <v>0</v>
      </c>
      <c r="N178" s="202">
        <f t="shared" si="164"/>
        <v>0</v>
      </c>
      <c r="O178" s="202">
        <f t="shared" si="164"/>
        <v>0</v>
      </c>
      <c r="P178" s="202">
        <v>0</v>
      </c>
      <c r="Q178" s="202">
        <v>0</v>
      </c>
      <c r="R178" s="202"/>
      <c r="S178" s="202"/>
      <c r="T178" s="202"/>
      <c r="U178" s="202"/>
      <c r="V178" s="202">
        <f t="shared" si="183"/>
        <v>5100000</v>
      </c>
      <c r="W178" s="203"/>
      <c r="X178" s="202">
        <f t="shared" si="184"/>
        <v>5100000</v>
      </c>
      <c r="Y178" s="204">
        <f t="shared" si="185"/>
        <v>4800000</v>
      </c>
      <c r="Z178" s="204">
        <f t="shared" si="185"/>
        <v>300000</v>
      </c>
      <c r="AA178" s="205">
        <v>4800000</v>
      </c>
      <c r="AB178" s="205">
        <v>300000</v>
      </c>
      <c r="AC178" s="205"/>
      <c r="AD178" s="205"/>
      <c r="AE178" s="205"/>
      <c r="AF178" s="205"/>
      <c r="AG178" s="343">
        <f t="shared" si="177"/>
        <v>0</v>
      </c>
      <c r="AH178" s="205">
        <f t="shared" si="181"/>
        <v>0</v>
      </c>
      <c r="AI178" s="203"/>
      <c r="AJ178" s="203"/>
      <c r="AK178" s="202">
        <f t="shared" si="179"/>
        <v>0</v>
      </c>
      <c r="AL178" s="203"/>
      <c r="AM178" s="203"/>
      <c r="AN178" s="206">
        <f t="shared" si="155"/>
        <v>0</v>
      </c>
      <c r="AO178" s="207"/>
      <c r="AP178" s="207"/>
      <c r="AT178" s="209"/>
      <c r="AU178" s="209"/>
      <c r="AV178" s="210"/>
      <c r="AW178" s="210"/>
      <c r="AX178" s="211"/>
    </row>
    <row r="179" spans="1:50" s="208" customFormat="1">
      <c r="A179" s="228">
        <v>18</v>
      </c>
      <c r="B179" s="236" t="s">
        <v>206</v>
      </c>
      <c r="C179" s="200">
        <f t="shared" si="152"/>
        <v>11500000</v>
      </c>
      <c r="D179" s="201">
        <f t="shared" si="153"/>
        <v>0</v>
      </c>
      <c r="E179" s="201">
        <f t="shared" si="169"/>
        <v>0</v>
      </c>
      <c r="F179" s="201">
        <f t="shared" si="169"/>
        <v>0</v>
      </c>
      <c r="G179" s="202"/>
      <c r="H179" s="202"/>
      <c r="I179" s="202"/>
      <c r="J179" s="202"/>
      <c r="K179" s="202"/>
      <c r="L179" s="202"/>
      <c r="M179" s="202">
        <f t="shared" si="182"/>
        <v>6400000.0000000009</v>
      </c>
      <c r="N179" s="202">
        <f t="shared" si="164"/>
        <v>6055000.0000000009</v>
      </c>
      <c r="O179" s="202">
        <f t="shared" si="164"/>
        <v>345000</v>
      </c>
      <c r="P179" s="202">
        <v>6055000.0000000009</v>
      </c>
      <c r="Q179" s="202">
        <v>345000</v>
      </c>
      <c r="R179" s="202"/>
      <c r="S179" s="202"/>
      <c r="T179" s="202"/>
      <c r="U179" s="202"/>
      <c r="V179" s="202">
        <f t="shared" si="183"/>
        <v>5100000</v>
      </c>
      <c r="W179" s="203"/>
      <c r="X179" s="202">
        <f t="shared" si="184"/>
        <v>5100000</v>
      </c>
      <c r="Y179" s="204">
        <f t="shared" si="185"/>
        <v>4800000</v>
      </c>
      <c r="Z179" s="204">
        <f t="shared" si="185"/>
        <v>300000</v>
      </c>
      <c r="AA179" s="205">
        <v>4800000</v>
      </c>
      <c r="AB179" s="205">
        <v>300000</v>
      </c>
      <c r="AC179" s="205"/>
      <c r="AD179" s="205"/>
      <c r="AE179" s="205"/>
      <c r="AF179" s="205"/>
      <c r="AG179" s="343">
        <f t="shared" si="177"/>
        <v>0</v>
      </c>
      <c r="AH179" s="205">
        <f t="shared" si="181"/>
        <v>0</v>
      </c>
      <c r="AI179" s="203"/>
      <c r="AJ179" s="203"/>
      <c r="AK179" s="202">
        <f t="shared" si="179"/>
        <v>0</v>
      </c>
      <c r="AL179" s="203"/>
      <c r="AM179" s="203"/>
      <c r="AN179" s="206">
        <f t="shared" si="155"/>
        <v>0</v>
      </c>
      <c r="AO179" s="207"/>
      <c r="AP179" s="207"/>
      <c r="AT179" s="209"/>
      <c r="AU179" s="209"/>
      <c r="AV179" s="210"/>
      <c r="AW179" s="210"/>
      <c r="AX179" s="211"/>
    </row>
    <row r="180" spans="1:50" s="208" customFormat="1">
      <c r="A180" s="228">
        <v>19</v>
      </c>
      <c r="B180" s="236" t="s">
        <v>199</v>
      </c>
      <c r="C180" s="200">
        <f t="shared" si="152"/>
        <v>16500000</v>
      </c>
      <c r="D180" s="201">
        <f t="shared" si="153"/>
        <v>0</v>
      </c>
      <c r="E180" s="201">
        <f t="shared" si="169"/>
        <v>0</v>
      </c>
      <c r="F180" s="201">
        <f t="shared" si="169"/>
        <v>0</v>
      </c>
      <c r="G180" s="202"/>
      <c r="H180" s="202"/>
      <c r="I180" s="202"/>
      <c r="J180" s="202"/>
      <c r="K180" s="202"/>
      <c r="L180" s="202"/>
      <c r="M180" s="202">
        <f t="shared" si="182"/>
        <v>11500000</v>
      </c>
      <c r="N180" s="202">
        <f t="shared" si="164"/>
        <v>10900000</v>
      </c>
      <c r="O180" s="202">
        <f t="shared" si="164"/>
        <v>600000</v>
      </c>
      <c r="P180" s="202">
        <v>10900000</v>
      </c>
      <c r="Q180" s="202">
        <v>600000</v>
      </c>
      <c r="R180" s="202"/>
      <c r="S180" s="202"/>
      <c r="T180" s="202"/>
      <c r="U180" s="202"/>
      <c r="V180" s="202">
        <f t="shared" si="183"/>
        <v>5000000</v>
      </c>
      <c r="W180" s="203"/>
      <c r="X180" s="202">
        <f t="shared" si="184"/>
        <v>5000000</v>
      </c>
      <c r="Y180" s="204">
        <f t="shared" si="185"/>
        <v>4800000</v>
      </c>
      <c r="Z180" s="204">
        <f t="shared" si="185"/>
        <v>200000</v>
      </c>
      <c r="AA180" s="205">
        <v>4800000</v>
      </c>
      <c r="AB180" s="205">
        <v>200000</v>
      </c>
      <c r="AC180" s="205"/>
      <c r="AD180" s="205"/>
      <c r="AE180" s="205"/>
      <c r="AF180" s="205"/>
      <c r="AG180" s="343">
        <f t="shared" si="177"/>
        <v>0</v>
      </c>
      <c r="AH180" s="205">
        <f t="shared" si="181"/>
        <v>0</v>
      </c>
      <c r="AI180" s="203"/>
      <c r="AJ180" s="203"/>
      <c r="AK180" s="202">
        <f t="shared" si="179"/>
        <v>0</v>
      </c>
      <c r="AL180" s="203"/>
      <c r="AM180" s="203"/>
      <c r="AN180" s="206">
        <f t="shared" si="155"/>
        <v>0</v>
      </c>
      <c r="AO180" s="207"/>
      <c r="AP180" s="207"/>
      <c r="AT180" s="209"/>
      <c r="AU180" s="209"/>
      <c r="AV180" s="210"/>
      <c r="AW180" s="210"/>
      <c r="AX180" s="211"/>
    </row>
    <row r="181" spans="1:50" s="358" customFormat="1" ht="13.5" customHeight="1">
      <c r="A181" s="359">
        <v>20</v>
      </c>
      <c r="B181" s="360" t="s">
        <v>207</v>
      </c>
      <c r="C181" s="340">
        <f t="shared" si="152"/>
        <v>16600000</v>
      </c>
      <c r="D181" s="361">
        <f t="shared" si="153"/>
        <v>0</v>
      </c>
      <c r="E181" s="347">
        <f t="shared" si="169"/>
        <v>0</v>
      </c>
      <c r="F181" s="347">
        <f t="shared" si="169"/>
        <v>0</v>
      </c>
      <c r="G181" s="340"/>
      <c r="H181" s="340"/>
      <c r="I181" s="340"/>
      <c r="J181" s="340"/>
      <c r="K181" s="340"/>
      <c r="L181" s="340"/>
      <c r="M181" s="340">
        <f t="shared" si="182"/>
        <v>11500000</v>
      </c>
      <c r="N181" s="340">
        <f t="shared" si="164"/>
        <v>10900000</v>
      </c>
      <c r="O181" s="340">
        <f t="shared" si="164"/>
        <v>600000</v>
      </c>
      <c r="P181" s="340">
        <v>10900000</v>
      </c>
      <c r="Q181" s="340">
        <v>600000</v>
      </c>
      <c r="R181" s="340"/>
      <c r="S181" s="340"/>
      <c r="T181" s="340"/>
      <c r="U181" s="340"/>
      <c r="V181" s="340">
        <f t="shared" si="183"/>
        <v>5100000</v>
      </c>
      <c r="W181" s="340"/>
      <c r="X181" s="340">
        <f t="shared" si="184"/>
        <v>5100000</v>
      </c>
      <c r="Y181" s="343">
        <f t="shared" si="185"/>
        <v>4800000</v>
      </c>
      <c r="Z181" s="343">
        <f t="shared" si="185"/>
        <v>300000</v>
      </c>
      <c r="AA181" s="343">
        <v>4800000</v>
      </c>
      <c r="AB181" s="343">
        <v>300000</v>
      </c>
      <c r="AC181" s="343"/>
      <c r="AD181" s="343"/>
      <c r="AE181" s="343"/>
      <c r="AF181" s="343"/>
      <c r="AG181" s="343">
        <f t="shared" si="177"/>
        <v>8890400</v>
      </c>
      <c r="AH181" s="343">
        <f t="shared" si="181"/>
        <v>8590400</v>
      </c>
      <c r="AI181" s="340">
        <v>7990400</v>
      </c>
      <c r="AJ181" s="340">
        <v>600000</v>
      </c>
      <c r="AK181" s="340">
        <f t="shared" si="179"/>
        <v>300000</v>
      </c>
      <c r="AL181" s="340"/>
      <c r="AM181" s="340">
        <v>300000</v>
      </c>
      <c r="AN181" s="348">
        <f t="shared" si="155"/>
        <v>53.556626506024095</v>
      </c>
      <c r="AO181" s="362"/>
      <c r="AP181" s="362"/>
      <c r="AT181" s="357"/>
      <c r="AU181" s="357"/>
      <c r="AV181" s="357"/>
      <c r="AW181" s="357"/>
    </row>
    <row r="182" spans="1:50" s="208" customFormat="1">
      <c r="A182" s="228">
        <v>21</v>
      </c>
      <c r="B182" s="236" t="s">
        <v>200</v>
      </c>
      <c r="C182" s="200">
        <f t="shared" si="152"/>
        <v>5412000</v>
      </c>
      <c r="D182" s="201">
        <f t="shared" si="153"/>
        <v>0</v>
      </c>
      <c r="E182" s="201">
        <f t="shared" si="169"/>
        <v>0</v>
      </c>
      <c r="F182" s="201">
        <f t="shared" si="169"/>
        <v>0</v>
      </c>
      <c r="G182" s="202"/>
      <c r="H182" s="202"/>
      <c r="I182" s="202"/>
      <c r="J182" s="202"/>
      <c r="K182" s="202"/>
      <c r="L182" s="202"/>
      <c r="M182" s="202">
        <f t="shared" si="182"/>
        <v>412000.00000000047</v>
      </c>
      <c r="N182" s="202">
        <f>+P182+R182-T182</f>
        <v>366400.00000000052</v>
      </c>
      <c r="O182" s="202">
        <f t="shared" si="164"/>
        <v>45599.999999999971</v>
      </c>
      <c r="P182" s="202">
        <v>366400.00000000052</v>
      </c>
      <c r="Q182" s="202">
        <v>45599.999999999971</v>
      </c>
      <c r="R182" s="202"/>
      <c r="S182" s="202"/>
      <c r="T182" s="202"/>
      <c r="U182" s="202"/>
      <c r="V182" s="202">
        <f t="shared" si="183"/>
        <v>5000000</v>
      </c>
      <c r="W182" s="203"/>
      <c r="X182" s="202">
        <f t="shared" si="184"/>
        <v>5000000</v>
      </c>
      <c r="Y182" s="204">
        <f t="shared" si="185"/>
        <v>4800000</v>
      </c>
      <c r="Z182" s="204">
        <f t="shared" si="185"/>
        <v>200000</v>
      </c>
      <c r="AA182" s="205">
        <v>4800000</v>
      </c>
      <c r="AB182" s="205">
        <v>200000</v>
      </c>
      <c r="AC182" s="205"/>
      <c r="AD182" s="205"/>
      <c r="AE182" s="205"/>
      <c r="AF182" s="205"/>
      <c r="AG182" s="343">
        <f t="shared" si="177"/>
        <v>0</v>
      </c>
      <c r="AH182" s="205">
        <f t="shared" si="181"/>
        <v>0</v>
      </c>
      <c r="AI182" s="203"/>
      <c r="AJ182" s="203"/>
      <c r="AK182" s="202">
        <f t="shared" si="179"/>
        <v>0</v>
      </c>
      <c r="AL182" s="203"/>
      <c r="AM182" s="203"/>
      <c r="AN182" s="206">
        <f t="shared" si="155"/>
        <v>0</v>
      </c>
      <c r="AO182" s="207"/>
      <c r="AP182" s="207"/>
      <c r="AT182" s="209"/>
      <c r="AU182" s="209"/>
      <c r="AV182" s="210"/>
      <c r="AW182" s="210"/>
      <c r="AX182" s="211"/>
    </row>
    <row r="183" spans="1:50" s="208" customFormat="1">
      <c r="A183" s="228">
        <v>22</v>
      </c>
      <c r="B183" s="236" t="s">
        <v>201</v>
      </c>
      <c r="C183" s="200">
        <f t="shared" si="152"/>
        <v>16500000</v>
      </c>
      <c r="D183" s="201">
        <f t="shared" si="153"/>
        <v>0</v>
      </c>
      <c r="E183" s="201">
        <f t="shared" si="169"/>
        <v>0</v>
      </c>
      <c r="F183" s="201">
        <f t="shared" si="169"/>
        <v>0</v>
      </c>
      <c r="G183" s="202"/>
      <c r="H183" s="202"/>
      <c r="I183" s="202"/>
      <c r="J183" s="202"/>
      <c r="K183" s="202"/>
      <c r="L183" s="202"/>
      <c r="M183" s="202">
        <f t="shared" si="182"/>
        <v>11500000</v>
      </c>
      <c r="N183" s="202">
        <f t="shared" si="164"/>
        <v>10900000</v>
      </c>
      <c r="O183" s="202">
        <f t="shared" si="164"/>
        <v>600000</v>
      </c>
      <c r="P183" s="202">
        <v>10900000</v>
      </c>
      <c r="Q183" s="202">
        <v>600000</v>
      </c>
      <c r="R183" s="202"/>
      <c r="S183" s="202"/>
      <c r="T183" s="202"/>
      <c r="U183" s="202"/>
      <c r="V183" s="202">
        <f t="shared" si="183"/>
        <v>5000000</v>
      </c>
      <c r="W183" s="203"/>
      <c r="X183" s="202">
        <f t="shared" si="184"/>
        <v>5000000</v>
      </c>
      <c r="Y183" s="204">
        <f t="shared" si="185"/>
        <v>4800000</v>
      </c>
      <c r="Z183" s="204">
        <f t="shared" si="185"/>
        <v>200000</v>
      </c>
      <c r="AA183" s="205">
        <v>4800000</v>
      </c>
      <c r="AB183" s="205">
        <v>200000</v>
      </c>
      <c r="AC183" s="205"/>
      <c r="AD183" s="205"/>
      <c r="AE183" s="205"/>
      <c r="AF183" s="205"/>
      <c r="AG183" s="343">
        <f t="shared" si="177"/>
        <v>0</v>
      </c>
      <c r="AH183" s="205">
        <f t="shared" si="181"/>
        <v>0</v>
      </c>
      <c r="AI183" s="203"/>
      <c r="AJ183" s="203"/>
      <c r="AK183" s="202">
        <f t="shared" si="179"/>
        <v>0</v>
      </c>
      <c r="AL183" s="203"/>
      <c r="AM183" s="203"/>
      <c r="AN183" s="206">
        <f t="shared" si="155"/>
        <v>0</v>
      </c>
      <c r="AO183" s="207"/>
      <c r="AP183" s="207"/>
      <c r="AT183" s="209"/>
      <c r="AU183" s="209"/>
      <c r="AV183" s="210"/>
      <c r="AW183" s="210"/>
      <c r="AX183" s="211"/>
    </row>
    <row r="184" spans="1:50" s="208" customFormat="1">
      <c r="A184" s="228">
        <v>23</v>
      </c>
      <c r="B184" s="236" t="s">
        <v>216</v>
      </c>
      <c r="C184" s="200">
        <f t="shared" si="152"/>
        <v>5100000</v>
      </c>
      <c r="D184" s="201">
        <f t="shared" si="153"/>
        <v>0</v>
      </c>
      <c r="E184" s="201">
        <f t="shared" si="169"/>
        <v>0</v>
      </c>
      <c r="F184" s="201">
        <f t="shared" si="169"/>
        <v>0</v>
      </c>
      <c r="G184" s="202"/>
      <c r="H184" s="202"/>
      <c r="I184" s="202"/>
      <c r="J184" s="202"/>
      <c r="K184" s="202"/>
      <c r="L184" s="202"/>
      <c r="M184" s="202">
        <f t="shared" si="182"/>
        <v>0</v>
      </c>
      <c r="N184" s="202">
        <f t="shared" si="164"/>
        <v>0</v>
      </c>
      <c r="O184" s="202">
        <f t="shared" si="164"/>
        <v>0</v>
      </c>
      <c r="P184" s="202">
        <v>10900000</v>
      </c>
      <c r="Q184" s="202">
        <v>600000</v>
      </c>
      <c r="R184" s="202"/>
      <c r="S184" s="202"/>
      <c r="T184" s="202">
        <v>10900000</v>
      </c>
      <c r="U184" s="202">
        <v>600000</v>
      </c>
      <c r="V184" s="202">
        <f t="shared" si="183"/>
        <v>5100000</v>
      </c>
      <c r="W184" s="203"/>
      <c r="X184" s="202">
        <f t="shared" si="184"/>
        <v>5100000</v>
      </c>
      <c r="Y184" s="204">
        <f t="shared" si="185"/>
        <v>4800000</v>
      </c>
      <c r="Z184" s="204">
        <f t="shared" si="185"/>
        <v>300000</v>
      </c>
      <c r="AA184" s="205">
        <v>4800000</v>
      </c>
      <c r="AB184" s="205">
        <v>300000</v>
      </c>
      <c r="AC184" s="205"/>
      <c r="AD184" s="205"/>
      <c r="AE184" s="205"/>
      <c r="AF184" s="205"/>
      <c r="AG184" s="343">
        <f t="shared" si="177"/>
        <v>3900000</v>
      </c>
      <c r="AH184" s="205">
        <f t="shared" si="181"/>
        <v>0</v>
      </c>
      <c r="AI184" s="203"/>
      <c r="AJ184" s="203"/>
      <c r="AK184" s="202">
        <f t="shared" si="179"/>
        <v>3900000</v>
      </c>
      <c r="AL184" s="202">
        <v>3900000</v>
      </c>
      <c r="AM184" s="203"/>
      <c r="AN184" s="206">
        <f t="shared" si="155"/>
        <v>76.470588235294116</v>
      </c>
      <c r="AO184" s="207"/>
      <c r="AP184" s="207"/>
      <c r="AT184" s="209"/>
      <c r="AU184" s="209"/>
      <c r="AV184" s="210"/>
      <c r="AW184" s="210"/>
      <c r="AX184" s="211"/>
    </row>
    <row r="185" spans="1:50" s="208" customFormat="1">
      <c r="A185" s="228">
        <v>24</v>
      </c>
      <c r="B185" s="236" t="s">
        <v>203</v>
      </c>
      <c r="C185" s="200">
        <f t="shared" si="152"/>
        <v>5000000</v>
      </c>
      <c r="D185" s="201">
        <f t="shared" si="153"/>
        <v>0</v>
      </c>
      <c r="E185" s="201">
        <f t="shared" si="169"/>
        <v>0</v>
      </c>
      <c r="F185" s="201">
        <f t="shared" si="169"/>
        <v>0</v>
      </c>
      <c r="G185" s="202"/>
      <c r="H185" s="202"/>
      <c r="I185" s="202"/>
      <c r="J185" s="202"/>
      <c r="K185" s="202"/>
      <c r="L185" s="202"/>
      <c r="M185" s="202">
        <f t="shared" si="182"/>
        <v>0</v>
      </c>
      <c r="N185" s="202">
        <f t="shared" si="164"/>
        <v>0</v>
      </c>
      <c r="O185" s="202">
        <f t="shared" si="164"/>
        <v>0</v>
      </c>
      <c r="P185" s="202">
        <v>10900000</v>
      </c>
      <c r="Q185" s="202">
        <v>600000</v>
      </c>
      <c r="R185" s="202"/>
      <c r="S185" s="202"/>
      <c r="T185" s="202">
        <v>10900000</v>
      </c>
      <c r="U185" s="202">
        <v>600000</v>
      </c>
      <c r="V185" s="202">
        <f t="shared" si="183"/>
        <v>5000000</v>
      </c>
      <c r="W185" s="203"/>
      <c r="X185" s="202">
        <f t="shared" si="184"/>
        <v>5000000</v>
      </c>
      <c r="Y185" s="204">
        <f t="shared" si="185"/>
        <v>4800000</v>
      </c>
      <c r="Z185" s="204">
        <f t="shared" si="185"/>
        <v>200000</v>
      </c>
      <c r="AA185" s="205">
        <v>4800000</v>
      </c>
      <c r="AB185" s="205">
        <v>200000</v>
      </c>
      <c r="AC185" s="205"/>
      <c r="AD185" s="205"/>
      <c r="AE185" s="205"/>
      <c r="AF185" s="205"/>
      <c r="AG185" s="343">
        <f t="shared" si="177"/>
        <v>0</v>
      </c>
      <c r="AH185" s="205">
        <f t="shared" si="181"/>
        <v>0</v>
      </c>
      <c r="AI185" s="203"/>
      <c r="AJ185" s="203"/>
      <c r="AK185" s="202">
        <f t="shared" si="179"/>
        <v>0</v>
      </c>
      <c r="AL185" s="203"/>
      <c r="AM185" s="203"/>
      <c r="AN185" s="206">
        <f t="shared" si="155"/>
        <v>0</v>
      </c>
      <c r="AO185" s="207"/>
      <c r="AP185" s="207"/>
      <c r="AT185" s="209"/>
      <c r="AU185" s="209"/>
      <c r="AV185" s="210"/>
      <c r="AW185" s="210"/>
      <c r="AX185" s="211"/>
    </row>
    <row r="186" spans="1:50" s="208" customFormat="1">
      <c r="A186" s="228">
        <v>25</v>
      </c>
      <c r="B186" s="236" t="s">
        <v>208</v>
      </c>
      <c r="C186" s="200">
        <f t="shared" si="152"/>
        <v>16600000</v>
      </c>
      <c r="D186" s="201">
        <f t="shared" si="153"/>
        <v>0</v>
      </c>
      <c r="E186" s="201">
        <f t="shared" si="169"/>
        <v>0</v>
      </c>
      <c r="F186" s="201">
        <f t="shared" si="169"/>
        <v>0</v>
      </c>
      <c r="G186" s="202"/>
      <c r="H186" s="202"/>
      <c r="I186" s="202"/>
      <c r="J186" s="202"/>
      <c r="K186" s="202"/>
      <c r="L186" s="202"/>
      <c r="M186" s="202">
        <f t="shared" si="182"/>
        <v>11500000</v>
      </c>
      <c r="N186" s="202">
        <f t="shared" si="164"/>
        <v>10900000</v>
      </c>
      <c r="O186" s="202">
        <f t="shared" si="164"/>
        <v>600000</v>
      </c>
      <c r="P186" s="202">
        <v>10900000</v>
      </c>
      <c r="Q186" s="202">
        <v>600000</v>
      </c>
      <c r="R186" s="202"/>
      <c r="S186" s="202"/>
      <c r="T186" s="202"/>
      <c r="U186" s="202"/>
      <c r="V186" s="202">
        <f t="shared" si="183"/>
        <v>5100000</v>
      </c>
      <c r="W186" s="203"/>
      <c r="X186" s="202">
        <f t="shared" si="184"/>
        <v>5100000</v>
      </c>
      <c r="Y186" s="204">
        <f t="shared" si="185"/>
        <v>4800000</v>
      </c>
      <c r="Z186" s="204">
        <f t="shared" si="185"/>
        <v>300000</v>
      </c>
      <c r="AA186" s="205">
        <v>4800000</v>
      </c>
      <c r="AB186" s="205">
        <v>300000</v>
      </c>
      <c r="AC186" s="205"/>
      <c r="AD186" s="205"/>
      <c r="AE186" s="205"/>
      <c r="AF186" s="205"/>
      <c r="AG186" s="343">
        <f t="shared" si="177"/>
        <v>0</v>
      </c>
      <c r="AH186" s="205">
        <f t="shared" si="181"/>
        <v>0</v>
      </c>
      <c r="AI186" s="203"/>
      <c r="AJ186" s="203"/>
      <c r="AK186" s="202">
        <f t="shared" si="179"/>
        <v>0</v>
      </c>
      <c r="AL186" s="203"/>
      <c r="AM186" s="203"/>
      <c r="AN186" s="206">
        <f t="shared" si="155"/>
        <v>0</v>
      </c>
      <c r="AO186" s="207"/>
      <c r="AP186" s="207"/>
      <c r="AT186" s="209"/>
      <c r="AU186" s="209"/>
      <c r="AV186" s="210"/>
      <c r="AW186" s="210"/>
      <c r="AX186" s="211"/>
    </row>
    <row r="187" spans="1:50" s="208" customFormat="1">
      <c r="A187" s="228">
        <v>26</v>
      </c>
      <c r="B187" s="236" t="s">
        <v>204</v>
      </c>
      <c r="C187" s="200">
        <f t="shared" si="152"/>
        <v>8080000</v>
      </c>
      <c r="D187" s="201">
        <f t="shared" si="153"/>
        <v>0</v>
      </c>
      <c r="E187" s="201">
        <f t="shared" si="169"/>
        <v>0</v>
      </c>
      <c r="F187" s="201">
        <f t="shared" si="169"/>
        <v>0</v>
      </c>
      <c r="G187" s="202"/>
      <c r="H187" s="202"/>
      <c r="I187" s="202"/>
      <c r="J187" s="202"/>
      <c r="K187" s="202"/>
      <c r="L187" s="202"/>
      <c r="M187" s="202">
        <f t="shared" si="182"/>
        <v>6080000</v>
      </c>
      <c r="N187" s="202">
        <f t="shared" si="164"/>
        <v>6080000</v>
      </c>
      <c r="O187" s="202">
        <f t="shared" si="164"/>
        <v>0</v>
      </c>
      <c r="P187" s="202">
        <v>0</v>
      </c>
      <c r="Q187" s="202">
        <v>0</v>
      </c>
      <c r="R187" s="202">
        <v>6080000</v>
      </c>
      <c r="S187" s="202"/>
      <c r="T187" s="202"/>
      <c r="U187" s="202"/>
      <c r="V187" s="202">
        <f t="shared" si="183"/>
        <v>2000000</v>
      </c>
      <c r="W187" s="203"/>
      <c r="X187" s="202">
        <f t="shared" si="184"/>
        <v>2000000</v>
      </c>
      <c r="Y187" s="204">
        <f t="shared" si="185"/>
        <v>1900000</v>
      </c>
      <c r="Z187" s="204">
        <f t="shared" si="185"/>
        <v>100000</v>
      </c>
      <c r="AA187" s="205">
        <v>1900000</v>
      </c>
      <c r="AB187" s="205">
        <v>100000</v>
      </c>
      <c r="AC187" s="205"/>
      <c r="AD187" s="205"/>
      <c r="AE187" s="205"/>
      <c r="AF187" s="205"/>
      <c r="AG187" s="343">
        <f t="shared" si="177"/>
        <v>0</v>
      </c>
      <c r="AH187" s="205">
        <f t="shared" si="181"/>
        <v>0</v>
      </c>
      <c r="AI187" s="203"/>
      <c r="AJ187" s="203"/>
      <c r="AK187" s="202">
        <f t="shared" si="179"/>
        <v>0</v>
      </c>
      <c r="AL187" s="203"/>
      <c r="AM187" s="203"/>
      <c r="AN187" s="206">
        <f t="shared" si="155"/>
        <v>0</v>
      </c>
      <c r="AO187" s="207"/>
      <c r="AP187" s="207"/>
      <c r="AT187" s="209"/>
      <c r="AU187" s="209"/>
      <c r="AV187" s="210"/>
      <c r="AW187" s="210"/>
      <c r="AX187" s="211"/>
    </row>
    <row r="188" spans="1:50" s="208" customFormat="1">
      <c r="A188" s="228">
        <v>27</v>
      </c>
      <c r="B188" s="236" t="s">
        <v>212</v>
      </c>
      <c r="C188" s="200">
        <f t="shared" si="152"/>
        <v>15250000</v>
      </c>
      <c r="D188" s="201">
        <f t="shared" si="153"/>
        <v>0</v>
      </c>
      <c r="E188" s="201">
        <f t="shared" si="169"/>
        <v>0</v>
      </c>
      <c r="F188" s="201">
        <f t="shared" si="169"/>
        <v>0</v>
      </c>
      <c r="G188" s="202"/>
      <c r="H188" s="202"/>
      <c r="I188" s="202"/>
      <c r="J188" s="202"/>
      <c r="K188" s="202"/>
      <c r="L188" s="202"/>
      <c r="M188" s="202">
        <f t="shared" si="182"/>
        <v>10150000</v>
      </c>
      <c r="N188" s="202">
        <f t="shared" si="164"/>
        <v>10150000</v>
      </c>
      <c r="O188" s="202">
        <f t="shared" si="164"/>
        <v>0</v>
      </c>
      <c r="P188" s="202">
        <v>10150000</v>
      </c>
      <c r="Q188" s="202">
        <v>0</v>
      </c>
      <c r="R188" s="202"/>
      <c r="S188" s="202"/>
      <c r="T188" s="202"/>
      <c r="U188" s="202"/>
      <c r="V188" s="202">
        <f t="shared" si="183"/>
        <v>5100000</v>
      </c>
      <c r="W188" s="203"/>
      <c r="X188" s="202">
        <f t="shared" si="184"/>
        <v>5100000</v>
      </c>
      <c r="Y188" s="204">
        <f t="shared" si="185"/>
        <v>4800000</v>
      </c>
      <c r="Z188" s="204">
        <f t="shared" si="185"/>
        <v>300000</v>
      </c>
      <c r="AA188" s="205">
        <v>4800000</v>
      </c>
      <c r="AB188" s="205">
        <v>300000</v>
      </c>
      <c r="AC188" s="205"/>
      <c r="AD188" s="205"/>
      <c r="AE188" s="205"/>
      <c r="AF188" s="205"/>
      <c r="AG188" s="343">
        <f t="shared" si="177"/>
        <v>0</v>
      </c>
      <c r="AH188" s="205">
        <f t="shared" si="181"/>
        <v>0</v>
      </c>
      <c r="AI188" s="203"/>
      <c r="AJ188" s="203"/>
      <c r="AK188" s="202">
        <f t="shared" si="179"/>
        <v>0</v>
      </c>
      <c r="AL188" s="203"/>
      <c r="AM188" s="203"/>
      <c r="AN188" s="206">
        <f t="shared" si="155"/>
        <v>0</v>
      </c>
      <c r="AO188" s="207"/>
      <c r="AP188" s="207"/>
      <c r="AT188" s="209"/>
      <c r="AU188" s="209"/>
      <c r="AV188" s="210"/>
      <c r="AW188" s="210"/>
      <c r="AX188" s="211"/>
    </row>
    <row r="189" spans="1:50" s="208" customFormat="1">
      <c r="A189" s="228">
        <v>28</v>
      </c>
      <c r="B189" s="236" t="s">
        <v>211</v>
      </c>
      <c r="C189" s="200">
        <f t="shared" si="152"/>
        <v>5100000</v>
      </c>
      <c r="D189" s="201">
        <f t="shared" si="153"/>
        <v>0</v>
      </c>
      <c r="E189" s="201">
        <f t="shared" si="169"/>
        <v>0</v>
      </c>
      <c r="F189" s="201">
        <f t="shared" si="169"/>
        <v>0</v>
      </c>
      <c r="G189" s="202"/>
      <c r="H189" s="202"/>
      <c r="I189" s="202"/>
      <c r="J189" s="202"/>
      <c r="K189" s="202"/>
      <c r="L189" s="202"/>
      <c r="M189" s="202">
        <f t="shared" si="182"/>
        <v>0</v>
      </c>
      <c r="N189" s="202">
        <f t="shared" si="164"/>
        <v>0</v>
      </c>
      <c r="O189" s="202">
        <f t="shared" si="164"/>
        <v>0</v>
      </c>
      <c r="P189" s="202">
        <v>10900000</v>
      </c>
      <c r="Q189" s="202">
        <v>600000</v>
      </c>
      <c r="R189" s="202"/>
      <c r="S189" s="202"/>
      <c r="T189" s="202">
        <v>10900000</v>
      </c>
      <c r="U189" s="202">
        <v>600000</v>
      </c>
      <c r="V189" s="202">
        <f t="shared" si="183"/>
        <v>5100000</v>
      </c>
      <c r="W189" s="203"/>
      <c r="X189" s="202">
        <f t="shared" si="184"/>
        <v>5100000</v>
      </c>
      <c r="Y189" s="204">
        <f t="shared" si="185"/>
        <v>4800000</v>
      </c>
      <c r="Z189" s="204">
        <f t="shared" si="185"/>
        <v>300000</v>
      </c>
      <c r="AA189" s="205">
        <v>4800000</v>
      </c>
      <c r="AB189" s="205">
        <v>300000</v>
      </c>
      <c r="AC189" s="205"/>
      <c r="AD189" s="205"/>
      <c r="AE189" s="205"/>
      <c r="AF189" s="205"/>
      <c r="AG189" s="343">
        <f t="shared" si="177"/>
        <v>0</v>
      </c>
      <c r="AH189" s="205">
        <f t="shared" si="181"/>
        <v>0</v>
      </c>
      <c r="AI189" s="203"/>
      <c r="AJ189" s="203"/>
      <c r="AK189" s="202">
        <f t="shared" si="179"/>
        <v>0</v>
      </c>
      <c r="AL189" s="203"/>
      <c r="AM189" s="203"/>
      <c r="AN189" s="206">
        <f t="shared" si="155"/>
        <v>0</v>
      </c>
      <c r="AO189" s="207"/>
      <c r="AP189" s="207"/>
      <c r="AT189" s="209"/>
      <c r="AU189" s="209"/>
      <c r="AV189" s="210"/>
      <c r="AW189" s="210"/>
      <c r="AX189" s="211"/>
    </row>
    <row r="190" spans="1:50" s="208" customFormat="1">
      <c r="A190" s="228">
        <v>29</v>
      </c>
      <c r="B190" s="236" t="s">
        <v>209</v>
      </c>
      <c r="C190" s="200">
        <f t="shared" si="152"/>
        <v>5180000</v>
      </c>
      <c r="D190" s="201">
        <f t="shared" si="153"/>
        <v>0</v>
      </c>
      <c r="E190" s="201">
        <f t="shared" si="169"/>
        <v>0</v>
      </c>
      <c r="F190" s="201">
        <f t="shared" si="169"/>
        <v>0</v>
      </c>
      <c r="G190" s="202"/>
      <c r="H190" s="202"/>
      <c r="I190" s="202"/>
      <c r="J190" s="202"/>
      <c r="K190" s="202"/>
      <c r="L190" s="202"/>
      <c r="M190" s="202">
        <f t="shared" si="182"/>
        <v>80000.000000000073</v>
      </c>
      <c r="N190" s="202">
        <f t="shared" si="164"/>
        <v>80000.000000000073</v>
      </c>
      <c r="O190" s="202">
        <f t="shared" si="164"/>
        <v>0</v>
      </c>
      <c r="P190" s="202">
        <v>80000.000000000073</v>
      </c>
      <c r="Q190" s="202">
        <v>0</v>
      </c>
      <c r="R190" s="202"/>
      <c r="S190" s="202"/>
      <c r="T190" s="202"/>
      <c r="U190" s="202"/>
      <c r="V190" s="202">
        <f t="shared" si="183"/>
        <v>5100000</v>
      </c>
      <c r="W190" s="203"/>
      <c r="X190" s="202">
        <f t="shared" si="184"/>
        <v>5100000</v>
      </c>
      <c r="Y190" s="204">
        <f t="shared" si="185"/>
        <v>4800000</v>
      </c>
      <c r="Z190" s="204">
        <f t="shared" si="185"/>
        <v>300000</v>
      </c>
      <c r="AA190" s="205">
        <v>4800000</v>
      </c>
      <c r="AB190" s="205">
        <v>300000</v>
      </c>
      <c r="AC190" s="205"/>
      <c r="AD190" s="205"/>
      <c r="AE190" s="205"/>
      <c r="AF190" s="205"/>
      <c r="AG190" s="343">
        <f t="shared" si="177"/>
        <v>5180000</v>
      </c>
      <c r="AH190" s="205">
        <f t="shared" si="181"/>
        <v>80000</v>
      </c>
      <c r="AI190" s="202">
        <v>80000</v>
      </c>
      <c r="AJ190" s="202"/>
      <c r="AK190" s="202">
        <f t="shared" si="179"/>
        <v>5100000</v>
      </c>
      <c r="AL190" s="202">
        <v>4800000</v>
      </c>
      <c r="AM190" s="202">
        <v>300000</v>
      </c>
      <c r="AN190" s="206">
        <f t="shared" si="155"/>
        <v>100</v>
      </c>
      <c r="AO190" s="207"/>
      <c r="AP190" s="207"/>
      <c r="AT190" s="209"/>
      <c r="AU190" s="209"/>
      <c r="AV190" s="210"/>
      <c r="AW190" s="210"/>
      <c r="AX190" s="211"/>
    </row>
    <row r="191" spans="1:50" s="208" customFormat="1">
      <c r="A191" s="297">
        <v>30</v>
      </c>
      <c r="B191" s="298" t="s">
        <v>218</v>
      </c>
      <c r="C191" s="299">
        <f t="shared" si="152"/>
        <v>3600000</v>
      </c>
      <c r="D191" s="300">
        <f t="shared" si="153"/>
        <v>0</v>
      </c>
      <c r="E191" s="300">
        <f t="shared" si="169"/>
        <v>0</v>
      </c>
      <c r="F191" s="300">
        <f t="shared" si="169"/>
        <v>0</v>
      </c>
      <c r="G191" s="301"/>
      <c r="H191" s="301"/>
      <c r="I191" s="301"/>
      <c r="J191" s="301"/>
      <c r="K191" s="301"/>
      <c r="L191" s="301"/>
      <c r="M191" s="301">
        <f t="shared" si="182"/>
        <v>2500000</v>
      </c>
      <c r="N191" s="301">
        <f t="shared" si="164"/>
        <v>2370000</v>
      </c>
      <c r="O191" s="301">
        <f t="shared" si="164"/>
        <v>130000</v>
      </c>
      <c r="P191" s="301">
        <v>2370000</v>
      </c>
      <c r="Q191" s="301">
        <v>130000</v>
      </c>
      <c r="R191" s="301"/>
      <c r="S191" s="301"/>
      <c r="T191" s="301"/>
      <c r="U191" s="301"/>
      <c r="V191" s="301">
        <f t="shared" si="183"/>
        <v>1100000</v>
      </c>
      <c r="W191" s="302"/>
      <c r="X191" s="301">
        <f t="shared" si="184"/>
        <v>1100000</v>
      </c>
      <c r="Y191" s="303">
        <f t="shared" si="185"/>
        <v>1000000</v>
      </c>
      <c r="Z191" s="303">
        <f t="shared" si="185"/>
        <v>100000</v>
      </c>
      <c r="AA191" s="304">
        <v>1000000</v>
      </c>
      <c r="AB191" s="304">
        <v>100000</v>
      </c>
      <c r="AC191" s="304"/>
      <c r="AD191" s="304"/>
      <c r="AE191" s="304"/>
      <c r="AF191" s="304"/>
      <c r="AG191" s="380">
        <f t="shared" si="177"/>
        <v>0</v>
      </c>
      <c r="AH191" s="304">
        <f t="shared" si="181"/>
        <v>0</v>
      </c>
      <c r="AI191" s="302"/>
      <c r="AJ191" s="302"/>
      <c r="AK191" s="301">
        <f t="shared" si="179"/>
        <v>0</v>
      </c>
      <c r="AL191" s="302"/>
      <c r="AM191" s="302"/>
      <c r="AN191" s="305">
        <f t="shared" si="155"/>
        <v>0</v>
      </c>
      <c r="AO191" s="207"/>
      <c r="AP191" s="207"/>
      <c r="AT191" s="209"/>
      <c r="AU191" s="209"/>
      <c r="AV191" s="210"/>
      <c r="AW191" s="210"/>
      <c r="AX191" s="211"/>
    </row>
    <row r="192" spans="1:50" hidden="1">
      <c r="B192" s="245" t="s">
        <v>231</v>
      </c>
      <c r="C192" s="306">
        <f t="shared" si="152"/>
        <v>3965000</v>
      </c>
      <c r="D192" s="253">
        <f t="shared" si="153"/>
        <v>0</v>
      </c>
      <c r="E192" s="253">
        <f t="shared" si="169"/>
        <v>0</v>
      </c>
      <c r="F192" s="253">
        <f t="shared" si="169"/>
        <v>0</v>
      </c>
      <c r="M192" s="307">
        <f t="shared" si="182"/>
        <v>3965000</v>
      </c>
      <c r="N192" s="307">
        <f t="shared" ref="N192:O192" si="186">+P192+R192-T192</f>
        <v>3465000</v>
      </c>
      <c r="O192" s="307">
        <f t="shared" si="186"/>
        <v>500000</v>
      </c>
      <c r="P192" s="308">
        <v>3465000</v>
      </c>
      <c r="Q192" s="308">
        <v>500000</v>
      </c>
      <c r="T192" s="308"/>
      <c r="U192" s="308"/>
    </row>
  </sheetData>
  <mergeCells count="40">
    <mergeCell ref="A1:AP1"/>
    <mergeCell ref="A2:AP2"/>
    <mergeCell ref="A5:A10"/>
    <mergeCell ref="B5:B10"/>
    <mergeCell ref="C5:X5"/>
    <mergeCell ref="AA5:AB5"/>
    <mergeCell ref="AG5:AP5"/>
    <mergeCell ref="C6:C10"/>
    <mergeCell ref="D6:Z6"/>
    <mergeCell ref="AG6:AN6"/>
    <mergeCell ref="AO6:AO10"/>
    <mergeCell ref="AP6:AP10"/>
    <mergeCell ref="D7:D10"/>
    <mergeCell ref="E7:F7"/>
    <mergeCell ref="M7:M10"/>
    <mergeCell ref="N7:O7"/>
    <mergeCell ref="P7:U8"/>
    <mergeCell ref="AG7:AG10"/>
    <mergeCell ref="AH7:AM7"/>
    <mergeCell ref="AA8:AB9"/>
    <mergeCell ref="AC8:AD9"/>
    <mergeCell ref="AE8:AF9"/>
    <mergeCell ref="AH8:AH10"/>
    <mergeCell ref="AI8:AJ9"/>
    <mergeCell ref="A12:B12"/>
    <mergeCell ref="V7:Z10"/>
    <mergeCell ref="A3:AN3"/>
    <mergeCell ref="AK8:AK10"/>
    <mergeCell ref="AL8:AM9"/>
    <mergeCell ref="G9:H9"/>
    <mergeCell ref="I9:J9"/>
    <mergeCell ref="K9:L9"/>
    <mergeCell ref="P9:Q9"/>
    <mergeCell ref="R9:S9"/>
    <mergeCell ref="T9:U9"/>
    <mergeCell ref="AN7:AN10"/>
    <mergeCell ref="E8:E10"/>
    <mergeCell ref="F8:F10"/>
    <mergeCell ref="N8:N10"/>
    <mergeCell ref="O8:O10"/>
  </mergeCells>
  <pageMargins left="0.72303921568627449" right="0.16" top="0.37" bottom="0.28000000000000003" header="0.3" footer="0.21"/>
  <pageSetup paperSize="8"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B01.NTM_ĐT </vt:lpstr>
      <vt:lpstr>B03.DTTS_ĐT</vt:lpstr>
      <vt:lpstr>B04.NTM_SN</vt:lpstr>
      <vt:lpstr>B05.GN_SN</vt:lpstr>
      <vt:lpstr>B06.DTTS_SN</vt:lpstr>
      <vt:lpstr>'B01.NTM_ĐT '!Print_Area</vt:lpstr>
      <vt:lpstr>B03.DTTS_ĐT!Print_Area</vt:lpstr>
      <vt:lpstr>B06.DTTS_SN!Print_Area</vt:lpstr>
      <vt:lpstr>B04.NTM_SN!Print_Titles</vt:lpstr>
      <vt:lpstr>B05.GN_SN!Print_Titles</vt:lpstr>
      <vt:lpstr>B06.DTTS_SN!Print_Titles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FPT</dc:creator>
  <cp:lastModifiedBy>DELL</cp:lastModifiedBy>
  <cp:lastPrinted>2024-11-22T07:17:21Z</cp:lastPrinted>
  <dcterms:created xsi:type="dcterms:W3CDTF">2023-10-21T16:30:57Z</dcterms:created>
  <dcterms:modified xsi:type="dcterms:W3CDTF">2024-11-22T07:52:46Z</dcterms:modified>
</cp:coreProperties>
</file>