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codeName="ThisWorkbook" defaultThemeVersion="124226"/>
  <bookViews>
    <workbookView xWindow="-120" yWindow="-120" windowWidth="19420" windowHeight="11020" firstSheet="14" activeTab="14"/>
  </bookViews>
  <sheets>
    <sheet name="foxz" sheetId="20" state="veryHidden" r:id="rId1"/>
    <sheet name="QDTTC 2020" sheetId="14" state="hidden" r:id="rId2"/>
    <sheet name="LK TƯ,ƯT NSTƯ" sheetId="8" state="hidden" r:id="rId3"/>
    <sheet name="Sheet1" sheetId="10" state="hidden" r:id="rId4"/>
    <sheet name="Sheet2" sheetId="12" state="hidden" r:id="rId5"/>
    <sheet name="TH phan bo 2020" sheetId="13" state="hidden" r:id="rId6"/>
    <sheet name="Sheet3" sheetId="15" state="hidden" r:id="rId7"/>
    <sheet name="Sheet4" sheetId="16" state="hidden" r:id="rId8"/>
    <sheet name="Sheet5" sheetId="17" state="hidden" r:id="rId9"/>
    <sheet name="Sheet6" sheetId="19" state="hidden" r:id="rId10"/>
    <sheet name="Sheet7" sheetId="21" state="hidden" r:id="rId11"/>
    <sheet name="vdt" sheetId="22" state="hidden" r:id="rId12"/>
    <sheet name="01.TH" sheetId="25" state="hidden" r:id="rId13"/>
    <sheet name="01.DPNS" sheetId="23" state="hidden" r:id="rId14"/>
    <sheet name="02.DPNS" sheetId="31" r:id="rId15"/>
    <sheet name="01.DPNS (3)" sheetId="32" state="hidden" r:id="rId16"/>
    <sheet name="02.DỰ KIẾN PHÂN BỔ" sheetId="30" state="hidden" r:id="rId17"/>
    <sheet name="Chi tiet bo sung KP" sheetId="3" state="hidden" r:id="rId18"/>
    <sheet name="ASXH" sheetId="26" state="hidden" r:id="rId19"/>
    <sheet name="Nguon TW" sheetId="2" state="hidden" r:id="rId20"/>
    <sheet name="nguồn ctmtqg còn dư" sheetId="28" state="hidden" r:id="rId21"/>
    <sheet name="Sheet9" sheetId="29" state="hidden" r:id="rId22"/>
  </sheets>
  <externalReferences>
    <externalReference r:id="rId23"/>
    <externalReference r:id="rId24"/>
    <externalReference r:id="rId25"/>
    <externalReference r:id="rId26"/>
    <externalReference r:id="rId27"/>
    <externalReference r:id="rId28"/>
    <externalReference r:id="rId29"/>
    <externalReference r:id="rId30"/>
  </externalReferences>
  <definedNames>
    <definedName name="_xlnm._FilterDatabase" localSheetId="17" hidden="1">'Chi tiet bo sung KP'!$A$7:$AV$27</definedName>
    <definedName name="_xlnm._FilterDatabase" localSheetId="5" hidden="1">'TH phan bo 2020'!$A$4:$N$4</definedName>
    <definedName name="_xlnm.Print_Titles" localSheetId="13">'01.DPNS'!$5:$5</definedName>
    <definedName name="_xlnm.Print_Titles" localSheetId="15">'01.DPNS (3)'!$5:$5</definedName>
    <definedName name="_xlnm.Print_Titles" localSheetId="12">'01.TH'!$5:$6</definedName>
    <definedName name="_xlnm.Print_Titles" localSheetId="14">'02.DPNS'!$5:$6</definedName>
    <definedName name="_xlnm.Print_Titles" localSheetId="16">'02.DỰ KIẾN PHÂN BỔ'!$6:$6</definedName>
    <definedName name="_xlnm.Print_Titles" localSheetId="19">'Nguon TW'!$3:$4</definedName>
    <definedName name="_xlnm.Print_Titles" localSheetId="5">'TH phan bo 2020'!$4:$5</definedName>
    <definedName name="_xlnm.Print_Area" localSheetId="13">'01.DPNS'!$A$1:$D$41</definedName>
    <definedName name="_xlnm.Print_Area" localSheetId="15">'01.DPNS (3)'!$A$1:$I$22</definedName>
    <definedName name="_xlnm.Print_Area" localSheetId="12">'01.TH'!$A$1:$J$97</definedName>
    <definedName name="_xlnm.Print_Area" localSheetId="14">'02.DPNS'!$A$1:$I$26</definedName>
    <definedName name="_xlnm.Print_Area" localSheetId="16">'02.DỰ KIẾN PHÂN BỔ'!$A$1:$D$13</definedName>
    <definedName name="_xlnm.Print_Area" localSheetId="17">'Chi tiet bo sung KP'!$A$1:$AA$27</definedName>
    <definedName name="_xlnm.Print_Area" localSheetId="19">'Nguon TW'!$A$1:$J$22</definedName>
    <definedName name="_xlnm.Print_Area" localSheetId="5">'TH phan bo 2020'!$A$1:$I$94</definedName>
  </definedNames>
  <calcPr calcId="144525"/>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7" i="31" l="1"/>
  <c r="E7" i="31"/>
  <c r="F7" i="31"/>
  <c r="G15" i="31"/>
  <c r="G16" i="31"/>
  <c r="G17" i="31"/>
  <c r="G18" i="31"/>
  <c r="G19" i="31"/>
  <c r="G20" i="31"/>
  <c r="G21" i="31"/>
  <c r="G14" i="31"/>
  <c r="H15" i="31"/>
  <c r="H16" i="31"/>
  <c r="H17" i="31"/>
  <c r="H18" i="31"/>
  <c r="H19" i="31"/>
  <c r="H20" i="31"/>
  <c r="H21" i="31"/>
  <c r="H14" i="31"/>
  <c r="F21" i="31" l="1"/>
  <c r="F20" i="31"/>
  <c r="F19" i="31"/>
  <c r="F18" i="31"/>
  <c r="F17" i="31"/>
  <c r="F16" i="31"/>
  <c r="E15" i="31"/>
  <c r="F15" i="31" s="1"/>
  <c r="E14" i="31"/>
  <c r="F14" i="31" s="1"/>
  <c r="F10" i="31" l="1"/>
  <c r="F24" i="31" l="1"/>
  <c r="F25" i="31"/>
  <c r="F26" i="31"/>
  <c r="F23" i="31"/>
  <c r="F12" i="31"/>
  <c r="F22" i="31" l="1"/>
  <c r="F13" i="31"/>
  <c r="F9" i="31"/>
  <c r="F11" i="31"/>
  <c r="F8" i="31" l="1"/>
  <c r="D8" i="31"/>
  <c r="D7" i="31" s="1"/>
  <c r="G7" i="31" s="1"/>
  <c r="H10" i="31"/>
  <c r="H12" i="31"/>
  <c r="G9" i="31"/>
  <c r="G10" i="31"/>
  <c r="G11" i="31"/>
  <c r="G12" i="31"/>
  <c r="D13" i="31"/>
  <c r="E13" i="31"/>
  <c r="C13" i="31"/>
  <c r="C8" i="31" s="1"/>
  <c r="D11" i="31"/>
  <c r="E11" i="31"/>
  <c r="C11" i="31"/>
  <c r="D9" i="31"/>
  <c r="E9" i="31"/>
  <c r="H9" i="31" s="1"/>
  <c r="C9" i="31"/>
  <c r="C22" i="31"/>
  <c r="D22" i="31"/>
  <c r="E22" i="31"/>
  <c r="H22" i="32"/>
  <c r="G22" i="32"/>
  <c r="H21" i="32"/>
  <c r="G21" i="32"/>
  <c r="H20" i="32"/>
  <c r="G20" i="32"/>
  <c r="H19" i="32"/>
  <c r="G19" i="32"/>
  <c r="H18" i="32"/>
  <c r="G18" i="32"/>
  <c r="H17" i="32"/>
  <c r="G17" i="32"/>
  <c r="H16" i="32"/>
  <c r="G16" i="32"/>
  <c r="H15" i="32"/>
  <c r="G15" i="32"/>
  <c r="H14" i="32"/>
  <c r="G14" i="32"/>
  <c r="H13" i="32"/>
  <c r="G13" i="32"/>
  <c r="H12" i="32"/>
  <c r="G12" i="32"/>
  <c r="H11" i="32"/>
  <c r="G11" i="32"/>
  <c r="H10" i="32"/>
  <c r="G10" i="32"/>
  <c r="H9" i="32"/>
  <c r="G9" i="32"/>
  <c r="H8" i="32"/>
  <c r="G8" i="32"/>
  <c r="G7" i="32"/>
  <c r="F7" i="32"/>
  <c r="H7" i="32" s="1"/>
  <c r="E7" i="32"/>
  <c r="D7" i="32"/>
  <c r="H24" i="31"/>
  <c r="H25" i="31"/>
  <c r="H26" i="31"/>
  <c r="H23" i="31"/>
  <c r="G24" i="31"/>
  <c r="G25" i="31"/>
  <c r="G26" i="31"/>
  <c r="G23" i="31"/>
  <c r="G13" i="31" l="1"/>
  <c r="H13" i="31"/>
  <c r="G8" i="31"/>
  <c r="E8" i="31"/>
  <c r="H11" i="31"/>
  <c r="G22" i="31"/>
  <c r="H22" i="31"/>
  <c r="H8" i="31" l="1"/>
  <c r="H7" i="31"/>
  <c r="C41" i="23"/>
  <c r="C7" i="23"/>
  <c r="C9" i="23" l="1"/>
  <c r="C10" i="23"/>
  <c r="C36" i="23" l="1"/>
  <c r="C31" i="23"/>
  <c r="C12" i="23" s="1"/>
  <c r="C16" i="23"/>
  <c r="C19" i="23"/>
  <c r="C21" i="23"/>
  <c r="C23" i="23"/>
  <c r="C29" i="23"/>
  <c r="C13" i="30" l="1"/>
  <c r="A4" i="30" l="1"/>
  <c r="C13" i="23" l="1"/>
  <c r="V26" i="3" l="1"/>
  <c r="V4" i="3"/>
  <c r="G24" i="3"/>
  <c r="F24" i="3" s="1"/>
  <c r="AA6" i="3"/>
  <c r="G15" i="3" l="1"/>
  <c r="F15" i="3" s="1"/>
  <c r="T7" i="3"/>
  <c r="W26" i="3"/>
  <c r="X26" i="3"/>
  <c r="X27" i="3" s="1"/>
  <c r="Y26" i="3"/>
  <c r="Y27" i="3" s="1"/>
  <c r="Z26" i="3"/>
  <c r="Z6" i="3" l="1"/>
  <c r="Z27" i="3" s="1"/>
  <c r="AA26" i="3"/>
  <c r="AA27" i="3" l="1"/>
  <c r="V6" i="3"/>
  <c r="V27" i="3" s="1"/>
  <c r="G22" i="3" l="1"/>
  <c r="F22" i="3" s="1"/>
  <c r="G21" i="3"/>
  <c r="F21" i="3" s="1"/>
  <c r="O26" i="3" l="1"/>
  <c r="J26" i="3"/>
  <c r="I23" i="3"/>
  <c r="I26" i="3" s="1"/>
  <c r="U26" i="3"/>
  <c r="T26" i="3"/>
  <c r="G20" i="3"/>
  <c r="F20" i="3" s="1"/>
  <c r="G18" i="3"/>
  <c r="F18" i="3" s="1"/>
  <c r="G19" i="3"/>
  <c r="F19" i="3" s="1"/>
  <c r="G9" i="3"/>
  <c r="F9" i="3" s="1"/>
  <c r="G11" i="3"/>
  <c r="F11" i="3" s="1"/>
  <c r="G12" i="3"/>
  <c r="F12" i="3" s="1"/>
  <c r="G13" i="3"/>
  <c r="F13" i="3" s="1"/>
  <c r="G14" i="3"/>
  <c r="F14" i="3" s="1"/>
  <c r="G17" i="3"/>
  <c r="F17" i="3" s="1"/>
  <c r="G16" i="3"/>
  <c r="F16" i="3" s="1"/>
  <c r="G8" i="3"/>
  <c r="F8" i="3" s="1"/>
  <c r="U7" i="3"/>
  <c r="R10" i="3"/>
  <c r="R7" i="3" s="1"/>
  <c r="F28" i="3" l="1"/>
  <c r="G23" i="3"/>
  <c r="F23" i="3" s="1"/>
  <c r="R6" i="3"/>
  <c r="T6" i="3"/>
  <c r="T27" i="3" s="1"/>
  <c r="G10" i="3"/>
  <c r="F10" i="3" s="1"/>
  <c r="O6" i="3" l="1"/>
  <c r="J6" i="3" l="1"/>
  <c r="I6" i="3" l="1"/>
  <c r="K64" i="25"/>
  <c r="K65" i="25"/>
  <c r="K66" i="25"/>
  <c r="K69" i="25"/>
  <c r="K72" i="25"/>
  <c r="K73" i="25"/>
  <c r="K74" i="25"/>
  <c r="K76" i="25"/>
  <c r="K77" i="25"/>
  <c r="K78" i="25"/>
  <c r="K79" i="25"/>
  <c r="K82" i="25"/>
  <c r="K83" i="25"/>
  <c r="K84" i="25"/>
  <c r="K86" i="25"/>
  <c r="K87" i="25"/>
  <c r="I80" i="25"/>
  <c r="H80" i="25"/>
  <c r="K80" i="25" s="1"/>
  <c r="I57" i="29" l="1"/>
  <c r="I56" i="29"/>
  <c r="I54" i="29"/>
  <c r="M54" i="29"/>
  <c r="N54" i="29" s="1"/>
  <c r="M53" i="29"/>
  <c r="N53" i="29" s="1"/>
  <c r="V38" i="29"/>
  <c r="W36" i="29"/>
  <c r="S38" i="29"/>
  <c r="T39" i="29"/>
  <c r="T38" i="29" s="1"/>
  <c r="Q38" i="29"/>
  <c r="M39" i="29"/>
  <c r="M38" i="29" s="1"/>
  <c r="P44" i="29"/>
  <c r="Q36" i="29"/>
  <c r="T36" i="29" s="1"/>
  <c r="R41" i="29"/>
  <c r="L37" i="29"/>
  <c r="N39" i="29"/>
  <c r="N38" i="29" s="1"/>
  <c r="N37" i="29" s="1"/>
  <c r="M47" i="29"/>
  <c r="G43" i="29"/>
  <c r="N44" i="29"/>
  <c r="I45" i="29"/>
  <c r="I42" i="29"/>
  <c r="I47" i="29"/>
  <c r="I59" i="29" s="1"/>
  <c r="K47" i="29"/>
  <c r="I44" i="29"/>
  <c r="K45" i="29"/>
  <c r="O45" i="29" s="1"/>
  <c r="Q45" i="29" s="1"/>
  <c r="I39" i="29"/>
  <c r="I40" i="29"/>
  <c r="J41" i="29"/>
  <c r="K41" i="29"/>
  <c r="J42" i="29"/>
  <c r="K42" i="29"/>
  <c r="O42" i="29" s="1"/>
  <c r="I41" i="29"/>
  <c r="K40" i="29"/>
  <c r="K39" i="29"/>
  <c r="I38" i="29"/>
  <c r="O27" i="29"/>
  <c r="J33" i="29"/>
  <c r="K33" i="29" s="1"/>
  <c r="O33" i="29" s="1"/>
  <c r="J32" i="29"/>
  <c r="K32" i="29" s="1"/>
  <c r="O32" i="29" s="1"/>
  <c r="P32" i="29" s="1"/>
  <c r="J22" i="29"/>
  <c r="J23" i="29"/>
  <c r="J24" i="29"/>
  <c r="J25" i="29"/>
  <c r="K31" i="29"/>
  <c r="O31" i="29" s="1"/>
  <c r="K26" i="29"/>
  <c r="O26" i="29" s="1"/>
  <c r="M25" i="29"/>
  <c r="O25" i="29" s="1"/>
  <c r="O24" i="29"/>
  <c r="O23" i="29"/>
  <c r="O22" i="29"/>
  <c r="N21" i="29"/>
  <c r="E3" i="29"/>
  <c r="D3" i="29"/>
  <c r="O39" i="29" l="1"/>
  <c r="O38" i="29" s="1"/>
  <c r="O47" i="29"/>
  <c r="Q47" i="29" s="1"/>
  <c r="S47" i="29" s="1"/>
  <c r="M59" i="29"/>
  <c r="W39" i="29"/>
  <c r="W38" i="29" s="1"/>
  <c r="K43" i="29"/>
  <c r="O43" i="29" s="1"/>
  <c r="P42" i="29" s="1"/>
  <c r="O41" i="29"/>
  <c r="P41" i="29" s="1"/>
  <c r="P38" i="29" s="1"/>
  <c r="K46" i="29"/>
  <c r="M57" i="29" s="1"/>
  <c r="N57" i="29" s="1"/>
  <c r="K44" i="29"/>
  <c r="K21" i="29"/>
  <c r="J31" i="29"/>
  <c r="J21" i="29" s="1"/>
  <c r="M21" i="29"/>
  <c r="M44" i="29" l="1"/>
  <c r="M37" i="29" s="1"/>
  <c r="O46" i="29"/>
  <c r="Q46" i="29" s="1"/>
  <c r="K38" i="29"/>
  <c r="K37" i="29" s="1"/>
  <c r="O29" i="29"/>
  <c r="T46" i="29" l="1"/>
  <c r="T44" i="29" s="1"/>
  <c r="V46" i="29"/>
  <c r="V44" i="29" s="1"/>
  <c r="Q44" i="29"/>
  <c r="O44" i="29"/>
  <c r="O37" i="29" s="1"/>
  <c r="O21" i="29"/>
  <c r="P29" i="29"/>
  <c r="G15" i="28" l="1"/>
  <c r="G16" i="28" s="1"/>
  <c r="H94" i="25" l="1"/>
  <c r="H97" i="25"/>
  <c r="H14" i="2" l="1"/>
  <c r="G15" i="2"/>
  <c r="E33" i="25"/>
  <c r="E32" i="25"/>
  <c r="E20" i="25"/>
  <c r="E19" i="25"/>
  <c r="R26" i="3"/>
  <c r="I94" i="25"/>
  <c r="E94" i="25"/>
  <c r="H67" i="25"/>
  <c r="K67" i="25" s="1"/>
  <c r="E93" i="25"/>
  <c r="I84" i="25"/>
  <c r="I75" i="25"/>
  <c r="F68" i="25"/>
  <c r="G68" i="25"/>
  <c r="D68" i="25"/>
  <c r="I70" i="25"/>
  <c r="I68" i="25" s="1"/>
  <c r="H85" i="25"/>
  <c r="K85" i="25" s="1"/>
  <c r="H81" i="25"/>
  <c r="H71" i="25"/>
  <c r="G10" i="26"/>
  <c r="G8" i="26"/>
  <c r="G5" i="26"/>
  <c r="F6" i="26"/>
  <c r="F12" i="25"/>
  <c r="F10" i="25" s="1"/>
  <c r="F8" i="25" s="1"/>
  <c r="G12" i="25"/>
  <c r="F94" i="25"/>
  <c r="G94" i="25"/>
  <c r="H89" i="25"/>
  <c r="E90" i="25"/>
  <c r="B17" i="25"/>
  <c r="F34" i="25"/>
  <c r="G34" i="25"/>
  <c r="H38" i="25"/>
  <c r="H50" i="25"/>
  <c r="H48" i="25"/>
  <c r="H34" i="25" s="1"/>
  <c r="C38" i="25"/>
  <c r="C50" i="25"/>
  <c r="C48" i="25" s="1"/>
  <c r="D10" i="25"/>
  <c r="C18" i="25"/>
  <c r="I14" i="25"/>
  <c r="I13" i="25"/>
  <c r="F54" i="25"/>
  <c r="G54" i="25"/>
  <c r="H54" i="25"/>
  <c r="I54" i="25"/>
  <c r="D54" i="25"/>
  <c r="D63" i="25"/>
  <c r="D88" i="25"/>
  <c r="D22" i="13"/>
  <c r="G22" i="13" s="1"/>
  <c r="G90" i="25"/>
  <c r="F90" i="25"/>
  <c r="G18" i="25"/>
  <c r="G10" i="25" s="1"/>
  <c r="F18" i="25"/>
  <c r="F11" i="25"/>
  <c r="J4" i="25"/>
  <c r="B91" i="25"/>
  <c r="Z9" i="22"/>
  <c r="H103" i="22"/>
  <c r="F103" i="22"/>
  <c r="I103" i="22" s="1"/>
  <c r="F102" i="22"/>
  <c r="J99" i="22"/>
  <c r="I99" i="22"/>
  <c r="J98" i="22"/>
  <c r="I98" i="22"/>
  <c r="J97" i="22"/>
  <c r="I97" i="22"/>
  <c r="J96" i="22"/>
  <c r="I96" i="22"/>
  <c r="M95" i="22"/>
  <c r="G95" i="22"/>
  <c r="H94" i="22"/>
  <c r="N94" i="22" s="1"/>
  <c r="N74" i="22" s="1"/>
  <c r="G94" i="22"/>
  <c r="I94" i="22" s="1"/>
  <c r="V93" i="22"/>
  <c r="V74" i="22" s="1"/>
  <c r="G93" i="22"/>
  <c r="I93" i="22" s="1"/>
  <c r="G92" i="22"/>
  <c r="I92" i="22" s="1"/>
  <c r="M91" i="22"/>
  <c r="G91" i="22"/>
  <c r="I90" i="22"/>
  <c r="G90" i="22"/>
  <c r="J90" i="22" s="1"/>
  <c r="G89" i="22"/>
  <c r="J89" i="22" s="1"/>
  <c r="G88" i="22"/>
  <c r="F87" i="22"/>
  <c r="G86" i="22"/>
  <c r="O85" i="22"/>
  <c r="G85" i="22"/>
  <c r="J85" i="22"/>
  <c r="H84" i="22"/>
  <c r="M84" i="22"/>
  <c r="G84" i="22"/>
  <c r="G83" i="22"/>
  <c r="I83" i="22" s="1"/>
  <c r="I82" i="22" s="1"/>
  <c r="F82" i="22"/>
  <c r="H81" i="22"/>
  <c r="M81" i="22"/>
  <c r="M74" i="22" s="1"/>
  <c r="G81" i="22"/>
  <c r="G80" i="22"/>
  <c r="S79" i="22"/>
  <c r="S74" i="22" s="1"/>
  <c r="P79" i="22"/>
  <c r="P74" i="22" s="1"/>
  <c r="H79" i="22"/>
  <c r="G79" i="22"/>
  <c r="G78" i="22"/>
  <c r="H78" i="22" s="1"/>
  <c r="L77" i="22"/>
  <c r="L74" i="22" s="1"/>
  <c r="H77" i="22"/>
  <c r="G77" i="22"/>
  <c r="G76" i="22"/>
  <c r="H76" i="22" s="1"/>
  <c r="X74" i="22"/>
  <c r="W74" i="22"/>
  <c r="R74" i="22"/>
  <c r="G74" i="22"/>
  <c r="I73" i="22"/>
  <c r="H72" i="22"/>
  <c r="I72" i="22" s="1"/>
  <c r="I71" i="22"/>
  <c r="I66" i="22"/>
  <c r="F65" i="22"/>
  <c r="C65" i="22"/>
  <c r="F63" i="22"/>
  <c r="H63" i="22" s="1"/>
  <c r="F62" i="22"/>
  <c r="E61" i="22"/>
  <c r="E59" i="22" s="1"/>
  <c r="D61" i="22"/>
  <c r="C61" i="22"/>
  <c r="C59" i="22"/>
  <c r="D60" i="22"/>
  <c r="F60" i="22" s="1"/>
  <c r="D59" i="22"/>
  <c r="F58" i="22"/>
  <c r="F57" i="22"/>
  <c r="I57" i="22"/>
  <c r="F55" i="22"/>
  <c r="F54" i="22"/>
  <c r="I53" i="22"/>
  <c r="H53" i="22"/>
  <c r="E53" i="22"/>
  <c r="D53" i="22"/>
  <c r="C53" i="22"/>
  <c r="F52" i="22"/>
  <c r="F51" i="22"/>
  <c r="I51" i="22"/>
  <c r="I49" i="22"/>
  <c r="H49" i="22"/>
  <c r="E49" i="22"/>
  <c r="D49" i="22"/>
  <c r="C49" i="22"/>
  <c r="H48" i="22"/>
  <c r="E48" i="22"/>
  <c r="D48" i="22"/>
  <c r="C48" i="22"/>
  <c r="F46" i="22"/>
  <c r="D45" i="22"/>
  <c r="F45" i="22" s="1"/>
  <c r="D44" i="22"/>
  <c r="F44" i="22" s="1"/>
  <c r="D43" i="22"/>
  <c r="F43" i="22" s="1"/>
  <c r="F42" i="22"/>
  <c r="F41" i="22"/>
  <c r="D40" i="22"/>
  <c r="F40" i="22" s="1"/>
  <c r="F39" i="22"/>
  <c r="F38" i="22"/>
  <c r="D37" i="22"/>
  <c r="F37" i="22" s="1"/>
  <c r="I36" i="22"/>
  <c r="H36" i="22"/>
  <c r="H34" i="22" s="1"/>
  <c r="E36" i="22"/>
  <c r="E34" i="22" s="1"/>
  <c r="C36" i="22"/>
  <c r="F35" i="22"/>
  <c r="C34" i="22"/>
  <c r="C33" i="22"/>
  <c r="F32" i="22"/>
  <c r="D31" i="22"/>
  <c r="F31" i="22" s="1"/>
  <c r="D30" i="22"/>
  <c r="F30" i="22"/>
  <c r="F29" i="22"/>
  <c r="F28" i="22"/>
  <c r="F27" i="22"/>
  <c r="I27" i="22"/>
  <c r="F26" i="22"/>
  <c r="I26" i="22"/>
  <c r="F25" i="22"/>
  <c r="F24" i="22"/>
  <c r="I24" i="22" s="1"/>
  <c r="F23" i="22"/>
  <c r="I23" i="22" s="1"/>
  <c r="F22" i="22"/>
  <c r="I22" i="22" s="1"/>
  <c r="F21" i="22"/>
  <c r="F20" i="22"/>
  <c r="I20" i="22" s="1"/>
  <c r="F19" i="22"/>
  <c r="F18" i="22"/>
  <c r="F17" i="22"/>
  <c r="C16" i="22"/>
  <c r="C15" i="22" s="1"/>
  <c r="E15" i="22"/>
  <c r="D15" i="22"/>
  <c r="C14" i="22"/>
  <c r="F14" i="22"/>
  <c r="I14" i="22" s="1"/>
  <c r="C13" i="22"/>
  <c r="F13" i="22" s="1"/>
  <c r="I13" i="22" s="1"/>
  <c r="D12" i="22"/>
  <c r="F12" i="22" s="1"/>
  <c r="I12" i="22" s="1"/>
  <c r="F11" i="22"/>
  <c r="I11" i="22" s="1"/>
  <c r="F10" i="22"/>
  <c r="I10" i="22" s="1"/>
  <c r="F9" i="22"/>
  <c r="H9" i="22" s="1"/>
  <c r="T74" i="22"/>
  <c r="T79" i="22" s="1"/>
  <c r="H86" i="22"/>
  <c r="U86" i="22" s="1"/>
  <c r="U74" i="22" s="1"/>
  <c r="I81" i="22"/>
  <c r="I85" i="22"/>
  <c r="H65" i="22"/>
  <c r="D7" i="21"/>
  <c r="D9" i="21"/>
  <c r="D6" i="21"/>
  <c r="C6" i="21" s="1"/>
  <c r="K8" i="21"/>
  <c r="E12" i="21"/>
  <c r="E8" i="21" s="1"/>
  <c r="D8" i="21" s="1"/>
  <c r="C8" i="21" s="1"/>
  <c r="I8" i="21"/>
  <c r="G8" i="21"/>
  <c r="L8" i="21"/>
  <c r="J8" i="21"/>
  <c r="H8" i="21"/>
  <c r="F8" i="21"/>
  <c r="C16" i="21"/>
  <c r="C17" i="21" s="1"/>
  <c r="C18" i="21" s="1"/>
  <c r="C20" i="21" s="1"/>
  <c r="C13" i="21"/>
  <c r="F6" i="2"/>
  <c r="G7" i="2"/>
  <c r="H7" i="2" s="1"/>
  <c r="H6" i="2" s="1"/>
  <c r="C6" i="17"/>
  <c r="C26" i="17"/>
  <c r="E6" i="17"/>
  <c r="E26" i="17" s="1"/>
  <c r="F6" i="17"/>
  <c r="F26" i="17" s="1"/>
  <c r="G6" i="17"/>
  <c r="G26" i="17"/>
  <c r="H6" i="17"/>
  <c r="H26" i="17" s="1"/>
  <c r="I6" i="17"/>
  <c r="I26" i="17"/>
  <c r="J6" i="17"/>
  <c r="J26" i="17" s="1"/>
  <c r="K6" i="17"/>
  <c r="K26" i="17"/>
  <c r="D18" i="17"/>
  <c r="D6" i="17" s="1"/>
  <c r="D26" i="17" s="1"/>
  <c r="E2" i="16"/>
  <c r="E4" i="16"/>
  <c r="E7" i="16"/>
  <c r="F7" i="16"/>
  <c r="E8" i="16"/>
  <c r="E9" i="16"/>
  <c r="E10" i="16"/>
  <c r="B11" i="16"/>
  <c r="B22" i="16" s="1"/>
  <c r="C11" i="16"/>
  <c r="C22" i="16" s="1"/>
  <c r="E12" i="16"/>
  <c r="E13" i="16"/>
  <c r="F14" i="16"/>
  <c r="F19" i="16"/>
  <c r="E22" i="16"/>
  <c r="H7" i="3"/>
  <c r="H6" i="3" s="1"/>
  <c r="K7" i="3"/>
  <c r="E16" i="13" s="1"/>
  <c r="L7" i="3"/>
  <c r="M7" i="3"/>
  <c r="E19" i="13" s="1"/>
  <c r="N7" i="3"/>
  <c r="E18" i="13" s="1"/>
  <c r="P7" i="3"/>
  <c r="Q7" i="3"/>
  <c r="X7" i="3"/>
  <c r="H26" i="3"/>
  <c r="Q26" i="3"/>
  <c r="H31" i="22" s="1"/>
  <c r="G10" i="13"/>
  <c r="S10" i="13"/>
  <c r="E12" i="13"/>
  <c r="G12" i="13" s="1"/>
  <c r="S12" i="13"/>
  <c r="U14" i="13"/>
  <c r="U15" i="13"/>
  <c r="D16" i="13"/>
  <c r="S16" i="13" s="1"/>
  <c r="D17" i="13"/>
  <c r="U17" i="13"/>
  <c r="D18" i="13"/>
  <c r="S18" i="13" s="1"/>
  <c r="U18" i="13"/>
  <c r="D19" i="13"/>
  <c r="S19" i="13" s="1"/>
  <c r="U19" i="13"/>
  <c r="U20" i="13"/>
  <c r="S21" i="13"/>
  <c r="G23" i="13"/>
  <c r="S23" i="13"/>
  <c r="N24" i="13"/>
  <c r="U24" i="13"/>
  <c r="D26" i="13"/>
  <c r="D25" i="13" s="1"/>
  <c r="S26" i="13"/>
  <c r="G27" i="13"/>
  <c r="M27" i="13"/>
  <c r="S27" i="13"/>
  <c r="S28" i="13"/>
  <c r="G29" i="13"/>
  <c r="M29" i="13"/>
  <c r="S29" i="13"/>
  <c r="G30" i="13"/>
  <c r="M30" i="13"/>
  <c r="S30" i="13"/>
  <c r="S31" i="13"/>
  <c r="E32" i="13"/>
  <c r="S32" i="13"/>
  <c r="E33" i="13"/>
  <c r="G33" i="13"/>
  <c r="S33" i="13"/>
  <c r="S34" i="13"/>
  <c r="S35" i="13"/>
  <c r="S36" i="13"/>
  <c r="S37" i="13"/>
  <c r="G38" i="13"/>
  <c r="S38" i="13"/>
  <c r="E39" i="13"/>
  <c r="E37" i="13"/>
  <c r="G37" i="13" s="1"/>
  <c r="S39" i="13"/>
  <c r="E40" i="13"/>
  <c r="G40" i="13"/>
  <c r="O40" i="13"/>
  <c r="S40" i="13"/>
  <c r="D42" i="13"/>
  <c r="S42" i="13"/>
  <c r="G43" i="13"/>
  <c r="S43" i="13"/>
  <c r="G44" i="13"/>
  <c r="S44" i="13"/>
  <c r="G45" i="13"/>
  <c r="S45" i="13"/>
  <c r="E46" i="13"/>
  <c r="G46" i="13"/>
  <c r="S46" i="13"/>
  <c r="E47" i="13"/>
  <c r="E42" i="13" s="1"/>
  <c r="E41" i="13" s="1"/>
  <c r="S47" i="13"/>
  <c r="G48" i="13"/>
  <c r="S48" i="13"/>
  <c r="G49" i="13"/>
  <c r="S49" i="13"/>
  <c r="D51" i="13"/>
  <c r="S51" i="13" s="1"/>
  <c r="E51" i="13"/>
  <c r="E50" i="13"/>
  <c r="G52" i="13"/>
  <c r="G51" i="13" s="1"/>
  <c r="S52" i="13"/>
  <c r="G53" i="13"/>
  <c r="S53" i="13"/>
  <c r="G54" i="13"/>
  <c r="S54" i="13"/>
  <c r="G55" i="13"/>
  <c r="S55" i="13"/>
  <c r="G56" i="13"/>
  <c r="S56" i="13"/>
  <c r="D57" i="13"/>
  <c r="S57" i="13"/>
  <c r="E57" i="13"/>
  <c r="G58" i="13"/>
  <c r="S58" i="13"/>
  <c r="G59" i="13"/>
  <c r="S59" i="13"/>
  <c r="G60" i="13"/>
  <c r="S60" i="13"/>
  <c r="G61" i="13"/>
  <c r="S61" i="13"/>
  <c r="G62" i="13"/>
  <c r="G57" i="13" s="1"/>
  <c r="S62" i="13"/>
  <c r="G63" i="13"/>
  <c r="S63" i="13"/>
  <c r="D64" i="13"/>
  <c r="S64" i="13" s="1"/>
  <c r="G65" i="13"/>
  <c r="S65" i="13"/>
  <c r="G66" i="13"/>
  <c r="S66" i="13"/>
  <c r="G67" i="13"/>
  <c r="S67" i="13"/>
  <c r="E68" i="13"/>
  <c r="S68" i="13"/>
  <c r="E69" i="13"/>
  <c r="G69" i="13"/>
  <c r="S69" i="13"/>
  <c r="S70" i="13"/>
  <c r="S71" i="13"/>
  <c r="S72" i="13"/>
  <c r="S73" i="13"/>
  <c r="S74" i="13"/>
  <c r="E75" i="13"/>
  <c r="C76" i="13"/>
  <c r="G77" i="13"/>
  <c r="S77" i="13"/>
  <c r="G78" i="13"/>
  <c r="S78" i="13"/>
  <c r="G79" i="13"/>
  <c r="S79" i="13"/>
  <c r="G80" i="13"/>
  <c r="S80" i="13"/>
  <c r="E81" i="13"/>
  <c r="S81" i="13"/>
  <c r="S82" i="13"/>
  <c r="E83" i="13"/>
  <c r="G83" i="13" s="1"/>
  <c r="S83" i="13"/>
  <c r="G84" i="13"/>
  <c r="S84" i="13"/>
  <c r="E85" i="13"/>
  <c r="E82" i="13" s="1"/>
  <c r="G82" i="13" s="1"/>
  <c r="S85" i="13"/>
  <c r="C86" i="13"/>
  <c r="E87" i="13"/>
  <c r="G87" i="13" s="1"/>
  <c r="O87" i="13"/>
  <c r="S87" i="13"/>
  <c r="E88" i="13"/>
  <c r="G88" i="13" s="1"/>
  <c r="S88" i="13"/>
  <c r="E89" i="13"/>
  <c r="G89" i="13" s="1"/>
  <c r="S89" i="13"/>
  <c r="G90" i="13"/>
  <c r="S90" i="13"/>
  <c r="D91" i="13"/>
  <c r="G91" i="13" s="1"/>
  <c r="S91" i="13"/>
  <c r="D92" i="13"/>
  <c r="G92" i="13" s="1"/>
  <c r="E3" i="12"/>
  <c r="N5" i="8"/>
  <c r="C6" i="8"/>
  <c r="D6" i="8"/>
  <c r="F6" i="8"/>
  <c r="H6" i="8"/>
  <c r="K6" i="8"/>
  <c r="E7" i="8"/>
  <c r="E6" i="8" s="1"/>
  <c r="O7" i="8"/>
  <c r="E8" i="8"/>
  <c r="G8" i="8" s="1"/>
  <c r="E9" i="8"/>
  <c r="G9" i="8" s="1"/>
  <c r="I9" i="8"/>
  <c r="L9" i="8" s="1"/>
  <c r="O9" i="8" s="1"/>
  <c r="F10" i="8"/>
  <c r="F5" i="8" s="1"/>
  <c r="H10" i="8"/>
  <c r="E11" i="8"/>
  <c r="G11" i="8"/>
  <c r="I11" i="8"/>
  <c r="L11" i="8" s="1"/>
  <c r="E12" i="8"/>
  <c r="K12" i="8"/>
  <c r="C13" i="8"/>
  <c r="D13" i="8"/>
  <c r="D10" i="8" s="1"/>
  <c r="D5" i="8" s="1"/>
  <c r="K13" i="8"/>
  <c r="E14" i="8"/>
  <c r="G14" i="8" s="1"/>
  <c r="I14" i="8" s="1"/>
  <c r="L14" i="8" s="1"/>
  <c r="O14" i="8" s="1"/>
  <c r="E15" i="8"/>
  <c r="G15" i="8"/>
  <c r="I15" i="8"/>
  <c r="L15" i="8" s="1"/>
  <c r="O15" i="8" s="1"/>
  <c r="C16" i="8"/>
  <c r="D16" i="8"/>
  <c r="F16" i="8"/>
  <c r="H16" i="8"/>
  <c r="K16" i="8"/>
  <c r="E17" i="8"/>
  <c r="G17" i="8"/>
  <c r="I17" i="8"/>
  <c r="E18" i="8"/>
  <c r="G18" i="8"/>
  <c r="I18" i="8" s="1"/>
  <c r="L18" i="8" s="1"/>
  <c r="O18" i="8" s="1"/>
  <c r="O19" i="8"/>
  <c r="G20" i="8"/>
  <c r="I20" i="8" s="1"/>
  <c r="L20" i="8" s="1"/>
  <c r="O20" i="8" s="1"/>
  <c r="G21" i="8"/>
  <c r="I21" i="8"/>
  <c r="L21" i="8" s="1"/>
  <c r="O21" i="8" s="1"/>
  <c r="G22" i="8"/>
  <c r="C23" i="8"/>
  <c r="D23" i="8"/>
  <c r="E23" i="8"/>
  <c r="F23" i="8"/>
  <c r="H23" i="8"/>
  <c r="G24" i="8"/>
  <c r="I24" i="8" s="1"/>
  <c r="C25" i="8"/>
  <c r="D25" i="8"/>
  <c r="E25" i="8"/>
  <c r="F25" i="8"/>
  <c r="G25" i="8"/>
  <c r="H25" i="8"/>
  <c r="H5" i="8" s="1"/>
  <c r="K25" i="8"/>
  <c r="I26" i="8"/>
  <c r="I27" i="8"/>
  <c r="L27" i="8" s="1"/>
  <c r="O27" i="8" s="1"/>
  <c r="I28" i="8"/>
  <c r="L28" i="8" s="1"/>
  <c r="O28" i="8" s="1"/>
  <c r="I29" i="8"/>
  <c r="J29" i="8"/>
  <c r="J5" i="8"/>
  <c r="K29" i="8"/>
  <c r="L29" i="8"/>
  <c r="O29" i="8"/>
  <c r="O30" i="8"/>
  <c r="O31" i="8"/>
  <c r="O32" i="8"/>
  <c r="O33" i="8"/>
  <c r="M34" i="8"/>
  <c r="O35" i="8"/>
  <c r="O36" i="8"/>
  <c r="O37" i="8"/>
  <c r="Q37" i="8"/>
  <c r="O38" i="8"/>
  <c r="O39" i="8"/>
  <c r="O40" i="8"/>
  <c r="O41" i="8"/>
  <c r="Q41" i="8"/>
  <c r="Q34" i="8" s="1"/>
  <c r="O42" i="8"/>
  <c r="O43" i="8"/>
  <c r="P43" i="8"/>
  <c r="P5" i="8" s="1"/>
  <c r="Q44" i="8"/>
  <c r="Q46" i="8"/>
  <c r="E7" i="14"/>
  <c r="E13" i="14"/>
  <c r="F13" i="14" s="1"/>
  <c r="E19" i="14"/>
  <c r="F19" i="14" s="1"/>
  <c r="E20" i="14"/>
  <c r="F20" i="14"/>
  <c r="E21" i="14"/>
  <c r="F21" i="14" s="1"/>
  <c r="E22" i="14"/>
  <c r="F22" i="14"/>
  <c r="E23" i="14"/>
  <c r="F23" i="14" s="1"/>
  <c r="E24" i="14"/>
  <c r="F24" i="14" s="1"/>
  <c r="E25" i="14"/>
  <c r="F25" i="14" s="1"/>
  <c r="E26" i="14"/>
  <c r="F26" i="14" s="1"/>
  <c r="C27" i="14"/>
  <c r="D27" i="14"/>
  <c r="E27" i="14"/>
  <c r="E28" i="14" s="1"/>
  <c r="K5" i="2"/>
  <c r="D20" i="13"/>
  <c r="S20" i="13" s="1"/>
  <c r="C33" i="25"/>
  <c r="I22" i="8"/>
  <c r="L22" i="8"/>
  <c r="O22" i="8" s="1"/>
  <c r="M33" i="13"/>
  <c r="S25" i="13"/>
  <c r="E17" i="13"/>
  <c r="H25" i="22"/>
  <c r="H21" i="22"/>
  <c r="H19" i="22"/>
  <c r="I19" i="22" s="1"/>
  <c r="E21" i="13"/>
  <c r="G21" i="13" s="1"/>
  <c r="H18" i="22"/>
  <c r="Q78" i="22"/>
  <c r="Q74" i="22" s="1"/>
  <c r="H61" i="22"/>
  <c r="H59" i="22"/>
  <c r="H33" i="22" s="1"/>
  <c r="I63" i="22"/>
  <c r="I61" i="22" s="1"/>
  <c r="G12" i="8"/>
  <c r="I12" i="8"/>
  <c r="L12" i="8" s="1"/>
  <c r="O12" i="8" s="1"/>
  <c r="G82" i="22"/>
  <c r="F61" i="22"/>
  <c r="F59" i="22" s="1"/>
  <c r="I59" i="22" s="1"/>
  <c r="G85" i="13"/>
  <c r="G81" i="13"/>
  <c r="I60" i="22"/>
  <c r="I95" i="22"/>
  <c r="J95" i="22"/>
  <c r="E36" i="13"/>
  <c r="G36" i="13" s="1"/>
  <c r="I35" i="22"/>
  <c r="I34" i="22" s="1"/>
  <c r="I78" i="22"/>
  <c r="D36" i="22"/>
  <c r="D34" i="22"/>
  <c r="D33" i="22" s="1"/>
  <c r="D50" i="13"/>
  <c r="S50" i="13" s="1"/>
  <c r="J78" i="22"/>
  <c r="I79" i="22" l="1"/>
  <c r="I33" i="22"/>
  <c r="K24" i="8"/>
  <c r="K23" i="8" s="1"/>
  <c r="L24" i="8"/>
  <c r="I23" i="8"/>
  <c r="C34" i="25"/>
  <c r="I67" i="25"/>
  <c r="E86" i="13"/>
  <c r="E76" i="13" s="1"/>
  <c r="I21" i="22"/>
  <c r="D28" i="14"/>
  <c r="G23" i="8"/>
  <c r="D86" i="13"/>
  <c r="D22" i="16"/>
  <c r="J86" i="22"/>
  <c r="I48" i="22"/>
  <c r="I65" i="22"/>
  <c r="J81" i="22"/>
  <c r="J93" i="22"/>
  <c r="H70" i="25"/>
  <c r="K71" i="25"/>
  <c r="E33" i="22"/>
  <c r="E13" i="8"/>
  <c r="G50" i="13"/>
  <c r="D41" i="13"/>
  <c r="S41" i="13" s="1"/>
  <c r="D12" i="21"/>
  <c r="C12" i="21" s="1"/>
  <c r="I25" i="22"/>
  <c r="Q43" i="8"/>
  <c r="H82" i="22"/>
  <c r="J82" i="22" s="1"/>
  <c r="F48" i="22"/>
  <c r="J77" i="22"/>
  <c r="F80" i="22"/>
  <c r="F74" i="22" s="1"/>
  <c r="F64" i="22" s="1"/>
  <c r="J84" i="22"/>
  <c r="G8" i="25"/>
  <c r="G11" i="25"/>
  <c r="K81" i="25"/>
  <c r="H75" i="25"/>
  <c r="K75" i="25" s="1"/>
  <c r="J83" i="22"/>
  <c r="J79" i="22"/>
  <c r="G47" i="13"/>
  <c r="G42" i="13" s="1"/>
  <c r="G41" i="13" s="1"/>
  <c r="D14" i="13"/>
  <c r="S14" i="13" s="1"/>
  <c r="H88" i="25"/>
  <c r="K88" i="25" s="1"/>
  <c r="D11" i="13"/>
  <c r="S11" i="13" s="1"/>
  <c r="D53" i="25"/>
  <c r="H17" i="22"/>
  <c r="I17" i="22" s="1"/>
  <c r="H33" i="25"/>
  <c r="H20" i="25"/>
  <c r="D8" i="25"/>
  <c r="E18" i="25"/>
  <c r="E11" i="25" s="1"/>
  <c r="D24" i="13"/>
  <c r="S24" i="13" s="1"/>
  <c r="Q27" i="3"/>
  <c r="G18" i="13"/>
  <c r="K20" i="13" s="1"/>
  <c r="J7" i="3"/>
  <c r="E15" i="13" s="1"/>
  <c r="G6" i="2"/>
  <c r="G17" i="13"/>
  <c r="R27" i="3"/>
  <c r="I18" i="22"/>
  <c r="G16" i="13"/>
  <c r="E24" i="13"/>
  <c r="I7" i="3"/>
  <c r="E14" i="13" s="1"/>
  <c r="K15" i="13" s="1"/>
  <c r="H28" i="22"/>
  <c r="I28" i="22" s="1"/>
  <c r="H32" i="22"/>
  <c r="I32" i="22" s="1"/>
  <c r="G6" i="8"/>
  <c r="I8" i="8"/>
  <c r="O11" i="8"/>
  <c r="G13" i="8"/>
  <c r="E10" i="8"/>
  <c r="D15" i="13"/>
  <c r="J27" i="3"/>
  <c r="S7" i="3"/>
  <c r="M32" i="13"/>
  <c r="E31" i="13"/>
  <c r="G16" i="8"/>
  <c r="K10" i="8"/>
  <c r="K5" i="8" s="1"/>
  <c r="S17" i="13"/>
  <c r="F49" i="22"/>
  <c r="I77" i="22"/>
  <c r="O77" i="22"/>
  <c r="O74" i="22" s="1"/>
  <c r="I12" i="25"/>
  <c r="G9" i="13"/>
  <c r="I31" i="22"/>
  <c r="I16" i="8"/>
  <c r="L17" i="8"/>
  <c r="E34" i="13"/>
  <c r="G34" i="13" s="1"/>
  <c r="S26" i="3"/>
  <c r="C10" i="8"/>
  <c r="C5" i="8" s="1"/>
  <c r="F27" i="14"/>
  <c r="Q5" i="8"/>
  <c r="E16" i="8"/>
  <c r="G6" i="3"/>
  <c r="F36" i="22"/>
  <c r="F34" i="22" s="1"/>
  <c r="F33" i="22" s="1"/>
  <c r="J91" i="22"/>
  <c r="I91" i="22"/>
  <c r="I87" i="22" s="1"/>
  <c r="I80" i="22" s="1"/>
  <c r="G68" i="13"/>
  <c r="G64" i="13" s="1"/>
  <c r="E64" i="13"/>
  <c r="G19" i="13"/>
  <c r="M5" i="8"/>
  <c r="O34" i="8"/>
  <c r="L26" i="8"/>
  <c r="I25" i="8"/>
  <c r="E89" i="25"/>
  <c r="I89" i="25" s="1"/>
  <c r="I93" i="25"/>
  <c r="D76" i="13"/>
  <c r="G32" i="13"/>
  <c r="F53" i="22"/>
  <c r="J76" i="22"/>
  <c r="I76" i="22"/>
  <c r="G87" i="22"/>
  <c r="J88" i="22"/>
  <c r="J92" i="22"/>
  <c r="J94" i="22"/>
  <c r="F16" i="22"/>
  <c r="H87" i="22"/>
  <c r="H80" i="22" s="1"/>
  <c r="J80" i="22" s="1"/>
  <c r="J87" i="22" l="1"/>
  <c r="S86" i="13"/>
  <c r="G86" i="13"/>
  <c r="E5" i="8"/>
  <c r="L23" i="8"/>
  <c r="O23" i="8" s="1"/>
  <c r="O24" i="8"/>
  <c r="K70" i="25"/>
  <c r="H68" i="25"/>
  <c r="K68" i="25" s="1"/>
  <c r="S27" i="3"/>
  <c r="E11" i="13"/>
  <c r="E9" i="13" s="1"/>
  <c r="H19" i="25"/>
  <c r="I19" i="25" s="1"/>
  <c r="D13" i="13"/>
  <c r="L13" i="13" s="1"/>
  <c r="D9" i="13"/>
  <c r="S9" i="13" s="1"/>
  <c r="U27" i="3"/>
  <c r="H63" i="25"/>
  <c r="C17" i="25"/>
  <c r="I33" i="25"/>
  <c r="E26" i="3"/>
  <c r="M24" i="13"/>
  <c r="E10" i="25"/>
  <c r="E9" i="25" s="1"/>
  <c r="E7" i="3"/>
  <c r="G24" i="13"/>
  <c r="K24" i="13" s="1"/>
  <c r="G14" i="13"/>
  <c r="H16" i="22"/>
  <c r="I27" i="3"/>
  <c r="L16" i="8"/>
  <c r="O16" i="8" s="1"/>
  <c r="O17" i="8"/>
  <c r="I13" i="8"/>
  <c r="G10" i="8"/>
  <c r="G5" i="8" s="1"/>
  <c r="F15" i="22"/>
  <c r="O26" i="8"/>
  <c r="L25" i="8"/>
  <c r="O25" i="8" s="1"/>
  <c r="H74" i="22"/>
  <c r="G76" i="13"/>
  <c r="S76" i="13"/>
  <c r="H102" i="22"/>
  <c r="I102" i="22" s="1"/>
  <c r="O7" i="3"/>
  <c r="L8" i="8"/>
  <c r="I6" i="8"/>
  <c r="E28" i="13"/>
  <c r="G31" i="13"/>
  <c r="M31" i="13"/>
  <c r="S15" i="13"/>
  <c r="G15" i="13"/>
  <c r="I74" i="22"/>
  <c r="I20" i="25"/>
  <c r="M9" i="13" l="1"/>
  <c r="H32" i="25"/>
  <c r="I32" i="25" s="1"/>
  <c r="D8" i="13"/>
  <c r="D7" i="13" s="1"/>
  <c r="S13" i="13"/>
  <c r="F6" i="3"/>
  <c r="AC27" i="3"/>
  <c r="K63" i="25"/>
  <c r="I63" i="25"/>
  <c r="L63" i="25" s="1"/>
  <c r="H53" i="25"/>
  <c r="H17" i="25"/>
  <c r="H12" i="25" s="1"/>
  <c r="C12" i="25"/>
  <c r="E8" i="25"/>
  <c r="W27" i="3"/>
  <c r="H64" i="22"/>
  <c r="I64" i="22"/>
  <c r="H29" i="22"/>
  <c r="I29" i="22" s="1"/>
  <c r="O27" i="3"/>
  <c r="E20" i="13"/>
  <c r="G7" i="3"/>
  <c r="F7" i="3" s="1"/>
  <c r="I16" i="22"/>
  <c r="M28" i="13"/>
  <c r="E26" i="13"/>
  <c r="G28" i="13"/>
  <c r="G26" i="13" s="1"/>
  <c r="G25" i="13" s="1"/>
  <c r="L13" i="8"/>
  <c r="I10" i="8"/>
  <c r="I5" i="8" s="1"/>
  <c r="O8" i="8"/>
  <c r="L6" i="8"/>
  <c r="O6" i="8" s="1"/>
  <c r="S8" i="13" l="1"/>
  <c r="J8" i="13"/>
  <c r="I53" i="25"/>
  <c r="C11" i="25"/>
  <c r="C10" i="25"/>
  <c r="H15" i="22"/>
  <c r="I15" i="22"/>
  <c r="G26" i="3"/>
  <c r="F26" i="3" s="1"/>
  <c r="F27" i="3" s="1"/>
  <c r="O13" i="8"/>
  <c r="L10" i="8"/>
  <c r="D6" i="13"/>
  <c r="L14" i="13"/>
  <c r="S7" i="13"/>
  <c r="G20" i="13"/>
  <c r="G13" i="13" s="1"/>
  <c r="G8" i="13" s="1"/>
  <c r="G7" i="13" s="1"/>
  <c r="G6" i="13" s="1"/>
  <c r="E13" i="13"/>
  <c r="E25" i="13"/>
  <c r="M25" i="13" s="1"/>
  <c r="M26" i="13"/>
  <c r="I18" i="25"/>
  <c r="H18" i="25"/>
  <c r="C9" i="25" l="1"/>
  <c r="C7" i="25" s="1"/>
  <c r="C8" i="25"/>
  <c r="L8" i="25" s="1"/>
  <c r="M8" i="25" s="1"/>
  <c r="I11" i="25"/>
  <c r="I10" i="25"/>
  <c r="H10" i="25"/>
  <c r="H11" i="25"/>
  <c r="S6" i="13"/>
  <c r="T6" i="13" s="1"/>
  <c r="G27" i="3"/>
  <c r="O10" i="8"/>
  <c r="L5" i="8"/>
  <c r="O5" i="8" s="1"/>
  <c r="E8" i="13"/>
  <c r="M13" i="13"/>
  <c r="I9" i="25" l="1"/>
  <c r="I8" i="25"/>
  <c r="E7" i="13"/>
  <c r="E6" i="13" s="1"/>
  <c r="N6" i="13" s="1"/>
  <c r="M8" i="13"/>
  <c r="H9" i="25"/>
  <c r="H7" i="25" s="1"/>
  <c r="H8" i="25"/>
  <c r="D17" i="3"/>
  <c r="B17" i="3"/>
  <c r="A17" i="3"/>
  <c r="C17" i="3"/>
  <c r="D26" i="3"/>
  <c r="D7" i="3"/>
  <c r="A10" i="3"/>
  <c r="B10" i="3"/>
  <c r="B14" i="3"/>
  <c r="A14" i="3"/>
  <c r="B9" i="3"/>
  <c r="C9" i="3"/>
  <c r="A9" i="3"/>
  <c r="B22" i="3"/>
  <c r="A22" i="3"/>
  <c r="C22" i="3"/>
  <c r="C13" i="3"/>
  <c r="B13" i="3"/>
  <c r="A13" i="3"/>
  <c r="D16" i="3"/>
  <c r="B16" i="3"/>
  <c r="A16" i="3"/>
  <c r="C16" i="3"/>
  <c r="C12" i="3"/>
  <c r="A12" i="3"/>
  <c r="B12" i="3"/>
  <c r="C11" i="3"/>
  <c r="B11" i="3"/>
  <c r="A11" i="3"/>
  <c r="A23" i="3"/>
  <c r="B23" i="3"/>
</calcChain>
</file>

<file path=xl/comments1.xml><?xml version="1.0" encoding="utf-8"?>
<comments xmlns="http://schemas.openxmlformats.org/spreadsheetml/2006/main">
  <authors>
    <author>Nguyen Anh</author>
    <author>stc</author>
    <author>ADMIN</author>
  </authors>
  <commentList>
    <comment ref="G5" authorId="0">
      <text>
        <r>
          <rPr>
            <b/>
            <sz val="8"/>
            <color indexed="81"/>
            <rFont val="Tahoma"/>
            <family val="2"/>
          </rPr>
          <t>Nguyen Anh:</t>
        </r>
        <r>
          <rPr>
            <sz val="8"/>
            <color indexed="81"/>
            <rFont val="Tahoma"/>
            <family val="2"/>
          </rPr>
          <t xml:space="preserve">
KB tự hạch toán chuyển tạm ứng sang năm 2012 loại trừ 45 tỷ tạm ứng 2008, cq TC làm chứng từ điều chỉnh</t>
        </r>
      </text>
    </comment>
    <comment ref="K12" authorId="1">
      <text>
        <r>
          <rPr>
            <b/>
            <sz val="9"/>
            <color indexed="81"/>
            <rFont val="Tahoma"/>
            <family val="2"/>
          </rPr>
          <t>stc: thu hồi tạm ứng của 2 huyện PN, BB để hoàn trả tạm ứng về TW</t>
        </r>
      </text>
    </comment>
    <comment ref="K13" authorId="2">
      <text>
        <r>
          <rPr>
            <b/>
            <sz val="9"/>
            <color indexed="81"/>
            <rFont val="Tahoma"/>
            <family val="2"/>
          </rPr>
          <t>ADMIN:</t>
        </r>
        <r>
          <rPr>
            <sz val="9"/>
            <color indexed="81"/>
            <rFont val="Tahoma"/>
            <family val="2"/>
          </rPr>
          <t xml:space="preserve">
theo VB số 18364/BTC-NSNN ngày 31/12/2013, thu hồi 3 tyr đồng ứng trước DT theo QĐ 939/QĐ-TTg ngày 01/7/2009 của CP. Hoàn trả theo vb số 9931/BTC-ĐT:8,282tỷ nguồn ứng trc 2009 chưa giải ngân hết
</t>
        </r>
      </text>
    </comment>
  </commentList>
</comments>
</file>

<file path=xl/comments2.xml><?xml version="1.0" encoding="utf-8"?>
<comments xmlns="http://schemas.openxmlformats.org/spreadsheetml/2006/main">
  <authors>
    <author>hongngoc_pc</author>
    <author>hien</author>
    <author>hai_pc</author>
  </authors>
  <commentList>
    <comment ref="D15" authorId="0">
      <text>
        <r>
          <rPr>
            <b/>
            <sz val="9"/>
            <color indexed="81"/>
            <rFont val="Tahoma"/>
            <family val="2"/>
          </rPr>
          <t>hongngoc_pc:</t>
        </r>
        <r>
          <rPr>
            <sz val="9"/>
            <color indexed="81"/>
            <rFont val="Tahoma"/>
            <family val="2"/>
          </rPr>
          <t xml:space="preserve">
hoàn nguồn KP NĐ 86: 619,627 trđ</t>
        </r>
      </text>
    </comment>
    <comment ref="E45" authorId="1">
      <text>
        <r>
          <rPr>
            <b/>
            <sz val="9"/>
            <color indexed="81"/>
            <rFont val="Tahoma"/>
            <family val="2"/>
          </rPr>
          <t>hien:</t>
        </r>
        <r>
          <rPr>
            <sz val="9"/>
            <color indexed="81"/>
            <rFont val="Tahoma"/>
            <family val="2"/>
          </rPr>
          <t xml:space="preserve">
QĐ 176 ngày 30 7 2018</t>
        </r>
      </text>
    </comment>
    <comment ref="E83" authorId="2">
      <text>
        <r>
          <rPr>
            <b/>
            <sz val="9"/>
            <color indexed="81"/>
            <rFont val="Tahoma"/>
            <family val="2"/>
          </rPr>
          <t>hai_pc:</t>
        </r>
        <r>
          <rPr>
            <sz val="9"/>
            <color indexed="81"/>
            <rFont val="Tahoma"/>
            <family val="2"/>
          </rPr>
          <t xml:space="preserve">
TTr số 291 ngày 23/12/2020 của STC</t>
        </r>
      </text>
    </comment>
    <comment ref="D91" authorId="0">
      <text>
        <r>
          <rPr>
            <b/>
            <sz val="9"/>
            <color indexed="81"/>
            <rFont val="Tahoma"/>
            <family val="2"/>
          </rPr>
          <t>hongngoc_pc:</t>
        </r>
        <r>
          <rPr>
            <sz val="9"/>
            <color indexed="81"/>
            <rFont val="Tahoma"/>
            <family val="2"/>
          </rPr>
          <t xml:space="preserve">
giảm 5.583 trđ để bù giảm thu ns tỉnh
</t>
        </r>
      </text>
    </comment>
  </commentList>
</comments>
</file>

<file path=xl/comments3.xml><?xml version="1.0" encoding="utf-8"?>
<comments xmlns="http://schemas.openxmlformats.org/spreadsheetml/2006/main">
  <authors>
    <author>hai_pc</author>
  </authors>
  <commentList>
    <comment ref="H7" authorId="0">
      <text>
        <r>
          <rPr>
            <b/>
            <sz val="9"/>
            <color indexed="81"/>
            <rFont val="Tahoma"/>
            <family val="2"/>
          </rPr>
          <t>hai_pc:</t>
        </r>
        <r>
          <rPr>
            <sz val="9"/>
            <color indexed="81"/>
            <rFont val="Tahoma"/>
            <family val="2"/>
          </rPr>
          <t xml:space="preserve">
Hoàn trả nguồn QLHC tỉnh điều hành năm 2020 KP thực hiện QĐ 24 số tiền 16 trđ, do đã lấy nguồn QLHC tỉnh điều hành năm 2019 ra cấp trước</t>
        </r>
      </text>
    </comment>
  </commentList>
</comments>
</file>

<file path=xl/comments4.xml><?xml version="1.0" encoding="utf-8"?>
<comments xmlns="http://schemas.openxmlformats.org/spreadsheetml/2006/main">
  <authors>
    <author>hai_pc</author>
    <author>hp</author>
    <author>hongngoc_pc</author>
  </authors>
  <commentList>
    <comment ref="B8" authorId="0">
      <text>
        <r>
          <rPr>
            <b/>
            <sz val="9"/>
            <color indexed="81"/>
            <rFont val="Tahoma"/>
            <family val="2"/>
          </rPr>
          <t>hai_pc:</t>
        </r>
        <r>
          <rPr>
            <sz val="9"/>
            <color indexed="81"/>
            <rFont val="Tahoma"/>
            <family val="2"/>
          </rPr>
          <t xml:space="preserve">
Nội dung này do Sở Kế hoạch và Đầu tư báo cáo</t>
        </r>
      </text>
    </comment>
    <comment ref="C16" authorId="1">
      <text>
        <r>
          <rPr>
            <b/>
            <sz val="9"/>
            <color indexed="81"/>
            <rFont val="Tahoma"/>
            <family val="2"/>
          </rPr>
          <t>hp:</t>
        </r>
        <r>
          <rPr>
            <sz val="9"/>
            <color indexed="81"/>
            <rFont val="Tahoma"/>
            <family val="2"/>
          </rPr>
          <t xml:space="preserve">
Đã bao gồm 4.300 triệu đồng điều chỉnh tăng từ nguồn trích 10% thu tiền SD đất cho ct đo đạc, chỉnh lý đất đai
</t>
        </r>
      </text>
    </comment>
    <comment ref="W74" authorId="2">
      <text>
        <r>
          <rPr>
            <b/>
            <sz val="9"/>
            <color indexed="81"/>
            <rFont val="Tahoma"/>
            <family val="2"/>
          </rPr>
          <t>hongngoc_pc:</t>
        </r>
        <r>
          <rPr>
            <sz val="9"/>
            <color indexed="81"/>
            <rFont val="Tahoma"/>
            <family val="2"/>
          </rPr>
          <t xml:space="preserve">
skh phân bổ đã tổng hợp ở phần I
</t>
        </r>
      </text>
    </comment>
    <comment ref="X74" authorId="2">
      <text>
        <r>
          <rPr>
            <b/>
            <sz val="9"/>
            <color indexed="81"/>
            <rFont val="Tahoma"/>
            <family val="2"/>
          </rPr>
          <t>hongngoc_pc:</t>
        </r>
        <r>
          <rPr>
            <sz val="9"/>
            <color indexed="81"/>
            <rFont val="Tahoma"/>
            <family val="2"/>
          </rPr>
          <t xml:space="preserve">
đầu năm </t>
        </r>
      </text>
    </comment>
  </commentList>
</comments>
</file>

<file path=xl/comments5.xml><?xml version="1.0" encoding="utf-8"?>
<comments xmlns="http://schemas.openxmlformats.org/spreadsheetml/2006/main">
  <authors>
    <author>hp</author>
  </authors>
  <commentList>
    <comment ref="E11" authorId="0">
      <text>
        <r>
          <rPr>
            <b/>
            <sz val="9"/>
            <color indexed="81"/>
            <rFont val="Tahoma"/>
            <family val="2"/>
          </rPr>
          <t>hp:</t>
        </r>
        <r>
          <rPr>
            <sz val="9"/>
            <color indexed="81"/>
            <rFont val="Tahoma"/>
            <family val="2"/>
          </rPr>
          <t xml:space="preserve">
Huyện Na Rì 161,803;
Huyện Chợ Mới 350,668</t>
        </r>
      </text>
    </comment>
    <comment ref="E12" authorId="0">
      <text>
        <r>
          <rPr>
            <b/>
            <sz val="9"/>
            <color indexed="81"/>
            <rFont val="Tahoma"/>
            <family val="2"/>
          </rPr>
          <t>hp:</t>
        </r>
        <r>
          <rPr>
            <sz val="9"/>
            <color indexed="81"/>
            <rFont val="Tahoma"/>
            <family val="2"/>
          </rPr>
          <t xml:space="preserve">
UBND huyên Na Rì (Chuyển từ Sở LĐTBXH)</t>
        </r>
      </text>
    </comment>
  </commentList>
</comments>
</file>

<file path=xl/comments6.xml><?xml version="1.0" encoding="utf-8"?>
<comments xmlns="http://schemas.openxmlformats.org/spreadsheetml/2006/main">
  <authors>
    <author>hai_pc</author>
  </authors>
  <commentList>
    <comment ref="I21" authorId="0">
      <text>
        <r>
          <rPr>
            <b/>
            <sz val="9"/>
            <color indexed="81"/>
            <rFont val="Tahoma"/>
            <family val="2"/>
          </rPr>
          <t>hai_pc:</t>
        </r>
        <r>
          <rPr>
            <sz val="9"/>
            <color indexed="81"/>
            <rFont val="Tahoma"/>
            <family val="2"/>
          </rPr>
          <t xml:space="preserve">
Nội dung này do Sở Kế hoạch và Đầu tư báo cáo</t>
        </r>
      </text>
    </comment>
  </commentList>
</comments>
</file>

<file path=xl/sharedStrings.xml><?xml version="1.0" encoding="utf-8"?>
<sst xmlns="http://schemas.openxmlformats.org/spreadsheetml/2006/main" count="1174" uniqueCount="695">
  <si>
    <t>STT</t>
  </si>
  <si>
    <t>Nguồn kinh phí</t>
  </si>
  <si>
    <t>Ghi chú</t>
  </si>
  <si>
    <t>Đơn vị: Triệu đồng</t>
  </si>
  <si>
    <t>I</t>
  </si>
  <si>
    <t>Chi sự nghiệp kinh tế</t>
  </si>
  <si>
    <t>Chi sự nghiệp giáo dục - đào tạo và dạy nghề</t>
  </si>
  <si>
    <t>Chi sự nghiệp khoa học công nghệ</t>
  </si>
  <si>
    <t>Chi quản lý hành chính</t>
  </si>
  <si>
    <t>II</t>
  </si>
  <si>
    <t>III</t>
  </si>
  <si>
    <t>IV</t>
  </si>
  <si>
    <t>Ngày, tháng VB</t>
  </si>
  <si>
    <t>Nội dung</t>
  </si>
  <si>
    <t>Bộ Tài chính cấp</t>
  </si>
  <si>
    <t>Tỉnh đã phân bổ</t>
  </si>
  <si>
    <t>Số chưa phân bổ</t>
  </si>
  <si>
    <t>QĐ phân bổ của tỉnh, TTr của Sở Tài chính</t>
  </si>
  <si>
    <t>Tổng số</t>
  </si>
  <si>
    <t>V</t>
  </si>
  <si>
    <t>Nguồn khác</t>
  </si>
  <si>
    <t>SNKT</t>
  </si>
  <si>
    <t>SNYT</t>
  </si>
  <si>
    <t>QLHC</t>
  </si>
  <si>
    <t>Dự phòng</t>
  </si>
  <si>
    <t>bhxh</t>
  </si>
  <si>
    <t xml:space="preserve">                                                       </t>
  </si>
  <si>
    <t xml:space="preserve"> </t>
  </si>
  <si>
    <t>QĐ/TTr</t>
  </si>
  <si>
    <t>I. Tổng nguồn được sử dụng</t>
  </si>
  <si>
    <t>II. Kinh phí bố trí sử dụng</t>
  </si>
  <si>
    <t>Nội dung chi</t>
  </si>
  <si>
    <t xml:space="preserve">Số </t>
  </si>
  <si>
    <t>Ngày</t>
  </si>
  <si>
    <t>Tổng nguồn tỉnh điều hành</t>
  </si>
  <si>
    <t>SNKHCN</t>
  </si>
  <si>
    <t>Quỹ DTTC</t>
  </si>
  <si>
    <t>Tổng nguồn đã bố trí sử dụng</t>
  </si>
  <si>
    <t>III. Nguồn còn lại</t>
  </si>
  <si>
    <t>Vốn trong nước</t>
  </si>
  <si>
    <t xml:space="preserve"> -</t>
  </si>
  <si>
    <t>Số VB (BTC/NSNN)</t>
  </si>
  <si>
    <t>Chi sự nghiệp y tế</t>
  </si>
  <si>
    <t>Nguồn Trung ương bổ sung có mục tiêu</t>
  </si>
  <si>
    <t>Mã</t>
  </si>
  <si>
    <t>Quỹ dự trữ tài chính</t>
  </si>
  <si>
    <t>Ngày tháng PS</t>
  </si>
  <si>
    <t>Diễn giải</t>
  </si>
  <si>
    <t>Phát sinh nợ</t>
  </si>
  <si>
    <t>Phát sinh có</t>
  </si>
  <si>
    <t>Chi đầu tư hạ tầng từ nguồn thu tiền sử dụng đất</t>
  </si>
  <si>
    <t>V/v tạm ứng vốn sửa chữa đảm bảo an toàn hồ chứa</t>
  </si>
  <si>
    <t>Tạm ứng KP hỗ trợ sản xuất lúa bị thiệt hại do thiên tai, dịch bệnh năm 2014</t>
  </si>
  <si>
    <t>V/v tạm ứng kinh phí hỗ trợ hộ nghèo tiền điện Quý IV /2014</t>
  </si>
  <si>
    <t>V/v ứng trước kế hoạch vốn đầu tư phát triển nguồn NSNN năm 2015</t>
  </si>
  <si>
    <t>V/v thông báo vốn hỗ trợ thực hiện các dự án di dân khẩn cấp ra khỏi vùng thiên tai, lũ ống, lũ quét, sạt lở đất</t>
  </si>
  <si>
    <t>Tạm ứng NSTW hỗ trợ người có công với cách mạng về nhà ở</t>
  </si>
  <si>
    <t>KP chi thưởng cho bà mẹ được tặng danh hiệu vinh dự Nhà nước "Bà mẹ VN anh hùng"</t>
  </si>
  <si>
    <t>Ứng vốn ngân sách Trung ương để thực hiện dự án ổn định dân cư tư do cấp bạch</t>
  </si>
  <si>
    <t>Đơn vị: triệu đồng</t>
  </si>
  <si>
    <t>Tổng số vốn ứng trước</t>
  </si>
  <si>
    <t>Số thu hồi năm 2009</t>
  </si>
  <si>
    <t>Số TƯ chuyển năm sau</t>
  </si>
  <si>
    <t>Số thu hồi năm 2011</t>
  </si>
  <si>
    <t>TƯ, UT chuyển sang năm 2012</t>
  </si>
  <si>
    <t>Số thu hồi năm 2012</t>
  </si>
  <si>
    <t>Số dư năm 2012 chuyển sang</t>
  </si>
  <si>
    <t>Số phát sinh tăng trong năm 2013</t>
  </si>
  <si>
    <t>Số phát sinh giảm trong năm 2013 (số thu hồi)</t>
  </si>
  <si>
    <t>Số dư chuyển sang năm 2014</t>
  </si>
  <si>
    <t>Tổng cộng</t>
  </si>
  <si>
    <t xml:space="preserve">Tạm ứng năm 2008 </t>
  </si>
  <si>
    <t>1</t>
  </si>
  <si>
    <t>Khu công nghiệp Thanh Bình</t>
  </si>
  <si>
    <t>2</t>
  </si>
  <si>
    <t>Dự án tái định cư Quốc lộ III</t>
  </si>
  <si>
    <t>3</t>
  </si>
  <si>
    <t>Giao thông nông thôn miền núi</t>
  </si>
  <si>
    <t xml:space="preserve">Tạm ứng, ứng trước năm 2009 </t>
  </si>
  <si>
    <t>Vốn thực hiện DA cải tạo, nâng cấp Quốc lộ 3</t>
  </si>
  <si>
    <t>Kinh phí thực hiện NQ 30a/2008/NQ-CP</t>
  </si>
  <si>
    <t>Kinh phí thực hiện các dự án quan trọng, cấp bách</t>
  </si>
  <si>
    <t>4</t>
  </si>
  <si>
    <t>Học bổng học sinh DT bán trú</t>
  </si>
  <si>
    <t>5</t>
  </si>
  <si>
    <t>Công nghệ thông tin</t>
  </si>
  <si>
    <t>Tạm ứng,  ứng trước năm 2010</t>
  </si>
  <si>
    <t>Ứng trước dự toán để thực hiện các dự án đường cứu hộ, cứu nạn cho nhân dân trong vùng bão lũ giai đoạn 2011-2015</t>
  </si>
  <si>
    <t>Ứng trước dự toán 2011 để đẩy nhanh tiến độ thực hiện một số dự án quan trọng, cấp bách, có khả năng hoàn thành trong năm 2010</t>
  </si>
  <si>
    <t>Kinh phí thực hiện DA Hồ, đập Vằng Đen- Lương Thượng tỉnh BK</t>
  </si>
  <si>
    <t>Kinh phí thực hiện chính sách đối với học sinh con hộ nghèo</t>
  </si>
  <si>
    <t>Học bổng học sinh dân tộc bán trú năm 2010</t>
  </si>
  <si>
    <t>6</t>
  </si>
  <si>
    <t>Hỗ trợ vốn đầu tư xây dựng khu công nghiệp Thanh Bình</t>
  </si>
  <si>
    <t>Tạm ứng, ứng trước năm 2011</t>
  </si>
  <si>
    <t>Tạm ứng, ứng trước năm 2012</t>
  </si>
  <si>
    <t xml:space="preserve"> Tạm ứng để thực hiện mua thẻ BHYT năm 2011, 2012 cho hộ cận nghèo, học sinh, sinh viên</t>
  </si>
  <si>
    <t xml:space="preserve">  Ứng trước vốn NSNN năm 2013</t>
  </si>
  <si>
    <t xml:space="preserve">  Ứng trước từ NSTW năm 2013</t>
  </si>
  <si>
    <t>VII</t>
  </si>
  <si>
    <t>Tạm ứng, ứng trước năm 2013</t>
  </si>
  <si>
    <t xml:space="preserve"> Tạm ứng vốn sửa chữa đảm bảo an toàn hồ nước</t>
  </si>
  <si>
    <t xml:space="preserve"> Tạm ứng để mua thẻ BHYT cho hộ cận nghèo, học sinh, sinh viên năm 2013</t>
  </si>
  <si>
    <t xml:space="preserve"> Ứng trước vốn đối ứng NSNN cho các dự án ODA</t>
  </si>
  <si>
    <t>TƯ, UT tăng trong năm 2014</t>
  </si>
  <si>
    <t>TƯ, UT giảm trong năm 2014</t>
  </si>
  <si>
    <t>Tạm ứng chuyển sang năm 2015</t>
  </si>
  <si>
    <t>TỔNG HỢP VỐN TẠM ỨNG, ỨNG TRƯỚC TỪ NGÂN SÁCH TRUNG ƯƠNG NĂM 2014 CHUYỂN SANG NĂM 2015</t>
  </si>
  <si>
    <t>VIII</t>
  </si>
  <si>
    <t>7</t>
  </si>
  <si>
    <t>8</t>
  </si>
  <si>
    <t>9</t>
  </si>
  <si>
    <t>Tạm ứng, ứng trước năm 2014</t>
  </si>
  <si>
    <t>IX</t>
  </si>
  <si>
    <t>Tạm ứng, ứng trước năm 2015</t>
  </si>
  <si>
    <t>Tạm ứng kinh phí tổ chức Đại hội Đảng các cấp ở địa phương năm 2015</t>
  </si>
  <si>
    <t>TƯ, UT tăng trong năm 2015</t>
  </si>
  <si>
    <t>Nguồn thu tiền SDĐ</t>
  </si>
  <si>
    <t>TƯ, UT giảm trong năm 2015</t>
  </si>
  <si>
    <t>Vốn đầu tư</t>
  </si>
  <si>
    <t>Thu hồi tạm ứng tiền điện</t>
  </si>
  <si>
    <t>Tạm ứng tiền điện</t>
  </si>
  <si>
    <t>2.1</t>
  </si>
  <si>
    <t>2.2</t>
  </si>
  <si>
    <t>Đã phân bổ (bao gồm cả TT của STC)</t>
  </si>
  <si>
    <t>BÁO CÁO KINH PHÍ HOÀN TRẢ NGÂN SÁCH TRUNG ƯƠNG</t>
  </si>
  <si>
    <t>Nội dung hoàn trả</t>
  </si>
  <si>
    <t>KP thực hiện Quyết định số 12</t>
  </si>
  <si>
    <t>KP dư hoàn trả TW</t>
  </si>
  <si>
    <t>Số ký hiệu VB</t>
  </si>
  <si>
    <t>15369/BTC-NSNN</t>
  </si>
  <si>
    <t>Chi khác</t>
  </si>
  <si>
    <t>Chi đầu tư xây dựng cơ bản vốn trong nước</t>
  </si>
  <si>
    <t>Chi trả phí các khoản vay</t>
  </si>
  <si>
    <t>Chi khác ngân sách</t>
  </si>
  <si>
    <t>1.1</t>
  </si>
  <si>
    <t>1.2</t>
  </si>
  <si>
    <t>2.3</t>
  </si>
  <si>
    <t>2.4</t>
  </si>
  <si>
    <t>2.5</t>
  </si>
  <si>
    <t>2.6</t>
  </si>
  <si>
    <t>2.7</t>
  </si>
  <si>
    <t>2.8</t>
  </si>
  <si>
    <t>2.9</t>
  </si>
  <si>
    <t>2.10</t>
  </si>
  <si>
    <t>Vốn nước ngoài</t>
  </si>
  <si>
    <t>Thực hiện chính sách an sinh xã hội</t>
  </si>
  <si>
    <t>Nguồn CCTL trong DT ĐN</t>
  </si>
  <si>
    <t>II.1</t>
  </si>
  <si>
    <t>II.2</t>
  </si>
  <si>
    <t>Chương trình mục tiêu quốc gia</t>
  </si>
  <si>
    <t>CT MTQG giảm nghèo bền vững</t>
  </si>
  <si>
    <t>CT MTQG Xây dựng nông thôn mới</t>
  </si>
  <si>
    <t>Chương trình mục tiêu, nhiệm vụ</t>
  </si>
  <si>
    <t>Số TTr</t>
  </si>
  <si>
    <t>Ngày tháng</t>
  </si>
  <si>
    <t>Số tiền thu hồi</t>
  </si>
  <si>
    <t>BÁO CÁO KINH PHÍ THU HỒI CỦA CÁC HUYỆN, TP</t>
  </si>
  <si>
    <t>KP hỗ trợ trẻ ăn trưa 3-5 tuổi</t>
  </si>
  <si>
    <t>155/TTr-STC</t>
  </si>
  <si>
    <t>154/TTr-STC</t>
  </si>
  <si>
    <t>CS hỗ trợ chi phí học tập cho trẻ khuyết tật</t>
  </si>
  <si>
    <t>Chi đầu tư từ nguồn tiết kiệm chi thường xuyên</t>
  </si>
  <si>
    <t>1.3</t>
  </si>
  <si>
    <t>Hỗ trợ đóng bảo hiểm y tế cho các đối tượng thuộc phần ngân sách tỉnh đảm bảo</t>
  </si>
  <si>
    <t>Dự kiến thực hiện chính sách an sinh xã hội phát sinh</t>
  </si>
  <si>
    <t>KP theo QĐ 24 và KP hỗ trợ SX NN khôi phục vùng bị thiệt hại do thiên tai, dịch bệnh gây ra năm 2019</t>
  </si>
  <si>
    <t>Chi sự nghiệp văn hóa thông tin</t>
  </si>
  <si>
    <t>Chính sách hỗ trợ tiền ăn trưa cho trẻ 3-5 tuổi</t>
  </si>
  <si>
    <t>Kinh phí hỗ trợ an ninh, quốc phòng</t>
  </si>
  <si>
    <t>SỔ CHI TIẾT NĂM 2020</t>
  </si>
  <si>
    <t>SNVHTT</t>
  </si>
  <si>
    <t>Nguồn BS có MT vốn ĐT đầu năm chưa phân bổ</t>
  </si>
  <si>
    <t>Nguồn BS có MT vốn SN đầu năm chưa phân bổ</t>
  </si>
  <si>
    <t xml:space="preserve">Vốn sự nghiệp </t>
  </si>
  <si>
    <t>Vốn nước ngoài thực hiện các CTMT, nhiệm vụ, chế độ, chính sách theo quy định</t>
  </si>
  <si>
    <t>Vốn trong nước thực hiện các CTMT, nhiệm vụ, chế độ, chính sách theo quy định</t>
  </si>
  <si>
    <t>Hỗ trợ KP tiêu hủy lợn mắc bệnh dịch tả lợn Châu Phi</t>
  </si>
  <si>
    <t>31/3/2020</t>
  </si>
  <si>
    <t>Hỗ trợ KP tổ chức Đại hội Đảng các cấp năm 2020</t>
  </si>
  <si>
    <t>2.11</t>
  </si>
  <si>
    <t>Tài khoản: 5611.2.2997906 (3761.2.1072389 -952 01 00 00001)</t>
  </si>
  <si>
    <t>Số dư đầu kỳ</t>
  </si>
  <si>
    <t>31/01/2020</t>
  </si>
  <si>
    <t>Lãi tháng 1</t>
  </si>
  <si>
    <t>04/02/2020</t>
  </si>
  <si>
    <t>Hoàn trả Quỹ dự trữ tài chính</t>
  </si>
  <si>
    <t>28/02/2020</t>
  </si>
  <si>
    <t>Lãi tháng 2</t>
  </si>
  <si>
    <t>17/03/2020</t>
  </si>
  <si>
    <t>Lãi tháng 3</t>
  </si>
  <si>
    <t>08/4/2020</t>
  </si>
  <si>
    <t>Cấp hỗ trợ phòng chống dịch Covid trên địa bàn tỉnh</t>
  </si>
  <si>
    <t>Lãi tháng 5</t>
  </si>
  <si>
    <t>Lãi tháng 6</t>
  </si>
  <si>
    <t>Lãi tháng 7</t>
  </si>
  <si>
    <t>Lãi tháng 8</t>
  </si>
  <si>
    <t>Lãi tháng 9</t>
  </si>
  <si>
    <t>Lãi tháng 10</t>
  </si>
  <si>
    <t>Lãi tháng 11</t>
  </si>
  <si>
    <t>Lãi tháng 12</t>
  </si>
  <si>
    <t>Số dư cuối kỳ:</t>
  </si>
  <si>
    <t>17/01/2020</t>
  </si>
  <si>
    <t>Lãi tháng 4</t>
  </si>
  <si>
    <t>Tổng phát sinh trong kỳ</t>
  </si>
  <si>
    <t>Bổ sung quỹ DTTC từ dự toán đầu năm</t>
  </si>
  <si>
    <t xml:space="preserve">Còn lại chưa phân bổ (đến thời điểm hiện tại) </t>
  </si>
  <si>
    <t>Chi đầu tư phát triển</t>
  </si>
  <si>
    <t>Chi đầu tư từ nguồn thu sổ xố kiến thiết</t>
  </si>
  <si>
    <t>1.4</t>
  </si>
  <si>
    <t>Chi đầu tư từ nguồn bội chi NSĐP</t>
  </si>
  <si>
    <t>Chi thường xuyên</t>
  </si>
  <si>
    <t>Chi sự nghiệp hoạt động môi trường</t>
  </si>
  <si>
    <t>Chi sự nghiệp thể dục thể thao</t>
  </si>
  <si>
    <t>Chi sự nghiệp phát thanh truyền hình</t>
  </si>
  <si>
    <t>Chi đảm bảo xã hội</t>
  </si>
  <si>
    <t>Chi an ninh</t>
  </si>
  <si>
    <t>Chi quốc phòng</t>
  </si>
  <si>
    <t>Chi thực hiện cải cách tiền lương</t>
  </si>
  <si>
    <t>2.12</t>
  </si>
  <si>
    <t>2.13</t>
  </si>
  <si>
    <t>2.14</t>
  </si>
  <si>
    <t>A</t>
  </si>
  <si>
    <t>Chi cân đối ngân sách</t>
  </si>
  <si>
    <t>Chi bổ sung quỹ dự trữ tài chính</t>
  </si>
  <si>
    <t>Chi từ nguồn bổ sung có mục tiêu từ NSTW thực hiện các CTMT, CTMTQG, nhiệm vụ, chương trình, dự án</t>
  </si>
  <si>
    <t>B</t>
  </si>
  <si>
    <t>Các khoản tăng thu, tiết kiệm chi thuộc nguồn cân đối ngân sách tỉnh</t>
  </si>
  <si>
    <t>Kinh phí còn lại chưa phân bổ</t>
  </si>
  <si>
    <t>Kinh phí thực hiện Nghị quyết của HĐND tỉnh ban hành quy định về chính sách hỗ trợ kinh phí cho cán bộ, công chức cấp xã có nguyện vọng nghỉ hưu trước tuổi hoặc nghỉ việc</t>
  </si>
  <si>
    <t>Tăng chi đầu tư một số dự án quan trọng (Chi một số công trình, dự án  có tính chất đầu tư  XDCB)</t>
  </si>
  <si>
    <t>Trả nợ quyết toán các công trình Trạm y tế</t>
  </si>
  <si>
    <t>Trả nợ quyết toán công trình đảm bảo giao thông năm 2018, 2019</t>
  </si>
  <si>
    <t>Trả nợ quyết toán các công trình khác</t>
  </si>
  <si>
    <t>Vốn đối ứng thực hiện Chương trình mục tiêu Giáo dục miền núi, vùng dân tộc thiểu số, vùng khó khăn năm 2020</t>
  </si>
  <si>
    <t>Dự kiến trả nợ các khoản vay, tạm ứng ngân sách</t>
  </si>
  <si>
    <t>Công ty TNHH MTV Lâm nghiệp Bắc Kạn</t>
  </si>
  <si>
    <t>Trung tâm khuyến nông, khuyến lâm tỉnh Bắc Kạn</t>
  </si>
  <si>
    <t>Trung tâm kỹ thuật tài nguyên môi trường</t>
  </si>
  <si>
    <t>Hoàn trả nguồn cải cách tiền lương theo kiến nghị của Kiểm toán Nhà nước</t>
  </si>
  <si>
    <t>C</t>
  </si>
  <si>
    <t>29/4/2020</t>
  </si>
  <si>
    <t>28/4/2020</t>
  </si>
  <si>
    <t>Thu hồi KP phòng chống Covid-19 về quỹ dự trữ tài chính tại QĐ 754/QĐ-UBND</t>
  </si>
  <si>
    <t>Cấp kinh phí hỗ trợ cho người dân gặp khó khăn do đại dịch Covid-119</t>
  </si>
  <si>
    <t>27/5/2020</t>
  </si>
  <si>
    <t>Thu hồi KP phòng chống Covid-19 về quỹ dự trữ tài chính tại QĐ 932/QĐ-UBND</t>
  </si>
  <si>
    <t>Dự toán</t>
  </si>
  <si>
    <t xml:space="preserve">Còn lại chưa phân bổ </t>
  </si>
  <si>
    <t>Số tiền</t>
  </si>
  <si>
    <t>Giải trình các nhiệm vụ chưa phân bổ</t>
  </si>
  <si>
    <t>Nguồn ngân sách địa phương cân đối</t>
  </si>
  <si>
    <t>Kinh phí sự nghiệp</t>
  </si>
  <si>
    <t>Dự kiến để thực hiện chính sách hỗ trợ phát triển sản xuất hàng hóa trên địa bàn tỉnh Bắc Kạn và các nhiệm vụ khác thuộc lĩnh vực phát triển nông lâm nghiệp của tỉnh; kinh phí sửa chữa trụ Sở; kinh phí thực hiện nhiệm vụ quy hoạch; các nhiệm vụ khác thuộc lĩnh vực sự nghiệp kinh tế</t>
  </si>
  <si>
    <t xml:space="preserve">Dự kiến kinh phí mở các lớp đào tạo, bồi dưỡng trên địa bàn tỉnh và các nhiệm vụ phát sinh thuộc lĩnh vực giáo dục - đào tạo </t>
  </si>
  <si>
    <t>Dự kiến kinh phí mua thẻ BHYT cho các đối tượng chính sách và các nhiệm vụ phát sinh thuộc lĩnh vực sự nghiệp y tế</t>
  </si>
  <si>
    <t>Dự kiến thực hiện các đề tài khoa học-công nghệ và các nhiệm vụ khoa học công nghệ của tỉnh</t>
  </si>
  <si>
    <t>Dự kiến kinh phí thực hiện các chế độ, chính sách mới phát sinh, KP mua xe ô tô chuyên dùng và các nhiệm vụ thuộc lĩnh vực quản lý hành chính</t>
  </si>
  <si>
    <t>Chi thực hiện các nhiệm khác phát sinh</t>
  </si>
  <si>
    <t>Cho bổ sung quỹ dự trữ tài chính</t>
  </si>
  <si>
    <t xml:space="preserve">Dự phòng ngân sách </t>
  </si>
  <si>
    <t>Dự toán chưa phân bổ Trung ương bổ sung có mục tiêu trong dự toán đầu năm</t>
  </si>
  <si>
    <t>Vốn sự nghiệp</t>
  </si>
  <si>
    <t>Nguồn năm 2018 chuyển sang</t>
  </si>
  <si>
    <t>Hỗ trợ KP triển khai công tác tuyên truyền và đấu tranh xóa bỏ "Tổ chức Dương Văn Mình năm 2018"</t>
  </si>
  <si>
    <t xml:space="preserve">Được phép chuyển theo quy định </t>
  </si>
  <si>
    <t>Hỗ trợ vốn từ nguồn dự phòng ngân sách trung ương năm 2018</t>
  </si>
  <si>
    <t>Kinh phí thực hiện Chương trình hỗ trợ chính sách ngành y tế</t>
  </si>
  <si>
    <t>Kinh phí thực hiện CT MT giáo dục năm 2018</t>
  </si>
  <si>
    <t>Hỗ trợ KP khắc phục thiệt  hại do bão số 4 và mưa lũ, lũ quyét, sạt lở đất tháng 8-9/2018</t>
  </si>
  <si>
    <t>Hỗ trợ từ nguồn dự phòng ngân sách trung ương năm 2018</t>
  </si>
  <si>
    <t>CÁC KHOẢN TĂNG THU, TIẾT KIỆM CHI  THUỘC NGUỒN CÂN ĐỐI NGÂN SÁCH CẤP TỈNH</t>
  </si>
  <si>
    <t>Cấp có thẩm quyền cho phép chuyển</t>
  </si>
  <si>
    <t>Kinh phí hỗ trợ trực tiếp cho người dân theo Quyết định số 102/QĐ/TTg của Thủ tướng Chính phủ</t>
  </si>
  <si>
    <t>Chi hỗ trợ đối với Ủy ban Mặt trận Tổ quốc cấp xã và Ban công tác Mặt trận ở khu dân cư trên địa bàn tỉnh Bắc Kạn</t>
  </si>
  <si>
    <t>Kinh phí thực mua thẻ bảo hiểm y tế cho các đối tượng chính sách (phần ngân sách tỉnh đảm bảo)</t>
  </si>
  <si>
    <t>Hỗ trợ hộ nghèo theo tiêu chí đa chiểu tiền điện năm 2016</t>
  </si>
  <si>
    <t>Dự kiến dành nguồn thực hiện chính sách an sinh xã hội phát sinh</t>
  </si>
  <si>
    <t>Phân bổ cho lĩnh vực đầu tư xây dựng cơ bản</t>
  </si>
  <si>
    <r>
      <t xml:space="preserve">Trả nợ quyết toán các công trình Đảm bảo giao thông năm 2016 </t>
    </r>
    <r>
      <rPr>
        <b/>
        <sz val="8"/>
        <rFont val="Times New Roman"/>
        <family val="1"/>
        <charset val="163"/>
      </rPr>
      <t>(1)</t>
    </r>
  </si>
  <si>
    <t>Dự án Hội trường tỉnh Bắc Kạn</t>
  </si>
  <si>
    <t>Công trình trường tiểu học Bản Thi và Trường tiểu học và THCS Thanh Bình</t>
  </si>
  <si>
    <r>
      <t xml:space="preserve">Trả nợ quyết toán các công trình Sửa chữa trụ sở các cơ quan, đơn vị </t>
    </r>
    <r>
      <rPr>
        <b/>
        <sz val="8"/>
        <rFont val="Times New Roman"/>
        <family val="1"/>
        <charset val="163"/>
      </rPr>
      <t>(2)</t>
    </r>
  </si>
  <si>
    <r>
      <t>Phân bổ cho các công trình, dự án từ nguồn xổ số kiến thiết</t>
    </r>
    <r>
      <rPr>
        <b/>
        <sz val="8"/>
        <rFont val="Times New Roman"/>
        <family val="1"/>
        <charset val="163"/>
      </rPr>
      <t xml:space="preserve"> (1)</t>
    </r>
  </si>
  <si>
    <t>Dự kiến dành nguồn cho các công trình, dự án phát sinh</t>
  </si>
  <si>
    <t>Chi sự nghiệp VHTT</t>
  </si>
  <si>
    <t xml:space="preserve">Kinh phí thực hiện nhiệm vụ quan trọng thuộc lĩnh vực quốc phòng, an ninh; kinh phí khắc phục hậu quả thiên tai, dịch bệnh và các nhiệm vụ khác phát sinh ngoài dự toán </t>
  </si>
  <si>
    <t>Dự kiến thực hiện các nhiệm vụ VHTT trong năm 2020</t>
  </si>
  <si>
    <t>Hỗ trợ KP tiêu hủy lợn mắc bệnh dịch tả lợn Châu Phi (đợt 3)</t>
  </si>
  <si>
    <t>Nguồn Trung ương bổ sung có mục tiêu năm 2020</t>
  </si>
  <si>
    <t xml:space="preserve">Thực hiện chính sách an sinh xã hội </t>
  </si>
  <si>
    <t>Qua rà soát Các đơn vị hiện không có nhu cầu sử dụng nguồn vốn vay vốn nước ngoài còn lại, trong năm nếu các đơn vị có phát sinh nhu cầu STC sẽ tham mưu cho UBND tỉnh trình HĐND phân bổ</t>
  </si>
  <si>
    <t>Đầu năm 2020 đã cấp đủ nhu cầu kinh phí của các đơn vị, địa phương, hiện nay Sở Tài chính đang tiếp tục rà soát nhu cầu còn thiếu của các đơn vị để tham mưu cấp bổ sung</t>
  </si>
  <si>
    <t>KP TW dự kiến bố trí cho 02 xã ( Xã Bằng Phúc, huyện Chợ Đồn và xã Hà Vị, huyện Bạch Thông), tuy nhiên hiện tại 2 xã trên không còn là xã CT 229 nên không thuộc diện được hỗ trợ</t>
  </si>
  <si>
    <t>TỔNG SỐ</t>
  </si>
  <si>
    <t>(Kèm theo Báo cáo số         /BC-UBND ngày      tháng 6 năm 2020 của Ủy ban nhân dân tỉnh Bắc Kạn)</t>
  </si>
  <si>
    <t>Dự án hạ tầng kỹ thuật Cụm Công nghiệp Huyền Tụng: 8.000 trđ</t>
  </si>
  <si>
    <t xml:space="preserve">Kinh phí hỗ trợ cho người dân gặp khó khăn do đại dịch Covid-19 </t>
  </si>
  <si>
    <t>Dự án “Dạy nghề tại tỉnh Bắc Kạn - giai đoạn II” (VIE/034): 25.680 trđ, Dự án "An ninh y tế khu vực tiểu vùng Mê kông mở rộng": 3.149 trđ, Chương trình "Mở rộng quy mô vệ sinh nước sạch nông thôn dựa trên kết quả": 6.787,25 trđ</t>
  </si>
  <si>
    <t>Tỉnh đã bố trí đủ từ dự toán đầu năm 2020 cho các huyện, thành phố nhưng vẫn còn dư 917 triệu đồng</t>
  </si>
  <si>
    <t>Ngoài những nội dung chi như giải trình dưới đây, số kinh phí sự nghiệp chưa phân bổ dự kiến còn phải dành để bù giảm thu ngân sách cấp tỉnh năm 2020 do ảnh hưởng của dịch Covid-19</t>
  </si>
  <si>
    <t>Nguồn kinh phí tỉnh điều hành năm 2020</t>
  </si>
  <si>
    <t>Dự kiến thực hiện chính sách khuyến kính doanh nghiệp đầu tư vào lĩnh vực nông lâm nghiệp. (Do doanh nghiệp đang thực hiện dự án, chưa nghiệm thu nên chưa có cơ sở phân bổ)</t>
  </si>
  <si>
    <t>số tăng thu, tk chi ban đầu</t>
  </si>
  <si>
    <t>Dự kiến thực hiện các công trình khắc phục bão lụt và sửa chữa trụ sở và các công trình khác phát sinh (giảm 5.583 trđ để bù giảm thu NS tỉnh)</t>
  </si>
  <si>
    <t>Kinh phí thực hiện các chính sách năm 2019</t>
  </si>
  <si>
    <t>KP hỗ trợ covid</t>
  </si>
  <si>
    <t>cấp từ nguồn CCTL 2019: 2.399 trđ</t>
  </si>
  <si>
    <t>cấp từ nguồn CCTL 2020: 13.139,37 trđ</t>
  </si>
  <si>
    <t>đã hạch toán hoàn trả 10.218,87 trđ từ nguồn tw cấp bs</t>
  </si>
  <si>
    <t>đã hạch toán hoàn trả 5.319,5 trđ từ nguồn thu hồi các huyện còn dư (4.590,6 trđ) + dùng dp ns tỉnh để hoàn trả (728,9 trđ)</t>
  </si>
  <si>
    <t>KP NĐ 86</t>
  </si>
  <si>
    <t>đã hạch toán hoàn trả 619,627 trđ  từ nguồn thu hồi các huyện còn dư (141,923 trđ) + dùng tw cấp bs 2020 (477,704 trđ)</t>
  </si>
  <si>
    <t>(tăng nguồn)</t>
  </si>
  <si>
    <t>(giảm số đã cấp từ cctl)</t>
  </si>
  <si>
    <t>Đề án CT229: 7.858 trđ, bố trí vốn quy hoạch tỉnh: 16.300 trđ, KP thực hiện NQ 17/2018/NQ-HĐND ngày 9/12/2018 của HĐND tỉnh: 11.145 trđ, Dự án hạ tầng kỹ thuật Cụm Công nghiệp Huyền Tụng: 5.000 trđ, hỗ trợ các huyện, TP thực hiện CT MTQG XD NTM năm 2019 và phấn đấu đạt chuẩn năm 2020: 5.142 trđ, KP trả nợ quyết toán DAHT 6.000 trđ</t>
  </si>
  <si>
    <t>KP hỗ trợ đồng bào dân tộc miền núi theo QĐ 2085/QĐ-TTg ngày 31/10/2016 chưa phân bổ hết: 30.679 trđ</t>
  </si>
  <si>
    <t>CT bảo vệ và PT rừng giai đoạn 2011-2020: 13.600 trđ, KP hỗ trợ đồng bào dân tộc miền núi theo QĐ 2085/QĐ-TTg ngày 31/10/2016: 14.226 trđ, Xây dựng tuyến đường thành phố Bắc Kạn - Hồ Ba Bể: 49.000 trđ, Dự án khắc phục khẩn cấp vùng sạt lở đất xã Cổ Linh, huyện Pác Nặm: 5.000 trđ.</t>
  </si>
  <si>
    <t>KP đề nghị hoàn trả NSTW</t>
  </si>
  <si>
    <t>Nguồn tăng thu, tiết kiệm chi năm 2019 chuyển sang</t>
  </si>
  <si>
    <t>Đã phân bổ (bao gồm cả TT của STC, SKH)</t>
  </si>
  <si>
    <t xml:space="preserve"> KP thực hiện các chính sách ASXH còn thiếu năm 2019</t>
  </si>
  <si>
    <t>Hoàn trả nguồn tăng thu, tiết kiệm chi</t>
  </si>
  <si>
    <t>thu</t>
  </si>
  <si>
    <t>cấp</t>
  </si>
  <si>
    <t>bhyt</t>
  </si>
  <si>
    <t>ncut</t>
  </si>
  <si>
    <t>điện</t>
  </si>
  <si>
    <t>sdlđ</t>
  </si>
  <si>
    <t>ngô</t>
  </si>
  <si>
    <t>102-2017</t>
  </si>
  <si>
    <t>Học bổng HS nội trú theo QĐ 82</t>
  </si>
  <si>
    <t>TAT</t>
  </si>
  <si>
    <t>GVMN theo 06</t>
  </si>
  <si>
    <t>Khuyết tật</t>
  </si>
  <si>
    <t>QĐ 66</t>
  </si>
  <si>
    <t>nội trú 53</t>
  </si>
  <si>
    <t>bù trừ cấp - thu</t>
  </si>
  <si>
    <t>phương án</t>
  </si>
  <si>
    <t>hoàn trả nguồn Tăng thu, tk chi: 477,317</t>
  </si>
  <si>
    <t>còn lại</t>
  </si>
  <si>
    <t>KP NĐ 136 năm 2019 tạm cấp trước cho các huyện</t>
  </si>
  <si>
    <t>Hoàn trả nguồn sự nghiệp giáo dục tỉnh điều hành năm 2020, số tiền là:619,627 triệu đồng (trong đó từ nguồn tw 477,704 triệu đồng, còn lại là nguồn thu hồi)</t>
  </si>
  <si>
    <t>hoàn nguồn NĐ 136 năm 2019 đã cấp cho Sở LĐ</t>
  </si>
  <si>
    <r>
      <t xml:space="preserve">hoàn trả nguồn Tăng thu, tk chi: 1805,702; </t>
    </r>
    <r>
      <rPr>
        <sz val="10"/>
        <color indexed="10"/>
        <rFont val="Arial"/>
        <family val="2"/>
      </rPr>
      <t>hoàn trả ns tỉnh: 927,5tr,</t>
    </r>
    <r>
      <rPr>
        <sz val="10"/>
        <rFont val="Arial"/>
        <family val="2"/>
      </rPr>
      <t xml:space="preserve"> cấp bs 346,736</t>
    </r>
  </si>
  <si>
    <r>
      <t>Kinh phí hỗ trợ các HTX theo NQ số 08/2017/NQ-HĐND: 575 trđ, KP cho Hiệp hội DN tỉnh thực hiện nhiệm vụ: 72 trđ, kinh phí cho BQL Vườn Quốc gia Ba Bể để thực hiện công trình sửa chữa tuyến đường vòng quanh bờ hồ Ba Bể: 635 trđ, Kinh phí cho Sở Xây dựng để thuê đơn vị tư vấn xây dựng đơn giá nhân công xây dựng; giá ca máy và thiết bị thi công: 138 trđ</t>
    </r>
    <r>
      <rPr>
        <sz val="8"/>
        <rFont val="Times New Roman"/>
        <family val="1"/>
      </rPr>
      <t>, kinh phí cho Sở Nông nghiệp và PTNT xây dựng dự thảo Kế hoạch thực hiện Đề án cơ cấu lại ngành nông nghiệp tỉnh Bắc Kạn: 562 trđ, KP cho Sở TT&amp;TT nâng cấp cổng dịch vụ công: 968 trđ, KP trả nợ QT: 1.051 trđ, kinh phí cho Tỉnh đoàn Bắc Kạn thực hiện Dự án Làng Thanh niên lập nghiệp Hà Hiệu: 676 trđ, KP sửa chữa, cải tạo di chuyển trụ sở: 3.590 trđ, kinh phí cho Sở NNPTNT thực hiện Kế hoạch định giá rừng, xây dựng khung giá rừng trên địa bàn các huyện Ba Bể, Chợ Mới và TP Bắc Kạn năm 2020: 1.000 trđ, KP cho Sở TT&amp;TT xây dựng cổng thông tin điện tử: 335 trđ, KP cho Sở GD&amp;ĐT và Sở GTVT thực hiện các công trình: 1.845 trđ, KP cho các đơn vị thực hiện nhiệm vụ: 109trđ</t>
    </r>
  </si>
  <si>
    <t>Kinh phí cho Sở KHCN thực hiện các đề tài, dự án Khoa học và công nghệ năm 2020: 1.107 trđ, kinh phí cho các đơn vị thực hiện nhiệm vụ (Sở LDTBXH, Sở KHCN): 192 trđ</t>
  </si>
  <si>
    <r>
      <t>Kinh phí kỷ niệm 120 năm ngày thành lập tỉnh BK: 1.471 trđ, cấp KP cho Sở Y tế mua xe ô tô chuyên dùng phục vụ phòng, chống dịch: 762 trđ,</t>
    </r>
    <r>
      <rPr>
        <sz val="8"/>
        <color indexed="10"/>
        <rFont val="Times New Roman"/>
        <family val="1"/>
      </rPr>
      <t xml:space="preserve"> </t>
    </r>
    <r>
      <rPr>
        <sz val="8"/>
        <rFont val="Times New Roman"/>
        <family val="1"/>
      </rPr>
      <t xml:space="preserve">kinh phí cho VP tỉnh ủy thực hiện các nhiệm vụ phát sinh: 1.264 trđ, KP cho Hội Cựu TNXP: 137 trđ, </t>
    </r>
    <r>
      <rPr>
        <sz val="8"/>
        <rFont val="Times New Roman"/>
        <family val="1"/>
        <charset val="163"/>
      </rPr>
      <t>kinh phí thực hiện khai quật mộ thanh niên xung phong tại thôn Nà Coóc xã Thanh Vận huyện Chợ Mới: 96 trđ, kinh phí ch</t>
    </r>
    <r>
      <rPr>
        <sz val="8"/>
        <rFont val="Times New Roman"/>
        <family val="1"/>
      </rPr>
      <t>o các UBND các huyện, thành phố thực hiện chính sách theo Nghị định 26/2015/NĐ-CP của Chính phủ: 780 trđ, kinh phí thực hiện Đề án hỗ trợ người có công với cách mạng về nhà ở năm 2020: 1.600 trđ, kinh phí cho UBND huyện Chợ Mới tham gia hội thi “Doanh trại chính quy sáng, xanh, sạch, đẹp” 2020: 1.000 trđ, Cấp KP cho các đơn vị thực hiện công tác chuẩn bị ĐH Đảng bộ tỉnh lần thứ XII: 158 trđ, KP cho Văn phòng Đoàn ĐBQH-HĐND-UBND nâng cao chất lượng TT hành chính công: 238 trđ, cấp KP cho các đơn vị thực hiện nhiệm vụ khác: 738 trđ.</t>
    </r>
  </si>
  <si>
    <t>Kinh phí kỷ niệm 120 năm ngày thành lập tỉnh BK: 1.345 trđ, cấp hỗ trợ kinh phí cho Hội Văn học nghệ thuật tỉnh Bắc Kạn: 67 trđ</t>
  </si>
  <si>
    <t>Thực hiện cải cách tiền lương năm 2020</t>
  </si>
  <si>
    <t>Kinh phí thực hiện công tác phòng, chống dịch Corona trên địa bàn tỉnh, gồm cấp cho Sở Y tế: 7.161 trđ, Bộ CHQS tỉnh: 1.346 trđ, Ban BV CSSK: 50 trđ, Kinh phí cho UBND các huyện để chi hỗ trợ cho các hộ dân bị thiệt hại bởi mưa đá ngày 24 - 25/01/2020 trên địa bàn tỉnh: 13.436 trđ, KP sự nghiệp Chương trình MTQG xây dựng NTM năm 2020 (đợt 1) cho các đơn vị cấp tỉnh và UBND các huyện, thành phố: 3.690 trđ, kinh phí rà soát bom mìn còn sót lại sau chiến tranh tại thôn Bó Pết, xã Yên Thịnh, huyện Chợ Đồn: 63 trđ, Kinh phí hỗ trợ người dân gặp khó khăn do covid: 19.838 đồng, hoàn nguồn CCTL: 729 trđ, KP cho Bộ CHQS tỉnh: 1.873 trđ, KP cho công an tỉnh: 1.125 trđ</t>
  </si>
  <si>
    <t>KP năm 2019 tạm cấp trước cho BHXH tỉnh</t>
  </si>
  <si>
    <r>
      <t>Kinh phí thực hiện chính sách theo Nghị định số 108/2014/NĐ</t>
    </r>
    <r>
      <rPr>
        <sz val="8"/>
        <rFont val="Times New Roman"/>
        <family val="1"/>
      </rPr>
      <t>-CP, Nghị định số 113/2018/NĐ-CP và Nghị định số 26/2015/NĐ-C</t>
    </r>
    <r>
      <rPr>
        <b/>
        <sz val="8"/>
        <rFont val="times new roman"/>
        <family val="1"/>
      </rPr>
      <t>P</t>
    </r>
    <r>
      <rPr>
        <sz val="8"/>
        <rFont val="Times New Roman"/>
        <family val="1"/>
        <charset val="163"/>
      </rPr>
      <t xml:space="preserve"> năm 2020: 11.439 trđ,</t>
    </r>
    <r>
      <rPr>
        <sz val="8"/>
        <rFont val="Times New Roman"/>
        <family val="1"/>
      </rPr>
      <t xml:space="preserve"> điều chỉnh kinh phí được cấp bổ sung KP CCTL được cấp tạm ứng năm 2016 của UBND huyện Pác Nặm: 278 trđ, hoàn trả nguồn tăng thu, tiết kiệm chi (cấp KP Covid19): 3.620 trđ</t>
    </r>
  </si>
  <si>
    <t>Hỗ trợ kinh phí cho Công an tỉnh để phục vụ hoạt động kỷ niệm 75 năm Ngày truyền thống CAND (19/8/1945-19/8/2020) và 15 năm Ngày hội toàn dân bảo vệ an ninh Tổ quốc: 200 trđ</t>
  </si>
  <si>
    <t>KP đào tạo năm 2020: 3.441 trđ, kinh phí cho Sở Nội vụ để thực hiện nhiệm vụ tổ chức kỳ thi tuyển công chức tỉnh Bắc Kạn năm 2019: 703 trđ, kinh phí cho UBND các huyện Bạch Thông, Chợ Đồn, Chợ Mới để truy đóng phần ngân sách nhà nước hỗ trợ đóng bảo hiểm xã hội bắt buộc đối với giáo viên mầm non ngoài công lập: 42 trd</t>
  </si>
  <si>
    <t>Thu hồi KP đã hết nhiệm chi 2019</t>
  </si>
  <si>
    <t>KP hoàn trả NSTW</t>
  </si>
  <si>
    <t>cấp bs: 21,608, hoàn trả ns tỉnh: 135,49 (trong đó từ nguồn tw 129,781, còn lại là nguồn thu hồi)</t>
  </si>
  <si>
    <t>ko cấp</t>
  </si>
  <si>
    <r>
      <t>BẢNG TỔNG HỢP CÁC NGUỒN KINH PHÍ NĂM 2020 (</t>
    </r>
    <r>
      <rPr>
        <b/>
        <i/>
        <sz val="14"/>
        <rFont val="Times New Roman"/>
        <family val="1"/>
      </rPr>
      <t>Tính đến thời điểm 24/12/2020</t>
    </r>
    <r>
      <rPr>
        <b/>
        <sz val="14"/>
        <rFont val="Times New Roman"/>
        <family val="1"/>
        <charset val="163"/>
      </rPr>
      <t>)</t>
    </r>
  </si>
  <si>
    <t>TỔNG CỘNG</t>
  </si>
  <si>
    <t>DT đầu năm</t>
  </si>
  <si>
    <t>Bổ sung trong năm</t>
  </si>
  <si>
    <t>Dự phòng ngân sách</t>
  </si>
  <si>
    <t>QĐ số 753/QĐ-UBND ngày 28/4</t>
  </si>
  <si>
    <t>QĐ số 801/QĐ-UBND ngày 07/5</t>
  </si>
  <si>
    <t>QĐ số 932/QĐ-UBND ngày 27/5</t>
  </si>
  <si>
    <t>QĐ số 1553/QĐ-UBND ngày 28/8</t>
  </si>
  <si>
    <t>QĐ số 2014/QĐ-UBND ngày 17/11</t>
  </si>
  <si>
    <t>QĐ số 2114/QĐ-UBND ngày 18/11</t>
  </si>
  <si>
    <t>QĐ số 2221/QĐ-UBND ngày 04/12</t>
  </si>
  <si>
    <t>QĐ số 2379/QĐ-UBND ngày 28/12</t>
  </si>
  <si>
    <t>QĐ số 2380/QĐ-UBND ngày 28/12</t>
  </si>
  <si>
    <t>Cộng</t>
  </si>
  <si>
    <t>QĐ số 83/QĐ-UBND ngày 20/01/2021</t>
  </si>
  <si>
    <t>QĐ số 121/QĐ-UBND ngày 29/01/2021</t>
  </si>
  <si>
    <t>Cộng:</t>
  </si>
  <si>
    <t>QĐ số 2247/QĐ-UBND ngày 09/12</t>
  </si>
  <si>
    <t>QĐ số 2498/QĐ-UBND ngày 31/12</t>
  </si>
  <si>
    <t>CV số 7516 ngày 18/12</t>
  </si>
  <si>
    <t>CV số 701 ngày 03/02/2021</t>
  </si>
  <si>
    <t>QĐ số 813/QĐ-UBND ngày 11/5</t>
  </si>
  <si>
    <t>Hoàn trả nguồn DP từ KP cấp ĐH đảng</t>
  </si>
  <si>
    <t>Cv số 5224 ngày 29/4/2020 của BTC</t>
  </si>
  <si>
    <t>TỔNG HỢP NGUỒN TỈNH ĐIỀU HÀNH NĂM 2020</t>
  </si>
  <si>
    <t>Đơn vị tính: Triệu đồng</t>
  </si>
  <si>
    <t>CV số 943/BTC-NSNN ngày 31/01/2020</t>
  </si>
  <si>
    <t>SNGD, ĐT, DN</t>
  </si>
  <si>
    <t>Cộng (Không bao gồm vốn đầu tư)</t>
  </si>
  <si>
    <t>Bổ sung kinh phí cấp Tỉnh</t>
  </si>
  <si>
    <t>Bổ sung kinh phí cấp huyện</t>
  </si>
  <si>
    <t>ĐVT: Triệu đồng</t>
  </si>
  <si>
    <t>Tỉnh</t>
  </si>
  <si>
    <t>Huyện</t>
  </si>
  <si>
    <t>Hỗ trợ thực hiện một số Đề án, Dự án khoa học và công nghệ</t>
  </si>
  <si>
    <t>Vốn dự bị động viên</t>
  </si>
  <si>
    <t>Hỗ trợ doanh nghiệp vừa và nhỏ</t>
  </si>
  <si>
    <t>Kinh phí thực hiện Đề án bồi dưỡng cán bộ, công chức Hội Liên hiệp phụ nữ các cấp và Chi hội trưởng Phụ nữ giai đoạn 2019-2025</t>
  </si>
  <si>
    <t>Bổ sung kinh phí thực hiện nhiệm vụ đảm bảo trật tự an toàn giao thông</t>
  </si>
  <si>
    <t>Kinh phí quản lý, bảo trì đường bộ</t>
  </si>
  <si>
    <t>Quy hoạch xây dựng vùng liên huyện, tỉnh Bắc Kạn</t>
  </si>
  <si>
    <t>Tiền bảo vệ và phát triển đất trồng lúa</t>
  </si>
  <si>
    <t>Quyết định số1449/QĐ-TTg</t>
  </si>
  <si>
    <t>Kết dư năm 2022</t>
  </si>
  <si>
    <t>CHUYỂN NGUỒN TỪ 2022 SANG 2023</t>
  </si>
  <si>
    <t>Hỗ trợ khắc phục hậu quả thiên tai 10 tháng đầu năm 2022</t>
  </si>
  <si>
    <t>1.5</t>
  </si>
  <si>
    <t>1.6</t>
  </si>
  <si>
    <t>Đã phân bổ tại QĐ 2388</t>
  </si>
  <si>
    <t>Chi ĐT từ nguồn bán TSC</t>
  </si>
  <si>
    <t>Chi ĐT từ nguồn năm trước sang</t>
  </si>
  <si>
    <t>Hỗ trợ các Hội Văn học nghệ thuật địa phương</t>
  </si>
  <si>
    <t>Hoỗ trợ các Hội Nhà báo địa phương</t>
  </si>
  <si>
    <t>KP thực hiện Chương trình trợ giúp xã hội và PHCN cho người tâm thần, trẻ em tự kỷ và rối nhiễu tâm trí; CT phát triển CTXH</t>
  </si>
  <si>
    <t>KP thực hiện CT phát triển LN bền vững</t>
  </si>
  <si>
    <t>3.1</t>
  </si>
  <si>
    <t>3.2</t>
  </si>
  <si>
    <t>3.3</t>
  </si>
  <si>
    <t>CT MTQG PTKT vùng ĐBDTTS</t>
  </si>
  <si>
    <t>II.3</t>
  </si>
  <si>
    <t>Vốn đầu tư theo ngành, lĩnh vực</t>
  </si>
  <si>
    <t>Chương trình phục hồi và phát triển KTXH</t>
  </si>
  <si>
    <t>NGUỒN NĂM 2022 CHUYỂN SANG NĂM 2023</t>
  </si>
  <si>
    <t>NGUỒN TRUNG ƯƠNG BỔ SUNG CÓ MỤC TIÊU NĂM 2023</t>
  </si>
  <si>
    <t>Chi trả nợ lãi, phí các khoản vay vốn ODA</t>
  </si>
  <si>
    <t>Chi bù hụt thu năm 2022</t>
  </si>
  <si>
    <t xml:space="preserve">Tăng chi đầu tư một số dự án quan trọng </t>
  </si>
  <si>
    <t>Trả nợ quyết toán các công trình phòng, chống thiên tai</t>
  </si>
  <si>
    <t>Dự án Đầu tư xây dựng, cải tạo, nâng cấp các trường học trên địa bàn tỉnh</t>
  </si>
  <si>
    <t>Dự án đường lâm nghiệp tỉnh Bắc Kạn</t>
  </si>
  <si>
    <t>Bố trí vốn cho các dự án khởi công mới</t>
  </si>
  <si>
    <t>Dự án giải phóng mặt bằng và san nền tạo mặt bằng để thu hút đầu tư phần còn lại của khu công nghiệp Thanh Bình giai đoạn I</t>
  </si>
  <si>
    <t>Dự án xây dựng sân vận động tỉnh và các hạng mục phụ trợ</t>
  </si>
  <si>
    <t>Xây dựng trụ sở làm việc Công an xã, thị trấn trên địa bàn tỉnh Bắc Kạn giai đoạn 2023-2025</t>
  </si>
  <si>
    <t>Hỗ trợ huyện Ba Bể thực hiện nhiệm vụ phát triển du lịch theo chỉ đạo tại Nghị quyết số 18-NQ/TU ngày 12/8/2021</t>
  </si>
  <si>
    <t>Cải tạo, sửa chữa nhà Bảo tàng tỉnh</t>
  </si>
  <si>
    <t xml:space="preserve">Dự án cấp điện nông thôn </t>
  </si>
  <si>
    <t xml:space="preserve">Hỗ trợ UBND huyện Chợ Đồn xây dựng các hạng mục công trình diễn tập năm 2023 </t>
  </si>
  <si>
    <t>Hỗ trợ UBND huyện Chợ Mới khắc phục sạt trượt ta luy dương xuống khu nhà Huyện ủy Chợ Mới</t>
  </si>
  <si>
    <t xml:space="preserve">Bổ sung vốn cho các dự án đầu tư đang triển khai thực hiện nhưng chưa được bố trí đủ vốn </t>
  </si>
  <si>
    <t>Đối ứng thực hiện các chương trình MTQG</t>
  </si>
  <si>
    <t>Chương trình MTQG phát triển KT vùng ĐBDTTS và MN (nguồn chưa phân bổ)</t>
  </si>
  <si>
    <t>Chương trình MTQG GN (nguồn chưa phân bổ)</t>
  </si>
  <si>
    <t>5.1</t>
  </si>
  <si>
    <t>5.2</t>
  </si>
  <si>
    <t>5.3</t>
  </si>
  <si>
    <t>Nguồn thực hiện chính sách tiền lương năm 2022 chuyển sang năm 2023</t>
  </si>
  <si>
    <t>Quyết định số 450/QĐ-UBND ngày 22/3/2023</t>
  </si>
  <si>
    <t>Đ/c tăng 37.250 trđ tại NQ số 19/NQ-HDND</t>
  </si>
  <si>
    <t>Đ/c giảm 37.250 trđ tại NQ số 19/NQ-HDND</t>
  </si>
  <si>
    <t>Đ/c tăng 4.300 trđ tại NQ số 19/NQ-HDND</t>
  </si>
  <si>
    <t>Đang điều chỉnh dự án</t>
  </si>
  <si>
    <t>THEO DÕI NGUỒN TRUNG ƯƠNG BỔ SUNG CÓ MỤC TIÊU NGOÀI DỰ TOÁN NĂM 2023</t>
  </si>
  <si>
    <t>Nguồn tỉnh điều hành</t>
  </si>
  <si>
    <t xml:space="preserve"> -Vốn đầu tư</t>
  </si>
  <si>
    <t xml:space="preserve"> - Vốn sự nghiệp </t>
  </si>
  <si>
    <t>Kinh phí sự nghiệp thực hiện Chương trình phát triển Lâm nghiệp bền vững năm 2022</t>
  </si>
  <si>
    <t>Đã tổng hợp ở nguồn 1.6 phần A</t>
  </si>
  <si>
    <t>DỰ TOÁN GIAO ĐẦU NĂM 2023</t>
  </si>
  <si>
    <t>Theo tổng hợp của Sở Kế hoạch &amp; đầu tư</t>
  </si>
  <si>
    <t>Chưa phê duyệt dự án</t>
  </si>
  <si>
    <t>Trong đó: đối ứng CTMTQG chưa phân bổ chi tiết: 5.128 triệu, đã phân bổ 1.305 tr, còn chưa phân bổ: 3.823 tr; Vốn vay lại chưa phân bổ chi tiết: 23.863 Tr, đã phân bổ: 14.523 Tr, còn chưa phân bổ: 9.340 tr</t>
  </si>
  <si>
    <t>BẢNG TỔNG HỢP CÁC NGUỒN KINH PHÍ NĂM 2023 (Thời điểm 30/6/2023)</t>
  </si>
  <si>
    <t>QĐ số 103/QĐ-UBND ngày 19/01/2023; Nghị quyết số 69/NQ-HĐND ngày 23/10/2023 (chưa có QĐ)</t>
  </si>
  <si>
    <t>Số liệu</t>
  </si>
  <si>
    <t>Dự phòng NSĐP</t>
  </si>
  <si>
    <t>-</t>
  </si>
  <si>
    <t>Dự toán HĐND quyết định</t>
  </si>
  <si>
    <t xml:space="preserve"> + </t>
  </si>
  <si>
    <t>Trong đó, dự phòng ngân sách cấp tỉnh</t>
  </si>
  <si>
    <t>Số đã sử dụng</t>
  </si>
  <si>
    <t>Dự kiến sử dụng từ nay đến 31/12/2023</t>
  </si>
  <si>
    <t>Quỹ Dự trữ tài chính</t>
  </si>
  <si>
    <t>Số dư đến 31/12/2022</t>
  </si>
  <si>
    <t>Tổng số dư quỹ DTTC</t>
  </si>
  <si>
    <t>Số tối đa có thể sử dụng (70% số dư quỹ)</t>
  </si>
  <si>
    <t>Số còn lại chưa sử dụng</t>
  </si>
  <si>
    <t>Bổ sung trong năm (gồm cả tiền lãi tính đến tháng 10/2023)</t>
  </si>
  <si>
    <t>TỔNG HỢP NGUỒN LỰC NSĐP NĂM 2023 TỈNH BẮC KẠN</t>
  </si>
  <si>
    <t>Công trình sửa chữa hồ đập Khuổi Cuộn, xã Nông Hạ, huyện Chợ Mới</t>
  </si>
  <si>
    <t>Vốn Chuẩn bị đầu tư dự án cao tốc Bắc Kạn - Cao Bằng</t>
  </si>
  <si>
    <t>Vốn chuẩn bị đầu tư Dự án Phục dựng, tôn tạo di tích lịch sử Đồn Phủ Thông</t>
  </si>
  <si>
    <t>Đối ứng công tình nhà bán trú cho học sinh Trường Tiểu học Đức Vân, huyện Ngân Sơn (Chi phí xây lắp do Quỹ bảo trợ trẻ em Việt Nam tài trợ)</t>
  </si>
  <si>
    <t>Đã tổng hợp, phân bổ trong dự toán năm 2023 số tiền 2.000 trđ; Cấp tại QĐ 1075/QĐ-UBND, số tiền 220 trđ</t>
  </si>
  <si>
    <t>QĐ 451, 773</t>
  </si>
  <si>
    <t>QĐ 846</t>
  </si>
  <si>
    <t>QĐ 674</t>
  </si>
  <si>
    <t>QĐ 773</t>
  </si>
  <si>
    <t>QĐ 123</t>
  </si>
  <si>
    <t>Chưa phê duyệt dự án, bố trí 100 trđ KP chuẩn bị dự án QĐ 1889</t>
  </si>
  <si>
    <t>QĐ 726</t>
  </si>
  <si>
    <t>QĐ 1746</t>
  </si>
  <si>
    <t>nằm trong 41,2 tỷ</t>
  </si>
  <si>
    <t>có nq rồi</t>
  </si>
  <si>
    <t>ok</t>
  </si>
  <si>
    <t>5128 hết, vay</t>
  </si>
  <si>
    <t>trụ sở Sở VH</t>
  </si>
  <si>
    <t>tổng</t>
  </si>
  <si>
    <t>số thực hiện 2023</t>
  </si>
  <si>
    <t>tiền thuê</t>
  </si>
  <si>
    <t>tiền sử dụng</t>
  </si>
  <si>
    <t>bán ts</t>
  </si>
  <si>
    <t xml:space="preserve">Dự toán đầu năm </t>
  </si>
  <si>
    <t>Số tăng trong năm</t>
  </si>
  <si>
    <t>TT</t>
  </si>
  <si>
    <t>Dự toán đầu năm</t>
  </si>
  <si>
    <t>Số bổ sung, thu hồi trong năm</t>
  </si>
  <si>
    <t xml:space="preserve">Số điều chỉnh </t>
  </si>
  <si>
    <t>Giảm</t>
  </si>
  <si>
    <t>Tăng</t>
  </si>
  <si>
    <t xml:space="preserve">Dự toán chưa phân bổ Trung ương bổ sung có mục tiêu </t>
  </si>
  <si>
    <t>(Kèm theo Báo cáo số                /BC-UBND ngày            tháng 11 năm 2023 của UBND tỉnh Bắc Kạn)</t>
  </si>
  <si>
    <t>Nguồn Trung ương bổ sung có mục tiêu năm 2023</t>
  </si>
  <si>
    <t>Nguồn Trung ương bổ sung có mục tiêu năm 2022 chuyển sang năm 2023</t>
  </si>
  <si>
    <t>Nguồn tăng thu, tiết kiệm chi năm 2022 chuyển sang năm 2023</t>
  </si>
  <si>
    <t>Số chuyển nguồn năm 2022 sang</t>
  </si>
  <si>
    <t>Tổng số phân bổ trong năm 2023</t>
  </si>
  <si>
    <t>Chi tiết theo biểu 02</t>
  </si>
  <si>
    <t xml:space="preserve">Nguồn CĐNS tỉnh điều hành năm 2023 </t>
  </si>
  <si>
    <t>TÌNH HÌNH PHÂN BỔ CÁC NGUỒN KINH PHÍ CHƯA GIAO CHI TIẾT TỪ ĐẦU NĂM VÀ NGUỒN BỔ SUNG TRONG NĂM 2023</t>
  </si>
  <si>
    <t>Tỉnh Bắc Ninh hỗ trợ hộ nghèo khắc phục khó khăn do thiên tai: 500 triệu đồng.</t>
  </si>
  <si>
    <t>Nguồn các đơn vị tài trợ lập quy hoạch phân khu xây dựng Khu công nghiệp Thanh Bình, giai đoạn I: 123 triệu đồng.</t>
  </si>
  <si>
    <t>Bổ sung vào nguồn dự phòng NS tỉnh (đã tổng hợp tại mục A.3)</t>
  </si>
  <si>
    <t>NGUỒN CHƯA GIAO CHI TIẾT TỪ ĐẦU NĂM</t>
  </si>
  <si>
    <t>NGUỒN CHUYỂN NGUỒN NĂM 2022 SANG NĂM 2023</t>
  </si>
  <si>
    <t>NGUỒN BỔ SUNG TRONG NĂM</t>
  </si>
  <si>
    <t>Hoàn trả NSTW</t>
  </si>
  <si>
    <t>Nguồn thu hồi kinh phí hết nhiệm vụ chi năm 2022 của UBND các huyện, thành phố bổ sung về nguồn dự phòng ngân sách tỉnh</t>
  </si>
  <si>
    <t>Nguồn thu hồi kinh phí Trung ương bổ sung có mục tiêu năm 2022 hết nhiệm vụ chi từ UBND các huyện, thành phố để hoàn trả NSTW</t>
  </si>
  <si>
    <t>SỐ CÒN LẠI CHƯA PHÂN BỔ</t>
  </si>
  <si>
    <t>SỐ ĐÃ CẤP</t>
  </si>
  <si>
    <t>Chính sách hỗ trợ học sinh vùng KTXH đặc biệt khó khăn theo NĐ 116</t>
  </si>
  <si>
    <t>Chính sách học bổng học sinh dân tộc nội trú</t>
  </si>
  <si>
    <t>Chính sách hỗ trợ học bổng, chi phí học tập cho học sinh khuyết tật</t>
  </si>
  <si>
    <t>Chính sách hỗ trợ tiền ăn trưa cho trẻ 3-5 tuổi và chính sách cho GV mầm non</t>
  </si>
  <si>
    <t>Chính sách hỗ trợ chi phí học tập và miễn giảm học phí cho học sinh phổ thông và cao đẳng đại học theo Nghị định 81/2021/NĐ-CP</t>
  </si>
  <si>
    <t>Nội trú theo QĐ 53</t>
  </si>
  <si>
    <t>SỐ BTC GIAO ĐẦU NĂM 2023</t>
  </si>
  <si>
    <t>SỐ TRÌNH CẤP TẠI KỲ HỌP CUỐI NĂM</t>
  </si>
  <si>
    <t>CÒN LẠI</t>
  </si>
  <si>
    <t>hòa hết vào nguồn gd&amp;đt</t>
  </si>
  <si>
    <t>Thu hồi KP SN năm 2023 đã giao cho Ngân hàng chính sách để thực hiện CTMTQG Vùng ĐBDTTS (giao tại QĐ 2388 và QĐ 450)</t>
  </si>
  <si>
    <t>Trong đó nguồn vốn SN: 191.736 trđ, vốn đầu tư: 18.492 trđ</t>
  </si>
  <si>
    <t xml:space="preserve">Còn lại chưa phân bổ (Đến 30/11/2023) </t>
  </si>
  <si>
    <t>Tỉnh Bắc Ninh hỗ trợ nhà ở người nghèo</t>
  </si>
  <si>
    <t>Bổ sung vào nguồn sự nghiệp giáo dục và dự phòng NS tỉnh (đã tổng hợp tại mục A.3)</t>
  </si>
  <si>
    <t>Công văn số 14481/BTC-NSNN</t>
  </si>
  <si>
    <t>Nguồn CCTL năm 2023</t>
  </si>
  <si>
    <t xml:space="preserve">Hỗ trợ khắc phục hậu quả thiên tai </t>
  </si>
  <si>
    <t>Phan bo nam 2024</t>
  </si>
  <si>
    <t>Phan bo nam 2024, so con lai bo sung nguon luong cap tinh</t>
  </si>
  <si>
    <t xml:space="preserve">1739/QĐ-TTg </t>
  </si>
  <si>
    <t>Kinh phí sự nghiệp môi trường (Nguồn CTMTQG XDNTM)</t>
  </si>
  <si>
    <t>Kinh phí CTMTQG xây dựng Nông thôn mới</t>
  </si>
  <si>
    <t>Vốn thường xuyên</t>
  </si>
  <si>
    <t xml:space="preserve">Chương trình MTQG xây dựng nông thôn mới </t>
  </si>
  <si>
    <t>đã trả tw</t>
  </si>
  <si>
    <t>Chương trình MTQG PTKT-XH VĐBDTTS&amp;MN</t>
  </si>
  <si>
    <t>Chương trình MTQG Giảm nghèo và bền vững</t>
  </si>
  <si>
    <t xml:space="preserve">Chương trình MTQG Xây dựng Nông thôn mới </t>
  </si>
  <si>
    <t xml:space="preserve">Kết dư nguồn tw 2022 tại ns cấp tỉnh </t>
  </si>
  <si>
    <t>Chương trình MTQG phát triển KT vùng ĐBDTTS và MN (nguồn Trung ương bổ sung có mục tiêu năm 2022 chuyển sang năm 2023 chưa phân bổ)</t>
  </si>
  <si>
    <t xml:space="preserve">nguồn năm 2022 chuyển sang </t>
  </si>
  <si>
    <t>Đã phân bổ tại QĐ 450/QĐ-UBND ngày 22/3/2023</t>
  </si>
  <si>
    <t>Còn lại</t>
  </si>
  <si>
    <t>cụ thể:</t>
  </si>
  <si>
    <t>thu hồi tại QĐ 2284/QĐ-UBND ngày 5/12/2023</t>
  </si>
  <si>
    <t xml:space="preserve">Kết dư nguồn tw 2022 của cấp huyện đã thu về ns cấp tỉnh </t>
  </si>
  <si>
    <t>kết dư chuyển vào thu ngân sách tỉnh năm 2023</t>
  </si>
  <si>
    <t>đã thu về ngân sách tỉnh năm 2023</t>
  </si>
  <si>
    <t>số thực hiện 2022 (chuyển sang 2023 phân bổ)</t>
  </si>
  <si>
    <t>TỔNG</t>
  </si>
  <si>
    <t>GPMB và san nền KCN TB gđ 1</t>
  </si>
  <si>
    <t>Sân vận động tỉnh và các hạng mục phụ trợ</t>
  </si>
  <si>
    <t>Dự toán giao</t>
  </si>
  <si>
    <t>BS nguồn SN kinh tế cho công tác đo đạc</t>
  </si>
  <si>
    <t>tiền sử dụng đất</t>
  </si>
  <si>
    <t>đã pb</t>
  </si>
  <si>
    <t>sau 2388 còn lại chưa phân bổ</t>
  </si>
  <si>
    <t>dự kiến bán TS ở BB</t>
  </si>
  <si>
    <t>tiền thuê đất năm 2022 (từ xử lý Sở VH)</t>
  </si>
  <si>
    <t>bán tài sản + tiền sử dụng đất + tiền thuê (từ xử lý SỞ VH năm 2023)</t>
  </si>
  <si>
    <t>tiền sử dụng đất năm 2022 (từ xử lý Sở VH)</t>
  </si>
  <si>
    <t>tăng thu tkc</t>
  </si>
  <si>
    <t>QD 784 (LẦN 1)</t>
  </si>
  <si>
    <t>Đã phân bổ</t>
  </si>
  <si>
    <t>Xây dựng sân vận động tỉnh và các hạng mục phụ trợ</t>
  </si>
  <si>
    <t>Chưa phân bổ</t>
  </si>
  <si>
    <t>Hoàn thiện mặt bằng phần diện tích còn lại của Khu công nghiệp Thanh Bình giai đoạn I</t>
  </si>
  <si>
    <t>Đã phân bổ thêm</t>
  </si>
  <si>
    <t>2 trường</t>
  </si>
  <si>
    <t>QD 1053 (LẦN 2)</t>
  </si>
  <si>
    <t>QD 2013 (LẦN 3)</t>
  </si>
  <si>
    <t>GPMB và san nền tạo mặt bằng KCN Thanh Bình</t>
  </si>
  <si>
    <t>Tuyến đường thành phố BK - Hồ Ba Bể sang Na Hang, Tuyên Quang</t>
  </si>
  <si>
    <t>Tiền đất</t>
  </si>
  <si>
    <t>dự toán giao</t>
  </si>
  <si>
    <t>đã giải ngân</t>
  </si>
  <si>
    <t>số thu</t>
  </si>
  <si>
    <t>đã giải ngân hết</t>
  </si>
  <si>
    <t>thu hồi lại 1500 do chưa kịp phê duyệt dự án</t>
  </si>
  <si>
    <t>CHI TIẾT BỔ SUNG KINH PHÍ NĂM 2024 THEO QUYẾT ĐỊNH CỦA UỶ BAN NHÂN DÂN TỈNH</t>
  </si>
  <si>
    <t>Nguồn thực hiện CCTL 2023 chuyển sang</t>
  </si>
  <si>
    <t>Nguồn Trung ương bổ sung có mục tiêu 2023 chuyển sang</t>
  </si>
  <si>
    <t>Bổ sung có mục tiêu trong năm 2024</t>
  </si>
  <si>
    <t>Nguồn tăng thu, tiết kiệm chi năm 2023 đã CN sang năm 2024</t>
  </si>
  <si>
    <t>Hoàn nguồn KP thực hiện quy hoạch đã cấp trước từ dự phòng NS</t>
  </si>
  <si>
    <t xml:space="preserve">Phân bổ kinh phí tỉnh Bắc Ninh hỗ trợ hộ nghèo khắc phục khó khăn do thiên tai </t>
  </si>
  <si>
    <t>cấp hỗ trợ kinh phí cho Cục Thống kê tỉnh thực hiện Chiến lược phát triển thống kê tỉnh Bắc Kạn năm 2024</t>
  </si>
  <si>
    <t>gnbv</t>
  </si>
  <si>
    <t>vđb</t>
  </si>
  <si>
    <t>ntm</t>
  </si>
  <si>
    <t> thu hồi vốn dự án 3PAD (vốn ngân sách nhà nước) của Hội liên hiệp phụ nữ do cắt giảm quy mô Chương trình, dự án tài chính vi mô về ngân sách tỉnh Bắc Kạn</t>
  </si>
  <si>
    <t>Cấp kp cho các đơn vị, địa phương để thực hiện nhiệm vụ năm 2024</t>
  </si>
  <si>
    <t>NGUỒN NĂM 2023 CHUYỂN SANG</t>
  </si>
  <si>
    <t>Phân bổ và giao dự toán kinh phí sự nghiệp cho các đơn vị, địa phương thực hiện nhiệm vụ năm 2024 (bổ sung lần 2)</t>
  </si>
  <si>
    <t>Phân bổ kinh phí tài trợ lập quy hoạch phân khu xây dựng Khu du lịch sinh thái hồ Nặm Cắt, thành phố Bắc Kạn</t>
  </si>
  <si>
    <t>Đơn vị thực hiện</t>
  </si>
  <si>
    <t>Về việc điều chỉnh kế hoạch đầu tư công năm 2024 nguồn vốn ngân sách địa phương (lần 1)</t>
  </si>
  <si>
    <t>95/TTr-STC</t>
  </si>
  <si>
    <t>V/v phân bổ kinh phí tài trợ của Quỹ Bảo trợ trẻ em Việt Nam (lần 1) cho Sở Lao động -Thương binh và Xã hội để thực hiện công trình Nhà bán trú cho học sinh Trường Tiểu học Đức Vân, huyện Ngân Sơn và Nhà bán trú dân nuôi cho học sinh Trường Tiểu học Đồng Phúc, huyện Ba Bể</t>
  </si>
  <si>
    <t xml:space="preserve">Nguồn khác (Tài trợ) </t>
  </si>
  <si>
    <t>Số phân bổ trong năm 2024</t>
  </si>
  <si>
    <t>Quyết định số 3010/QĐ-UBND ngày 03/10/2024 của UBND huyện</t>
  </si>
  <si>
    <t xml:space="preserve">Khắc phục sạt lở tuyến đường xã Quang Phong - Đổng Xá, huyện Na Rì </t>
  </si>
  <si>
    <t>Quyết định số 2856/QĐ-UBND ngày 24/09/2024 của UBND huyện</t>
  </si>
  <si>
    <t>Kinh phí diễn tập phòng, chống thiên tai, tìm kiếm cứu nạn năm 2024</t>
  </si>
  <si>
    <t>Kinh phí diễn tập phòng cháy, chữa cháy năm 2024</t>
  </si>
  <si>
    <t>UBND xã Cường Lợi</t>
  </si>
  <si>
    <t>UBND xã Văn Vũ</t>
  </si>
  <si>
    <t>Ban Quản lý dự án đầu tư xây dựng huyện</t>
  </si>
  <si>
    <t>Mật</t>
  </si>
  <si>
    <t>UBND xã</t>
  </si>
  <si>
    <t>Khắc phục sạt lở đất đường vào căn cứ chiến đấu của huyện tại thôn Nà Mển, xã Trần Phú</t>
  </si>
  <si>
    <t>Kinh phí chi trả trợ cấp một lần cho Công an viên theo Nghị định số 73/2009/NĐ-CP ngày 07/9/2009 của Chính phủ</t>
  </si>
  <si>
    <t xml:space="preserve">Khắc phục sạt lở tuyến đường liên thôn Nà Vèn - Khuổi Mý </t>
  </si>
  <si>
    <t>Khắc phục sạt lở khu dân cư thôn chợ, xã Xuân Dương</t>
  </si>
  <si>
    <t>Khắc phục sạt lở khu dân cư  - trụ sở UBND xã Kim Hỷ</t>
  </si>
  <si>
    <t>Quyết định số 3413/QĐ-UBND ngày 24/10/2024 của UBND huyện</t>
  </si>
  <si>
    <t>DỰ KIẾN PHÂN BỔ, SỬ DỤNG NGUỒN DỰ PHÒNG NGÂN SÁCH HUYỆN (2 THÁNG CUỐI NĂM 2024)</t>
  </si>
  <si>
    <t>Ban Chỉ huy Quân sự huyện</t>
  </si>
  <si>
    <t>UBND các xã</t>
  </si>
  <si>
    <t>Quyết định số 130/QĐ-UBND ngày 07/10/2024 của UBND huyện (M)</t>
  </si>
  <si>
    <t>Đơn vị: Đồng</t>
  </si>
  <si>
    <t>Quyết định số 3411/QĐ-UBND ngày 22/10/2024 của UBND huyện</t>
  </si>
  <si>
    <t>Khắc phục đường trục thôn Nà Thác - Khuổi Nà, xã Đổng Xá</t>
  </si>
  <si>
    <t>Khắc phục đường trục thôn Khuổi Can, xã Quang Phong</t>
  </si>
  <si>
    <t>Khắc phục đường trục thôn Nà Pàn và thôn Nà Nôm, xã Sơn Thành</t>
  </si>
  <si>
    <t>Khắc phục Cống qua đường xã Văn Vũ</t>
  </si>
  <si>
    <t>Biểu số 01</t>
  </si>
  <si>
    <t>Biểu số 02</t>
  </si>
  <si>
    <t>Khắc phục sạt lở đất tuyến đường Quang Phong - Đổng Xá, huyện Na Rì (bổ sung lần 2)</t>
  </si>
  <si>
    <t>Khắc phục cống qua đường xã Văn Vũ, huyện Na Rì</t>
  </si>
  <si>
    <t>Khắc phục đường trục thôn Khuổi Can, xã Quang Phong, huyện Na Rì</t>
  </si>
  <si>
    <t>Khắc phục đường trục thôn Nà Pàn và thôn Nà Nôm, xã Sơn Thành, huyện Na Rì</t>
  </si>
  <si>
    <t>Khắc phục sạt lở tuyến đường liên thôn Nà Vèn - Khuổi Mý, xã Trần Phú, huyện Na Rì</t>
  </si>
  <si>
    <t xml:space="preserve">Kinh phí khắc phục hậu quả thiên tai khu vực sạt lở đất Tổ nhân dân Hát
Deng, thị trấn Yến Lạc huyện Na Rì </t>
  </si>
  <si>
    <t>Số dư đến ngày 20/11/2024</t>
  </si>
  <si>
    <t>TÌNH HÌNH SỬ DỤNG NGUỒN DỰ PHÒNG NGÂN SÁCH HUYỆN (ĐẾN NGÀY 20/11/2024)</t>
  </si>
  <si>
    <t>(Kèm theo Báo cáo số 726/BC-UBND ngày 22/11/2024 của UBND huyện Na Rì)</t>
  </si>
  <si>
    <t>Khắc phục đường trục thôn Nà Thác - Khuổi Nà, xã Đổng Xá, huyện Na Rì</t>
  </si>
  <si>
    <t xml:space="preserve">Phòng Kinh tế và Hạ tầng </t>
  </si>
  <si>
    <t>Quyết định số 3642/QĐ-UBND ngày 13/11/2024 của UBND huyện</t>
  </si>
  <si>
    <t>Quyết định số 3460/QĐ-UBND ngày 29/10/2024 của UBND huyện</t>
  </si>
  <si>
    <t>Quyết định số 3606/QĐ-UBND ngày 06/11/2024 của UBND huyện</t>
  </si>
  <si>
    <t>Điều chỉnh kinh phí cắt giảm, tiết kiệm 5% chi thường xuyên năm 2024 của các đơn vị cấp huyện về nguồn dự phòng ngân sách cấp huyện</t>
  </si>
  <si>
    <t>Quyết định số 3613/QĐ-UBND ngày 07/11/2024 của UBND huyện</t>
  </si>
  <si>
    <t>Tổng dự toán</t>
  </si>
  <si>
    <t>c</t>
  </si>
  <si>
    <t>Tiến độ thực hiện</t>
  </si>
  <si>
    <t>Số đã thực hiện đến 20/11/2024</t>
  </si>
  <si>
    <t>Dự kiến số giải ngân đến hết năm 2024</t>
  </si>
  <si>
    <t>Tỷ lệ giải ngân đến 20/11/2024</t>
  </si>
  <si>
    <t>Ước tỷ lệ giải ngân đến hết năm 2024</t>
  </si>
  <si>
    <t xml:space="preserve">Kinh phí khắc phục hậu quả thiên tai khu vực sạt lở đất Tổ nhân dân Hát Deng, thị trấn Yến Lạc huyện Na Rì </t>
  </si>
  <si>
    <t>Bổ sung cân đối cho các xã thực hiện nhiệm vụ</t>
  </si>
  <si>
    <t>Công trình, dự án/Đơn vị thực hiện</t>
  </si>
  <si>
    <t>Kinh phí khắc phục hậu quả thiên tai</t>
  </si>
  <si>
    <t>(Kèm theo Báo cáo số         /BC-UBND ngày        /12/2024 của UBND huyện Na Rì)</t>
  </si>
  <si>
    <t>Ước tỷ lệ giải ngân đến hết năm 2024 (%)</t>
  </si>
  <si>
    <t>Kinh phí được giao</t>
  </si>
  <si>
    <t>8=5/4</t>
  </si>
  <si>
    <t>9=6/4</t>
  </si>
  <si>
    <t>Dự kiến chênh lệch (dư kinh phí)</t>
  </si>
  <si>
    <t>7=4-6</t>
  </si>
  <si>
    <t>Tiến độ thực hiện đến thời điểm hiện tại</t>
  </si>
  <si>
    <t>Số đã thực hiện đến thời điểm hiện tại</t>
  </si>
  <si>
    <t>Tỷ lệ giải ngân đến đến thời điểm hiện tại (%)</t>
  </si>
  <si>
    <t>TÌNH HÌNH SỬ DỤNG NGUỒN DỰ PHÒNG NGÂN SÁCH HUYỆN (ĐẾN THỜI ĐIỂM BÁO CÁO)</t>
  </si>
  <si>
    <t>Công trình đã thi công được 50% khối lượng</t>
  </si>
  <si>
    <t>Công trình thi công được 50% khối lượng. Ước thực hiện giải ngân đến 31/01/2025 đạt 100% dự toán được giao</t>
  </si>
  <si>
    <t>Đã thi công xong (đang hoàn thiện hồ sơ thanh toán)</t>
  </si>
  <si>
    <t>Dự án đang thi công. Kinh phí dự kiến còn dư là chi phí dự phòng của công trình</t>
  </si>
  <si>
    <t>Dự án đã hoàn thành và thanh toán xong thừa vốn 2.428.710 đồng</t>
  </si>
  <si>
    <t>Dự án thi công được 90% khối lượng. Kinh phí dự kiến còn dư là chi phí dự phòng của công trình</t>
  </si>
</sst>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41" formatCode="_(* #,##0_);_(* \(#,##0\);_(* &quot;-&quot;_);_(@_)"/>
    <numFmt numFmtId="43" formatCode="_(* #,##0.00_);_(* \(#,##0.00\);_(* &quot;-&quot;??_);_(@_)"/>
    <numFmt numFmtId="164" formatCode="_-* #,##0.00_-;\-* #,##0.00_-;_-* &quot;-&quot;??_-;_-@_-"/>
    <numFmt numFmtId="165" formatCode="_-* #,##0\ _₫_-;\-* #,##0\ _₫_-;_-* &quot;-&quot;\ _₫_-;_-@_-"/>
    <numFmt numFmtId="166" formatCode="_-* #,##0.00\ _₫_-;\-* #,##0.00\ _₫_-;_-* &quot;-&quot;??\ _₫_-;_-@_-"/>
    <numFmt numFmtId="167" formatCode="#,##0.000"/>
    <numFmt numFmtId="168" formatCode="0.000"/>
    <numFmt numFmtId="169" formatCode="#,##0.0"/>
    <numFmt numFmtId="170" formatCode="#,##0.000000"/>
    <numFmt numFmtId="171" formatCode="_-* #,##0\ _₫_-;\-* #,##0\ _₫_-;_-* &quot;-&quot;??\ _₫_-;_-@_-"/>
    <numFmt numFmtId="172" formatCode="_(* #,##0_);_(* \(#,##0\);_(* &quot;-&quot;??_);_(@_)"/>
    <numFmt numFmtId="173" formatCode="[$-1010000]d/m/yyyy;@"/>
    <numFmt numFmtId="174" formatCode="#,##0;[Red]#,##0"/>
    <numFmt numFmtId="175" formatCode="#,##0.000;[Red]#,##0.000"/>
  </numFmts>
  <fonts count="120" x14ac:knownFonts="1">
    <font>
      <sz val="10"/>
      <name val="Arial"/>
      <charset val="163"/>
    </font>
    <font>
      <sz val="10"/>
      <name val="Arial"/>
      <family val="2"/>
    </font>
    <font>
      <sz val="8"/>
      <name val="Arial"/>
      <family val="2"/>
    </font>
    <font>
      <sz val="12"/>
      <name val="Times New Roman"/>
      <family val="1"/>
      <charset val="163"/>
    </font>
    <font>
      <b/>
      <sz val="12"/>
      <name val="Times New Roman"/>
      <family val="1"/>
      <charset val="163"/>
    </font>
    <font>
      <b/>
      <sz val="14"/>
      <name val="Times New Roman"/>
      <family val="1"/>
      <charset val="163"/>
    </font>
    <font>
      <sz val="12"/>
      <name val="Times New Roman"/>
      <family val="1"/>
    </font>
    <font>
      <i/>
      <sz val="12"/>
      <name val="Times New Roman"/>
      <family val="1"/>
    </font>
    <font>
      <b/>
      <sz val="12"/>
      <name val="Times New Roman"/>
      <family val="1"/>
    </font>
    <font>
      <sz val="12"/>
      <color indexed="8"/>
      <name val="Times New Roman"/>
      <family val="1"/>
    </font>
    <font>
      <b/>
      <sz val="12"/>
      <color indexed="8"/>
      <name val="Times New Roman"/>
      <family val="1"/>
    </font>
    <font>
      <b/>
      <sz val="8"/>
      <color indexed="81"/>
      <name val="Tahoma"/>
      <family val="2"/>
    </font>
    <font>
      <sz val="8"/>
      <color indexed="81"/>
      <name val="Tahoma"/>
      <family val="2"/>
    </font>
    <font>
      <sz val="10"/>
      <name val="Times New Roman"/>
      <family val="1"/>
      <charset val="163"/>
    </font>
    <font>
      <i/>
      <sz val="10"/>
      <name val="Times New Roman"/>
      <family val="1"/>
      <charset val="163"/>
    </font>
    <font>
      <sz val="8"/>
      <name val="Times New Roman"/>
      <family val="1"/>
      <charset val="163"/>
    </font>
    <font>
      <b/>
      <u/>
      <sz val="12"/>
      <name val="Times New Roman"/>
      <family val="1"/>
      <charset val="163"/>
    </font>
    <font>
      <b/>
      <sz val="10"/>
      <name val="Times New Roman"/>
      <family val="1"/>
      <charset val="163"/>
    </font>
    <font>
      <b/>
      <sz val="8"/>
      <name val="Times New Roman"/>
      <family val="1"/>
      <charset val="163"/>
    </font>
    <font>
      <sz val="11"/>
      <name val="Times New Roman"/>
      <family val="1"/>
      <charset val="163"/>
    </font>
    <font>
      <sz val="7"/>
      <name val="Times New Roman"/>
      <family val="1"/>
      <charset val="163"/>
    </font>
    <font>
      <sz val="11"/>
      <color indexed="8"/>
      <name val="Times New Roman"/>
      <family val="1"/>
    </font>
    <font>
      <sz val="10"/>
      <name val="Arial"/>
      <family val="2"/>
    </font>
    <font>
      <sz val="14"/>
      <name val="Times New Roman"/>
      <family val="1"/>
    </font>
    <font>
      <b/>
      <sz val="14"/>
      <name val=".VnTimeH"/>
      <family val="2"/>
    </font>
    <font>
      <b/>
      <sz val="14"/>
      <name val=".VnTime"/>
      <family val="2"/>
    </font>
    <font>
      <b/>
      <sz val="12"/>
      <name val=".VnTime"/>
      <family val="2"/>
    </font>
    <font>
      <sz val="11"/>
      <color indexed="8"/>
      <name val=".VnTime"/>
      <family val="2"/>
    </font>
    <font>
      <i/>
      <sz val="11"/>
      <color indexed="8"/>
      <name val="Times New Roman"/>
      <family val="1"/>
    </font>
    <font>
      <b/>
      <sz val="11"/>
      <color indexed="8"/>
      <name val="Times New Roman"/>
      <family val="1"/>
    </font>
    <font>
      <b/>
      <sz val="11"/>
      <color indexed="8"/>
      <name val=".VnTime"/>
      <family val="2"/>
    </font>
    <font>
      <b/>
      <sz val="10"/>
      <color indexed="8"/>
      <name val="Times New Roman"/>
      <family val="1"/>
    </font>
    <font>
      <b/>
      <sz val="9"/>
      <color indexed="81"/>
      <name val="Tahoma"/>
      <family val="2"/>
    </font>
    <font>
      <sz val="9"/>
      <color indexed="81"/>
      <name val="Tahoma"/>
      <family val="2"/>
    </font>
    <font>
      <b/>
      <sz val="14"/>
      <name val="Times New Roman"/>
      <family val="1"/>
    </font>
    <font>
      <b/>
      <sz val="10"/>
      <name val="Arial"/>
      <family val="2"/>
    </font>
    <font>
      <b/>
      <sz val="11"/>
      <name val="Times New Roman"/>
      <family val="1"/>
      <charset val="163"/>
    </font>
    <font>
      <i/>
      <sz val="11"/>
      <name val="Times New Roman"/>
      <family val="1"/>
      <charset val="163"/>
    </font>
    <font>
      <sz val="12"/>
      <name val="Arial"/>
      <family val="2"/>
    </font>
    <font>
      <b/>
      <i/>
      <sz val="12"/>
      <name val="Times New Roman"/>
      <family val="1"/>
      <charset val="163"/>
    </font>
    <font>
      <b/>
      <i/>
      <sz val="11"/>
      <name val="Times New Roman"/>
      <family val="1"/>
      <charset val="163"/>
    </font>
    <font>
      <i/>
      <sz val="14"/>
      <name val="Times New Roman"/>
      <family val="1"/>
      <charset val="163"/>
    </font>
    <font>
      <i/>
      <sz val="8"/>
      <name val="Times New Roman"/>
      <family val="1"/>
      <charset val="163"/>
    </font>
    <font>
      <b/>
      <sz val="10"/>
      <name val="Times New Roman"/>
      <family val="1"/>
    </font>
    <font>
      <b/>
      <sz val="8"/>
      <name val="Times New Roman"/>
      <family val="2"/>
    </font>
    <font>
      <sz val="8"/>
      <name val="Times New Roman"/>
      <family val="2"/>
    </font>
    <font>
      <sz val="8"/>
      <name val="Times New Roman"/>
      <family val="1"/>
    </font>
    <font>
      <sz val="10"/>
      <name val="Times New Roman"/>
      <family val="1"/>
    </font>
    <font>
      <b/>
      <i/>
      <sz val="10"/>
      <name val="Times New Roman"/>
      <family val="1"/>
    </font>
    <font>
      <i/>
      <sz val="12"/>
      <name val="Times New Roman"/>
      <family val="1"/>
      <charset val="163"/>
    </font>
    <font>
      <b/>
      <i/>
      <sz val="10"/>
      <name val="Times New Roman"/>
      <family val="1"/>
      <charset val="163"/>
    </font>
    <font>
      <b/>
      <sz val="8"/>
      <name val="times new roman"/>
      <family val="1"/>
    </font>
    <font>
      <sz val="10"/>
      <color indexed="10"/>
      <name val="Arial"/>
      <family val="2"/>
    </font>
    <font>
      <sz val="8"/>
      <color indexed="10"/>
      <name val="Times New Roman"/>
      <family val="1"/>
    </font>
    <font>
      <b/>
      <i/>
      <sz val="14"/>
      <name val="Times New Roman"/>
      <family val="1"/>
    </font>
    <font>
      <b/>
      <sz val="11"/>
      <name val="Times New Roman"/>
      <family val="1"/>
    </font>
    <font>
      <b/>
      <u/>
      <sz val="12"/>
      <name val="Times New Roman"/>
      <family val="1"/>
    </font>
    <font>
      <sz val="10"/>
      <name val="Arial"/>
      <family val="2"/>
    </font>
    <font>
      <b/>
      <i/>
      <sz val="11"/>
      <name val="Times New Roman"/>
      <family val="1"/>
    </font>
    <font>
      <b/>
      <i/>
      <sz val="12"/>
      <name val="Times New Roman"/>
      <family val="1"/>
    </font>
    <font>
      <i/>
      <sz val="11"/>
      <name val="Times New Roman"/>
      <family val="1"/>
    </font>
    <font>
      <sz val="12"/>
      <name val="Times New Roman"/>
      <family val="2"/>
    </font>
    <font>
      <b/>
      <sz val="12"/>
      <name val="Times New Roman"/>
      <family val="2"/>
    </font>
    <font>
      <sz val="11"/>
      <name val="Times New Roman"/>
      <family val="1"/>
    </font>
    <font>
      <i/>
      <sz val="10"/>
      <name val="Times New Roman"/>
      <family val="1"/>
    </font>
    <font>
      <sz val="10"/>
      <name val="Times New Roman"/>
      <family val="2"/>
    </font>
    <font>
      <sz val="12"/>
      <name val=".VnTime"/>
      <family val="2"/>
    </font>
    <font>
      <u/>
      <sz val="10"/>
      <name val="Arial"/>
      <family val="2"/>
    </font>
    <font>
      <u/>
      <sz val="12"/>
      <name val="Times New Roman"/>
      <family val="1"/>
      <charset val="163"/>
    </font>
    <font>
      <sz val="12"/>
      <name val=".VnArial Narrow"/>
      <family val="2"/>
    </font>
    <font>
      <sz val="11"/>
      <color theme="1"/>
      <name val="Arial"/>
      <family val="2"/>
      <scheme val="minor"/>
    </font>
    <font>
      <sz val="12"/>
      <color rgb="FF000000"/>
      <name val="Arial"/>
      <family val="2"/>
      <scheme val="minor"/>
    </font>
    <font>
      <sz val="12"/>
      <color theme="1"/>
      <name val="Times New Roman"/>
      <family val="2"/>
      <charset val="163"/>
    </font>
    <font>
      <sz val="12"/>
      <color rgb="FF000000"/>
      <name val="Arial"/>
      <family val="1"/>
      <scheme val="minor"/>
    </font>
    <font>
      <sz val="11"/>
      <color theme="1"/>
      <name val="Calibri"/>
      <family val="2"/>
    </font>
    <font>
      <sz val="11"/>
      <color theme="1"/>
      <name val="Arial"/>
      <family val="2"/>
      <charset val="163"/>
      <scheme val="minor"/>
    </font>
    <font>
      <sz val="12"/>
      <color theme="1"/>
      <name val="Times New Roman"/>
      <family val="2"/>
    </font>
    <font>
      <sz val="11"/>
      <color theme="1"/>
      <name val="times new roman"/>
      <family val="2"/>
      <charset val="163"/>
    </font>
    <font>
      <sz val="11"/>
      <color rgb="FFFF0000"/>
      <name val="Times New Roman"/>
      <family val="1"/>
    </font>
    <font>
      <sz val="12"/>
      <color rgb="FF0000FF"/>
      <name val="Times New Roman"/>
      <family val="1"/>
    </font>
    <font>
      <b/>
      <sz val="10"/>
      <color rgb="FFFF0000"/>
      <name val="Times New Roman"/>
      <family val="1"/>
      <charset val="163"/>
    </font>
    <font>
      <b/>
      <sz val="10"/>
      <color theme="1"/>
      <name val="Times New Roman"/>
      <family val="1"/>
      <charset val="163"/>
    </font>
    <font>
      <sz val="10"/>
      <color rgb="FF00B050"/>
      <name val="Arial"/>
      <family val="2"/>
    </font>
    <font>
      <sz val="10"/>
      <color rgb="FFFF0000"/>
      <name val="Times New Roman"/>
      <family val="1"/>
      <charset val="163"/>
    </font>
    <font>
      <sz val="12"/>
      <color rgb="FFFF0000"/>
      <name val="Times New Roman"/>
      <family val="1"/>
      <charset val="163"/>
    </font>
    <font>
      <b/>
      <sz val="12"/>
      <color rgb="FF0000FF"/>
      <name val="Times New Roman"/>
      <family val="1"/>
    </font>
    <font>
      <sz val="12"/>
      <color rgb="FF00B0F0"/>
      <name val="Times New Roman"/>
      <family val="1"/>
    </font>
    <font>
      <sz val="12"/>
      <color rgb="FF0000FF"/>
      <name val="Times New Roman"/>
      <family val="1"/>
      <charset val="163"/>
    </font>
    <font>
      <b/>
      <sz val="12"/>
      <color rgb="FF0070C0"/>
      <name val="Times New Roman"/>
      <family val="1"/>
      <charset val="163"/>
    </font>
    <font>
      <b/>
      <sz val="12"/>
      <color theme="1"/>
      <name val="Times New Roman"/>
      <family val="1"/>
      <charset val="163"/>
    </font>
    <font>
      <sz val="12"/>
      <color theme="1"/>
      <name val="Times New Roman"/>
      <family val="1"/>
    </font>
    <font>
      <b/>
      <sz val="12"/>
      <color theme="1"/>
      <name val="Times New Roman"/>
      <family val="1"/>
    </font>
    <font>
      <sz val="12"/>
      <color theme="1"/>
      <name val="Times New Roman"/>
      <family val="1"/>
      <charset val="163"/>
    </font>
    <font>
      <sz val="10"/>
      <color theme="0"/>
      <name val="Times New Roman"/>
      <family val="1"/>
      <charset val="163"/>
    </font>
    <font>
      <sz val="10"/>
      <color theme="0"/>
      <name val="Arial"/>
      <family val="2"/>
    </font>
    <font>
      <b/>
      <sz val="10"/>
      <color theme="9" tint="-0.249977111117893"/>
      <name val="Arial"/>
      <family val="2"/>
    </font>
    <font>
      <sz val="12"/>
      <color theme="9" tint="-0.249977111117893"/>
      <name val="Times New Roman"/>
      <family val="1"/>
    </font>
    <font>
      <sz val="12"/>
      <color rgb="FF0070C0"/>
      <name val="Times New Roman"/>
      <family val="1"/>
    </font>
    <font>
      <sz val="14"/>
      <color rgb="FF0070C0"/>
      <name val="Times New Roman"/>
      <family val="1"/>
    </font>
    <font>
      <sz val="6"/>
      <name val="Arial"/>
      <family val="2"/>
      <charset val="163"/>
    </font>
    <font>
      <sz val="10"/>
      <color rgb="FF0000FF"/>
      <name val="Arial"/>
      <family val="2"/>
    </font>
    <font>
      <sz val="6"/>
      <color rgb="FF0000FF"/>
      <name val="Arial"/>
      <family val="2"/>
    </font>
    <font>
      <sz val="6"/>
      <color rgb="FF0000FF"/>
      <name val="Times New Roman"/>
      <family val="1"/>
      <charset val="163"/>
    </font>
    <font>
      <sz val="12"/>
      <name val="Arial"/>
      <family val="2"/>
      <charset val="163"/>
    </font>
    <font>
      <b/>
      <sz val="12"/>
      <color theme="0"/>
      <name val="Times New Roman"/>
      <family val="1"/>
    </font>
    <font>
      <sz val="12"/>
      <color theme="0"/>
      <name val="Times New Roman"/>
      <family val="1"/>
    </font>
    <font>
      <b/>
      <sz val="13"/>
      <name val="Times New Roman"/>
      <family val="1"/>
      <charset val="163"/>
    </font>
    <font>
      <sz val="13"/>
      <name val="Arial"/>
      <family val="2"/>
      <charset val="163"/>
    </font>
    <font>
      <i/>
      <sz val="13"/>
      <name val="Times New Roman"/>
      <family val="1"/>
    </font>
    <font>
      <sz val="13"/>
      <name val="Times New Roman"/>
      <family val="1"/>
      <charset val="163"/>
    </font>
    <font>
      <sz val="13"/>
      <color rgb="FF000000"/>
      <name val="Times New Roman"/>
      <family val="1"/>
      <charset val="163"/>
    </font>
    <font>
      <b/>
      <i/>
      <sz val="13"/>
      <name val="Times New Roman"/>
      <family val="1"/>
    </font>
    <font>
      <b/>
      <i/>
      <sz val="13"/>
      <color rgb="FF000000"/>
      <name val="Times New Roman"/>
      <family val="1"/>
    </font>
    <font>
      <b/>
      <i/>
      <sz val="13"/>
      <name val="Times New Roman"/>
      <family val="1"/>
      <charset val="163"/>
    </font>
    <font>
      <b/>
      <i/>
      <sz val="13"/>
      <name val="Arial"/>
      <family val="2"/>
      <charset val="163"/>
    </font>
    <font>
      <sz val="13"/>
      <color rgb="FF000000"/>
      <name val="Times New Roman"/>
      <family val="1"/>
    </font>
    <font>
      <sz val="13"/>
      <name val="Times New Roman"/>
      <family val="1"/>
    </font>
    <font>
      <b/>
      <sz val="13"/>
      <name val="Times New Roman"/>
      <family val="1"/>
    </font>
    <font>
      <b/>
      <sz val="13"/>
      <color rgb="FF000000"/>
      <name val="Times New Roman"/>
      <family val="1"/>
    </font>
    <font>
      <sz val="13"/>
      <color theme="1"/>
      <name val="Times New Roman"/>
      <family val="1"/>
      <charset val="163"/>
    </font>
  </fonts>
  <fills count="18">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00"/>
        <bgColor indexed="64"/>
      </patternFill>
    </fill>
    <fill>
      <patternFill patternType="solid">
        <fgColor theme="4" tint="0.79998168889431442"/>
        <bgColor indexed="64"/>
      </patternFill>
    </fill>
    <fill>
      <patternFill patternType="solid">
        <fgColor theme="3" tint="0.79998168889431442"/>
        <bgColor indexed="64"/>
      </patternFill>
    </fill>
    <fill>
      <patternFill patternType="solid">
        <fgColor rgb="FF92D050"/>
        <bgColor indexed="64"/>
      </patternFill>
    </fill>
    <fill>
      <patternFill patternType="solid">
        <fgColor rgb="FF7030A0"/>
        <bgColor indexed="64"/>
      </patternFill>
    </fill>
    <fill>
      <patternFill patternType="solid">
        <fgColor rgb="FFFFC000"/>
        <bgColor indexed="64"/>
      </patternFill>
    </fill>
    <fill>
      <patternFill patternType="solid">
        <fgColor rgb="FFFFFFFF"/>
        <bgColor indexed="64"/>
      </patternFill>
    </fill>
    <fill>
      <patternFill patternType="solid">
        <fgColor theme="7" tint="0.79998168889431442"/>
        <bgColor indexed="64"/>
      </patternFill>
    </fill>
    <fill>
      <patternFill patternType="solid">
        <fgColor theme="9" tint="0.39997558519241921"/>
        <bgColor indexed="64"/>
      </patternFill>
    </fill>
    <fill>
      <patternFill patternType="solid">
        <fgColor theme="6" tint="0.59999389629810485"/>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theme="4" tint="0.39997558519241921"/>
        <bgColor indexed="64"/>
      </patternFill>
    </fill>
    <fill>
      <patternFill patternType="solid">
        <fgColor theme="3" tint="0.39997558519241921"/>
        <bgColor indexed="64"/>
      </patternFill>
    </fill>
  </fills>
  <borders count="25">
    <border>
      <left/>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hair">
        <color indexed="64"/>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hair">
        <color indexed="64"/>
      </top>
      <bottom/>
      <diagonal/>
    </border>
    <border>
      <left/>
      <right/>
      <top/>
      <bottom style="hair">
        <color indexed="64"/>
      </bottom>
      <diagonal/>
    </border>
    <border>
      <left/>
      <right/>
      <top style="hair">
        <color indexed="64"/>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bottom style="hair">
        <color indexed="64"/>
      </bottom>
      <diagonal/>
    </border>
    <border>
      <left style="thin">
        <color indexed="64"/>
      </left>
      <right/>
      <top style="hair">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41">
    <xf numFmtId="0" fontId="0" fillId="0" borderId="0"/>
    <xf numFmtId="0" fontId="71" fillId="0" borderId="0"/>
    <xf numFmtId="166" fontId="1" fillId="0" borderId="0" applyFont="0" applyFill="0" applyBorder="0" applyAlignment="0" applyProtection="0"/>
    <xf numFmtId="43" fontId="38" fillId="0" borderId="0" applyFont="0" applyFill="0" applyBorder="0" applyAlignment="0" applyProtection="0"/>
    <xf numFmtId="166" fontId="22" fillId="0" borderId="0" applyFont="0" applyFill="0" applyBorder="0" applyAlignment="0" applyProtection="0"/>
    <xf numFmtId="166" fontId="57" fillId="0" borderId="0" applyFont="0" applyFill="0" applyBorder="0" applyAlignment="0" applyProtection="0"/>
    <xf numFmtId="166" fontId="22" fillId="0" borderId="0" applyFont="0" applyFill="0" applyBorder="0" applyAlignment="0" applyProtection="0"/>
    <xf numFmtId="166" fontId="72" fillId="0" borderId="0" applyFont="0" applyFill="0" applyBorder="0" applyAlignment="0" applyProtection="0"/>
    <xf numFmtId="43" fontId="73" fillId="0" borderId="0" applyFont="0" applyFill="0" applyBorder="0" applyAlignment="0" applyProtection="0"/>
    <xf numFmtId="0" fontId="74" fillId="0" borderId="0"/>
    <xf numFmtId="0" fontId="22" fillId="0" borderId="0"/>
    <xf numFmtId="0" fontId="22" fillId="0" borderId="0"/>
    <xf numFmtId="0" fontId="6" fillId="0" borderId="0"/>
    <xf numFmtId="0" fontId="23" fillId="0" borderId="0"/>
    <xf numFmtId="0" fontId="66" fillId="0" borderId="0"/>
    <xf numFmtId="0" fontId="75" fillId="0" borderId="0"/>
    <xf numFmtId="0" fontId="22" fillId="0" borderId="0"/>
    <xf numFmtId="0" fontId="76" fillId="0" borderId="0"/>
    <xf numFmtId="0" fontId="77" fillId="0" borderId="0"/>
    <xf numFmtId="0" fontId="70" fillId="0" borderId="0"/>
    <xf numFmtId="0" fontId="38" fillId="0" borderId="0"/>
    <xf numFmtId="0" fontId="72" fillId="0" borderId="0"/>
    <xf numFmtId="0" fontId="73" fillId="0" borderId="0"/>
    <xf numFmtId="0" fontId="66" fillId="0" borderId="0"/>
    <xf numFmtId="0" fontId="69" fillId="0" borderId="0"/>
    <xf numFmtId="0" fontId="6" fillId="0" borderId="0"/>
    <xf numFmtId="0" fontId="66" fillId="0" borderId="0"/>
    <xf numFmtId="41" fontId="66" fillId="0" borderId="0" applyFont="0" applyFill="0" applyBorder="0" applyAlignment="0" applyProtection="0"/>
    <xf numFmtId="0" fontId="1" fillId="0" borderId="0"/>
    <xf numFmtId="164" fontId="76" fillId="0" borderId="0" applyFont="0" applyFill="0" applyBorder="0" applyAlignment="0" applyProtection="0"/>
    <xf numFmtId="165" fontId="76" fillId="0" borderId="0" applyFont="0" applyFill="0" applyBorder="0" applyAlignment="0" applyProtection="0"/>
    <xf numFmtId="9" fontId="76" fillId="0" borderId="0" applyFont="0" applyFill="0" applyBorder="0" applyAlignment="0" applyProtection="0"/>
    <xf numFmtId="0" fontId="66" fillId="0" borderId="0"/>
    <xf numFmtId="164" fontId="76" fillId="0" borderId="0" applyFont="0" applyFill="0" applyBorder="0" applyAlignment="0" applyProtection="0"/>
    <xf numFmtId="164" fontId="76" fillId="0" borderId="0" applyFont="0" applyFill="0" applyBorder="0" applyAlignment="0" applyProtection="0"/>
    <xf numFmtId="164" fontId="70" fillId="0" borderId="0" applyFont="0" applyFill="0" applyBorder="0" applyAlignment="0" applyProtection="0"/>
    <xf numFmtId="164" fontId="1" fillId="0" borderId="0" applyFont="0" applyFill="0" applyBorder="0" applyAlignment="0" applyProtection="0"/>
    <xf numFmtId="0" fontId="1" fillId="0" borderId="0"/>
    <xf numFmtId="0" fontId="76" fillId="0" borderId="0"/>
    <xf numFmtId="164" fontId="1" fillId="0" borderId="0" applyFont="0" applyFill="0" applyBorder="0" applyAlignment="0" applyProtection="0"/>
    <xf numFmtId="164" fontId="70" fillId="0" borderId="0" applyFont="0" applyFill="0" applyBorder="0" applyAlignment="0" applyProtection="0"/>
  </cellStyleXfs>
  <cellXfs count="964">
    <xf numFmtId="0" fontId="0" fillId="0" borderId="0" xfId="0"/>
    <xf numFmtId="3" fontId="6" fillId="2" borderId="1" xfId="0" applyNumberFormat="1" applyFont="1" applyFill="1" applyBorder="1" applyAlignment="1">
      <alignment horizontal="left" vertical="center" wrapText="1"/>
    </xf>
    <xf numFmtId="3" fontId="9" fillId="2" borderId="1" xfId="0" applyNumberFormat="1" applyFont="1" applyFill="1" applyBorder="1"/>
    <xf numFmtId="3" fontId="6" fillId="2" borderId="1" xfId="0" applyNumberFormat="1" applyFont="1" applyFill="1" applyBorder="1" applyAlignment="1">
      <alignment horizontal="left" wrapText="1"/>
    </xf>
    <xf numFmtId="3" fontId="6" fillId="3" borderId="0" xfId="0" applyNumberFormat="1" applyFont="1" applyFill="1"/>
    <xf numFmtId="3" fontId="6" fillId="3" borderId="0" xfId="0" applyNumberFormat="1" applyFont="1" applyFill="1" applyAlignment="1">
      <alignment horizontal="center"/>
    </xf>
    <xf numFmtId="14" fontId="6" fillId="3" borderId="0" xfId="0" applyNumberFormat="1" applyFont="1" applyFill="1" applyAlignment="1">
      <alignment horizontal="center"/>
    </xf>
    <xf numFmtId="3" fontId="8" fillId="3" borderId="0" xfId="0" applyNumberFormat="1" applyFont="1" applyFill="1"/>
    <xf numFmtId="3" fontId="6" fillId="3" borderId="1" xfId="0" applyNumberFormat="1" applyFont="1" applyFill="1" applyBorder="1" applyAlignment="1">
      <alignment horizontal="left" wrapText="1"/>
    </xf>
    <xf numFmtId="3" fontId="6" fillId="3" borderId="1" xfId="0" applyNumberFormat="1" applyFont="1" applyFill="1" applyBorder="1" applyAlignment="1">
      <alignment wrapText="1"/>
    </xf>
    <xf numFmtId="4" fontId="6" fillId="3" borderId="0" xfId="0" applyNumberFormat="1" applyFont="1" applyFill="1"/>
    <xf numFmtId="3" fontId="0" fillId="0" borderId="0" xfId="0" applyNumberFormat="1"/>
    <xf numFmtId="3" fontId="6" fillId="3" borderId="1" xfId="0" applyNumberFormat="1" applyFont="1" applyFill="1" applyBorder="1" applyAlignment="1">
      <alignment horizontal="right" wrapText="1"/>
    </xf>
    <xf numFmtId="3" fontId="27" fillId="3" borderId="0" xfId="0" applyNumberFormat="1" applyFont="1" applyFill="1"/>
    <xf numFmtId="49" fontId="21" fillId="3" borderId="0" xfId="0" applyNumberFormat="1" applyFont="1" applyFill="1" applyAlignment="1">
      <alignment horizontal="center"/>
    </xf>
    <xf numFmtId="3" fontId="21" fillId="3" borderId="0" xfId="0" applyNumberFormat="1" applyFont="1" applyFill="1"/>
    <xf numFmtId="3" fontId="28" fillId="3" borderId="0" xfId="0" applyNumberFormat="1" applyFont="1" applyFill="1"/>
    <xf numFmtId="3" fontId="30" fillId="3" borderId="0" xfId="0" applyNumberFormat="1" applyFont="1" applyFill="1" applyAlignment="1">
      <alignment horizontal="center"/>
    </xf>
    <xf numFmtId="49" fontId="29" fillId="3" borderId="1" xfId="0" applyNumberFormat="1" applyFont="1" applyFill="1" applyBorder="1" applyAlignment="1">
      <alignment horizontal="center"/>
    </xf>
    <xf numFmtId="3" fontId="29" fillId="3" borderId="1" xfId="0" applyNumberFormat="1" applyFont="1" applyFill="1" applyBorder="1" applyAlignment="1">
      <alignment wrapText="1"/>
    </xf>
    <xf numFmtId="3" fontId="29" fillId="3" borderId="1" xfId="0" applyNumberFormat="1" applyFont="1" applyFill="1" applyBorder="1"/>
    <xf numFmtId="4" fontId="31" fillId="3" borderId="1" xfId="0" applyNumberFormat="1" applyFont="1" applyFill="1" applyBorder="1" applyAlignment="1">
      <alignment horizontal="right" vertical="center" wrapText="1"/>
    </xf>
    <xf numFmtId="3" fontId="30" fillId="3" borderId="0" xfId="0" applyNumberFormat="1" applyFont="1" applyFill="1"/>
    <xf numFmtId="49" fontId="21" fillId="3" borderId="1" xfId="0" applyNumberFormat="1" applyFont="1" applyFill="1" applyBorder="1" applyAlignment="1">
      <alignment horizontal="center"/>
    </xf>
    <xf numFmtId="3" fontId="21" fillId="3" borderId="1" xfId="0" applyNumberFormat="1" applyFont="1" applyFill="1" applyBorder="1" applyAlignment="1">
      <alignment wrapText="1"/>
    </xf>
    <xf numFmtId="3" fontId="21" fillId="3" borderId="1" xfId="0" applyNumberFormat="1" applyFont="1" applyFill="1" applyBorder="1"/>
    <xf numFmtId="169" fontId="21" fillId="3" borderId="1" xfId="0" applyNumberFormat="1" applyFont="1" applyFill="1" applyBorder="1"/>
    <xf numFmtId="3" fontId="31" fillId="3" borderId="1" xfId="0" applyNumberFormat="1" applyFont="1" applyFill="1" applyBorder="1" applyAlignment="1">
      <alignment horizontal="right" vertical="center" wrapText="1"/>
    </xf>
    <xf numFmtId="1" fontId="29" fillId="3" borderId="1" xfId="0" applyNumberFormat="1" applyFont="1" applyFill="1" applyBorder="1" applyAlignment="1">
      <alignment horizontal="center"/>
    </xf>
    <xf numFmtId="1" fontId="29" fillId="3" borderId="1" xfId="0" applyNumberFormat="1" applyFont="1" applyFill="1" applyBorder="1" applyAlignment="1">
      <alignment wrapText="1"/>
    </xf>
    <xf numFmtId="1" fontId="21" fillId="3" borderId="1" xfId="0" applyNumberFormat="1" applyFont="1" applyFill="1" applyBorder="1" applyAlignment="1">
      <alignment horizontal="center"/>
    </xf>
    <xf numFmtId="1" fontId="21" fillId="3" borderId="1" xfId="0" applyNumberFormat="1" applyFont="1" applyFill="1" applyBorder="1" applyAlignment="1">
      <alignment vertical="center" wrapText="1"/>
    </xf>
    <xf numFmtId="1" fontId="21" fillId="3" borderId="1" xfId="0" applyNumberFormat="1" applyFont="1" applyFill="1" applyBorder="1"/>
    <xf numFmtId="3" fontId="8" fillId="3" borderId="1" xfId="0" applyNumberFormat="1" applyFont="1" applyFill="1" applyBorder="1" applyAlignment="1">
      <alignment horizontal="left" wrapText="1"/>
    </xf>
    <xf numFmtId="0" fontId="6" fillId="3" borderId="1" xfId="0" applyFont="1" applyFill="1" applyBorder="1" applyAlignment="1">
      <alignment wrapText="1"/>
    </xf>
    <xf numFmtId="1" fontId="29" fillId="3" borderId="1" xfId="0" applyNumberFormat="1" applyFont="1" applyFill="1" applyBorder="1"/>
    <xf numFmtId="49" fontId="27" fillId="3" borderId="2" xfId="0" applyNumberFormat="1" applyFont="1" applyFill="1" applyBorder="1" applyAlignment="1">
      <alignment horizontal="center"/>
    </xf>
    <xf numFmtId="3" fontId="21" fillId="3" borderId="2" xfId="0" applyNumberFormat="1" applyFont="1" applyFill="1" applyBorder="1"/>
    <xf numFmtId="49" fontId="27" fillId="3" borderId="0" xfId="0" applyNumberFormat="1" applyFont="1" applyFill="1" applyAlignment="1">
      <alignment horizontal="center"/>
    </xf>
    <xf numFmtId="3" fontId="28" fillId="3" borderId="0" xfId="0" applyNumberFormat="1" applyFont="1" applyFill="1" applyAlignment="1">
      <alignment horizontal="center"/>
    </xf>
    <xf numFmtId="3" fontId="29" fillId="3" borderId="3" xfId="0" applyNumberFormat="1" applyFont="1" applyFill="1" applyBorder="1" applyAlignment="1">
      <alignment horizontal="center" vertical="center" wrapText="1"/>
    </xf>
    <xf numFmtId="49" fontId="29" fillId="3" borderId="1" xfId="0" applyNumberFormat="1" applyFont="1" applyFill="1" applyBorder="1" applyAlignment="1">
      <alignment horizontal="center" vertical="center" wrapText="1"/>
    </xf>
    <xf numFmtId="49" fontId="29" fillId="3" borderId="3" xfId="0" applyNumberFormat="1" applyFont="1" applyFill="1" applyBorder="1" applyAlignment="1">
      <alignment horizontal="center" vertical="center" wrapText="1"/>
    </xf>
    <xf numFmtId="169" fontId="31" fillId="3" borderId="3" xfId="0" applyNumberFormat="1" applyFont="1" applyFill="1" applyBorder="1"/>
    <xf numFmtId="169" fontId="31" fillId="4" borderId="3" xfId="0" applyNumberFormat="1" applyFont="1" applyFill="1" applyBorder="1"/>
    <xf numFmtId="169" fontId="29" fillId="3" borderId="3" xfId="0" applyNumberFormat="1" applyFont="1" applyFill="1" applyBorder="1" applyAlignment="1">
      <alignment horizontal="center"/>
    </xf>
    <xf numFmtId="3" fontId="30" fillId="3" borderId="1" xfId="0" applyNumberFormat="1" applyFont="1" applyFill="1" applyBorder="1"/>
    <xf numFmtId="3" fontId="27" fillId="3" borderId="1" xfId="0" applyNumberFormat="1" applyFont="1" applyFill="1" applyBorder="1"/>
    <xf numFmtId="3" fontId="29" fillId="3" borderId="1" xfId="0" applyNumberFormat="1" applyFont="1" applyFill="1" applyBorder="1" applyAlignment="1">
      <alignment horizontal="center"/>
    </xf>
    <xf numFmtId="3" fontId="30" fillId="3" borderId="1" xfId="0" applyNumberFormat="1" applyFont="1" applyFill="1" applyBorder="1" applyAlignment="1">
      <alignment horizontal="center"/>
    </xf>
    <xf numFmtId="167" fontId="21" fillId="3" borderId="1" xfId="0" applyNumberFormat="1" applyFont="1" applyFill="1" applyBorder="1"/>
    <xf numFmtId="49" fontId="27" fillId="3" borderId="1" xfId="0" applyNumberFormat="1" applyFont="1" applyFill="1" applyBorder="1" applyAlignment="1">
      <alignment horizontal="center"/>
    </xf>
    <xf numFmtId="3" fontId="27" fillId="3" borderId="1" xfId="0" applyNumberFormat="1" applyFont="1" applyFill="1" applyBorder="1" applyAlignment="1">
      <alignment wrapText="1"/>
    </xf>
    <xf numFmtId="3" fontId="3" fillId="0" borderId="1" xfId="0" applyNumberFormat="1" applyFont="1" applyBorder="1"/>
    <xf numFmtId="3" fontId="6" fillId="2" borderId="2" xfId="0" applyNumberFormat="1" applyFont="1" applyFill="1" applyBorder="1" applyAlignment="1">
      <alignment horizontal="left" wrapText="1"/>
    </xf>
    <xf numFmtId="3" fontId="27" fillId="3" borderId="2" xfId="0" applyNumberFormat="1" applyFont="1" applyFill="1" applyBorder="1"/>
    <xf numFmtId="3" fontId="78" fillId="3" borderId="1" xfId="0" applyNumberFormat="1" applyFont="1" applyFill="1" applyBorder="1"/>
    <xf numFmtId="169" fontId="78" fillId="3" borderId="1" xfId="0" applyNumberFormat="1" applyFont="1" applyFill="1" applyBorder="1"/>
    <xf numFmtId="0" fontId="34" fillId="0" borderId="0" xfId="0" applyFont="1"/>
    <xf numFmtId="0" fontId="23" fillId="0" borderId="0" xfId="0" applyFont="1"/>
    <xf numFmtId="0" fontId="23" fillId="0" borderId="0" xfId="0" applyFont="1" applyAlignment="1">
      <alignment horizontal="center"/>
    </xf>
    <xf numFmtId="0" fontId="23" fillId="0" borderId="0" xfId="0" applyFont="1" applyAlignment="1">
      <alignment horizontal="center" wrapText="1"/>
    </xf>
    <xf numFmtId="0" fontId="13" fillId="3" borderId="0" xfId="0" applyFont="1" applyFill="1" applyAlignment="1">
      <alignment horizontal="center"/>
    </xf>
    <xf numFmtId="3" fontId="13" fillId="3" borderId="0" xfId="0" applyNumberFormat="1" applyFont="1" applyFill="1" applyAlignment="1">
      <alignment horizontal="center"/>
    </xf>
    <xf numFmtId="168" fontId="3" fillId="3" borderId="0" xfId="0" applyNumberFormat="1" applyFont="1" applyFill="1" applyAlignment="1">
      <alignment horizontal="right"/>
    </xf>
    <xf numFmtId="167" fontId="3" fillId="3" borderId="0" xfId="0" applyNumberFormat="1" applyFont="1" applyFill="1" applyAlignment="1">
      <alignment horizontal="right"/>
    </xf>
    <xf numFmtId="0" fontId="14" fillId="3" borderId="0" xfId="0" applyFont="1" applyFill="1" applyAlignment="1">
      <alignment horizontal="center"/>
    </xf>
    <xf numFmtId="49" fontId="14" fillId="3" borderId="0" xfId="0" applyNumberFormat="1" applyFont="1" applyFill="1" applyAlignment="1">
      <alignment horizontal="center"/>
    </xf>
    <xf numFmtId="2" fontId="14" fillId="3" borderId="0" xfId="0" applyNumberFormat="1" applyFont="1" applyFill="1" applyAlignment="1">
      <alignment horizontal="center"/>
    </xf>
    <xf numFmtId="0" fontId="3" fillId="3" borderId="0" xfId="0" applyFont="1" applyFill="1"/>
    <xf numFmtId="3" fontId="4" fillId="3" borderId="0" xfId="0" applyNumberFormat="1" applyFont="1" applyFill="1" applyAlignment="1">
      <alignment horizontal="center"/>
    </xf>
    <xf numFmtId="3" fontId="13" fillId="3" borderId="0" xfId="0" applyNumberFormat="1" applyFont="1" applyFill="1" applyAlignment="1">
      <alignment horizontal="center" vertical="center" wrapText="1"/>
    </xf>
    <xf numFmtId="168" fontId="3" fillId="3" borderId="0" xfId="0" applyNumberFormat="1" applyFont="1" applyFill="1" applyAlignment="1">
      <alignment horizontal="right" vertical="center" wrapText="1"/>
    </xf>
    <xf numFmtId="167" fontId="3" fillId="3" borderId="0" xfId="0" applyNumberFormat="1" applyFont="1" applyFill="1" applyAlignment="1">
      <alignment horizontal="right" vertical="center" wrapText="1"/>
    </xf>
    <xf numFmtId="49" fontId="13" fillId="3" borderId="0" xfId="0" applyNumberFormat="1" applyFont="1" applyFill="1" applyAlignment="1">
      <alignment horizontal="center"/>
    </xf>
    <xf numFmtId="3" fontId="15" fillId="3" borderId="0" xfId="0" applyNumberFormat="1" applyFont="1" applyFill="1" applyAlignment="1">
      <alignment horizontal="center"/>
    </xf>
    <xf numFmtId="3" fontId="17" fillId="3" borderId="0" xfId="0" applyNumberFormat="1" applyFont="1" applyFill="1" applyAlignment="1">
      <alignment horizontal="center"/>
    </xf>
    <xf numFmtId="0" fontId="17" fillId="3" borderId="0" xfId="0" applyFont="1" applyFill="1" applyAlignment="1">
      <alignment horizontal="center"/>
    </xf>
    <xf numFmtId="3" fontId="20" fillId="3" borderId="0" xfId="0" applyNumberFormat="1" applyFont="1" applyFill="1" applyAlignment="1">
      <alignment horizontal="center"/>
    </xf>
    <xf numFmtId="49" fontId="17" fillId="3" borderId="0" xfId="0" applyNumberFormat="1" applyFont="1" applyFill="1" applyAlignment="1">
      <alignment horizontal="center"/>
    </xf>
    <xf numFmtId="0" fontId="5" fillId="3" borderId="0" xfId="0" applyFont="1" applyFill="1" applyAlignment="1">
      <alignment horizontal="center"/>
    </xf>
    <xf numFmtId="49" fontId="5" fillId="3" borderId="0" xfId="0" applyNumberFormat="1" applyFont="1" applyFill="1" applyAlignment="1">
      <alignment horizontal="center"/>
    </xf>
    <xf numFmtId="3" fontId="5" fillId="3" borderId="0" xfId="0" applyNumberFormat="1" applyFont="1" applyFill="1" applyAlignment="1">
      <alignment horizontal="center"/>
    </xf>
    <xf numFmtId="0" fontId="0" fillId="0" borderId="0" xfId="0" applyAlignment="1">
      <alignment horizontal="center"/>
    </xf>
    <xf numFmtId="0" fontId="35" fillId="0" borderId="0" xfId="0" applyFont="1" applyAlignment="1">
      <alignment horizontal="center"/>
    </xf>
    <xf numFmtId="0" fontId="35" fillId="0" borderId="0" xfId="0" applyFont="1"/>
    <xf numFmtId="0" fontId="22" fillId="0" borderId="0" xfId="0" applyFont="1"/>
    <xf numFmtId="14" fontId="0" fillId="0" borderId="0" xfId="0" applyNumberFormat="1" applyAlignment="1">
      <alignment horizontal="center"/>
    </xf>
    <xf numFmtId="0" fontId="22" fillId="0" borderId="0" xfId="0" applyFont="1" applyAlignment="1">
      <alignment horizontal="center"/>
    </xf>
    <xf numFmtId="0" fontId="17" fillId="3" borderId="0" xfId="0" applyFont="1" applyFill="1"/>
    <xf numFmtId="3" fontId="17" fillId="3" borderId="0" xfId="0" applyNumberFormat="1" applyFont="1" applyFill="1"/>
    <xf numFmtId="3" fontId="13" fillId="3" borderId="0" xfId="0" applyNumberFormat="1" applyFont="1" applyFill="1"/>
    <xf numFmtId="0" fontId="13" fillId="3" borderId="0" xfId="0" applyFont="1" applyFill="1"/>
    <xf numFmtId="167" fontId="13" fillId="3" borderId="0" xfId="0" applyNumberFormat="1" applyFont="1" applyFill="1"/>
    <xf numFmtId="0" fontId="36" fillId="3" borderId="0" xfId="0" applyFont="1" applyFill="1"/>
    <xf numFmtId="0" fontId="36" fillId="3" borderId="0" xfId="0" applyFont="1" applyFill="1" applyAlignment="1">
      <alignment horizontal="center"/>
    </xf>
    <xf numFmtId="4" fontId="14" fillId="3" borderId="0" xfId="0" applyNumberFormat="1" applyFont="1" applyFill="1" applyAlignment="1">
      <alignment horizontal="center"/>
    </xf>
    <xf numFmtId="3" fontId="6" fillId="3" borderId="1" xfId="0" applyNumberFormat="1" applyFont="1" applyFill="1" applyBorder="1" applyAlignment="1">
      <alignment vertical="center"/>
    </xf>
    <xf numFmtId="3" fontId="6" fillId="0" borderId="0" xfId="0" applyNumberFormat="1" applyFont="1"/>
    <xf numFmtId="3" fontId="6" fillId="3" borderId="1" xfId="0" applyNumberFormat="1" applyFont="1" applyFill="1" applyBorder="1" applyAlignment="1">
      <alignment horizontal="right" vertical="center" wrapText="1"/>
    </xf>
    <xf numFmtId="0" fontId="3" fillId="3" borderId="1" xfId="0" applyFont="1" applyFill="1" applyBorder="1" applyAlignment="1">
      <alignment horizontal="center" vertical="center"/>
    </xf>
    <xf numFmtId="3" fontId="36" fillId="3" borderId="1" xfId="0" applyNumberFormat="1" applyFont="1" applyFill="1" applyBorder="1" applyAlignment="1">
      <alignment vertical="center"/>
    </xf>
    <xf numFmtId="3" fontId="19" fillId="3" borderId="1" xfId="0" applyNumberFormat="1" applyFont="1" applyFill="1" applyBorder="1" applyAlignment="1">
      <alignment horizontal="center" vertical="center"/>
    </xf>
    <xf numFmtId="3" fontId="19" fillId="3" borderId="1" xfId="0" applyNumberFormat="1" applyFont="1" applyFill="1" applyBorder="1" applyAlignment="1">
      <alignment vertical="center"/>
    </xf>
    <xf numFmtId="3" fontId="19" fillId="3" borderId="4" xfId="0" applyNumberFormat="1" applyFont="1" applyFill="1" applyBorder="1" applyAlignment="1">
      <alignment vertical="center"/>
    </xf>
    <xf numFmtId="166" fontId="19" fillId="3" borderId="1" xfId="2" applyFont="1" applyFill="1" applyBorder="1" applyAlignment="1">
      <alignment vertical="center"/>
    </xf>
    <xf numFmtId="0" fontId="38" fillId="0" borderId="0" xfId="20"/>
    <xf numFmtId="49" fontId="38" fillId="0" borderId="0" xfId="20" applyNumberFormat="1" applyAlignment="1">
      <alignment horizontal="center"/>
    </xf>
    <xf numFmtId="3" fontId="38" fillId="0" borderId="0" xfId="20" applyNumberFormat="1"/>
    <xf numFmtId="49" fontId="8" fillId="0" borderId="5" xfId="20" applyNumberFormat="1" applyFont="1" applyBorder="1" applyAlignment="1">
      <alignment horizontal="center" vertical="center" wrapText="1"/>
    </xf>
    <xf numFmtId="3" fontId="8" fillId="0" borderId="5" xfId="20" applyNumberFormat="1" applyFont="1" applyBorder="1" applyAlignment="1">
      <alignment horizontal="center" vertical="center" wrapText="1"/>
    </xf>
    <xf numFmtId="3" fontId="8" fillId="3" borderId="5" xfId="20" applyNumberFormat="1" applyFont="1" applyFill="1" applyBorder="1" applyAlignment="1">
      <alignment horizontal="right" vertical="center"/>
    </xf>
    <xf numFmtId="49" fontId="6" fillId="0" borderId="1" xfId="20" applyNumberFormat="1" applyFont="1" applyBorder="1" applyAlignment="1">
      <alignment horizontal="center" vertical="center" wrapText="1"/>
    </xf>
    <xf numFmtId="3" fontId="6" fillId="0" borderId="1" xfId="20" applyNumberFormat="1" applyFont="1" applyBorder="1" applyAlignment="1">
      <alignment horizontal="left" vertical="center" wrapText="1"/>
    </xf>
    <xf numFmtId="3" fontId="6" fillId="0" borderId="1" xfId="20" applyNumberFormat="1" applyFont="1" applyBorder="1" applyAlignment="1">
      <alignment horizontal="center" vertical="center" wrapText="1"/>
    </xf>
    <xf numFmtId="3" fontId="6" fillId="0" borderId="1" xfId="20" applyNumberFormat="1" applyFont="1" applyBorder="1" applyAlignment="1">
      <alignment horizontal="right" vertical="center" wrapText="1"/>
    </xf>
    <xf numFmtId="43" fontId="6" fillId="0" borderId="1" xfId="3" applyFont="1" applyBorder="1" applyAlignment="1">
      <alignment horizontal="right" vertical="center" wrapText="1"/>
    </xf>
    <xf numFmtId="3" fontId="6" fillId="0" borderId="1" xfId="20" applyNumberFormat="1" applyFont="1" applyBorder="1" applyAlignment="1">
      <alignment horizontal="right" vertical="center"/>
    </xf>
    <xf numFmtId="3" fontId="8" fillId="0" borderId="5" xfId="20" applyNumberFormat="1" applyFont="1" applyBorder="1" applyAlignment="1">
      <alignment horizontal="right" vertical="center" wrapText="1"/>
    </xf>
    <xf numFmtId="3" fontId="8" fillId="0" borderId="6" xfId="20" applyNumberFormat="1" applyFont="1" applyBorder="1" applyAlignment="1">
      <alignment horizontal="center" vertical="center" wrapText="1"/>
    </xf>
    <xf numFmtId="3" fontId="8" fillId="3" borderId="0" xfId="20" applyNumberFormat="1" applyFont="1" applyFill="1" applyAlignment="1">
      <alignment horizontal="right" vertical="center"/>
    </xf>
    <xf numFmtId="49" fontId="6" fillId="0" borderId="6" xfId="20" applyNumberFormat="1" applyFont="1" applyBorder="1" applyAlignment="1">
      <alignment horizontal="center" vertical="center" wrapText="1"/>
    </xf>
    <xf numFmtId="3" fontId="6" fillId="0" borderId="6" xfId="20" applyNumberFormat="1" applyFont="1" applyBorder="1" applyAlignment="1">
      <alignment horizontal="left" vertical="center" wrapText="1"/>
    </xf>
    <xf numFmtId="3" fontId="6" fillId="3" borderId="6" xfId="20" applyNumberFormat="1" applyFont="1" applyFill="1" applyBorder="1" applyAlignment="1">
      <alignment horizontal="right" vertical="center"/>
    </xf>
    <xf numFmtId="3" fontId="79" fillId="0" borderId="1" xfId="20" applyNumberFormat="1" applyFont="1" applyBorder="1" applyAlignment="1">
      <alignment horizontal="right" vertical="center" wrapText="1"/>
    </xf>
    <xf numFmtId="3" fontId="6" fillId="0" borderId="1" xfId="20" applyNumberFormat="1" applyFont="1" applyBorder="1" applyAlignment="1">
      <alignment horizontal="justify" vertical="center" wrapText="1"/>
    </xf>
    <xf numFmtId="3" fontId="40" fillId="3" borderId="1" xfId="0" applyNumberFormat="1" applyFont="1" applyFill="1" applyBorder="1" applyAlignment="1">
      <alignment vertical="center"/>
    </xf>
    <xf numFmtId="3" fontId="37" fillId="3" borderId="1" xfId="0" applyNumberFormat="1" applyFont="1" applyFill="1" applyBorder="1" applyAlignment="1">
      <alignment vertical="center" wrapText="1"/>
    </xf>
    <xf numFmtId="3" fontId="37" fillId="3" borderId="1" xfId="0" applyNumberFormat="1" applyFont="1" applyFill="1" applyBorder="1" applyAlignment="1">
      <alignment vertical="center"/>
    </xf>
    <xf numFmtId="166" fontId="37" fillId="3" borderId="1" xfId="2" applyFont="1" applyFill="1" applyBorder="1" applyAlignment="1">
      <alignment vertical="center"/>
    </xf>
    <xf numFmtId="3" fontId="37" fillId="3" borderId="4" xfId="0" applyNumberFormat="1" applyFont="1" applyFill="1" applyBorder="1" applyAlignment="1">
      <alignment vertical="center" wrapText="1"/>
    </xf>
    <xf numFmtId="3" fontId="19" fillId="3" borderId="7" xfId="0" applyNumberFormat="1" applyFont="1" applyFill="1" applyBorder="1" applyAlignment="1">
      <alignment vertical="center"/>
    </xf>
    <xf numFmtId="172" fontId="6" fillId="0" borderId="1" xfId="3" applyNumberFormat="1" applyFont="1" applyBorder="1" applyAlignment="1">
      <alignment horizontal="right" vertical="center" wrapText="1"/>
    </xf>
    <xf numFmtId="0" fontId="18" fillId="3" borderId="0" xfId="0" applyFont="1" applyFill="1"/>
    <xf numFmtId="0" fontId="42" fillId="3" borderId="8" xfId="0" applyFont="1" applyFill="1" applyBorder="1" applyAlignment="1">
      <alignment horizontal="center" vertical="center"/>
    </xf>
    <xf numFmtId="0" fontId="42" fillId="3" borderId="0" xfId="0" applyFont="1" applyFill="1" applyAlignment="1">
      <alignment horizontal="center" vertical="center"/>
    </xf>
    <xf numFmtId="0" fontId="18" fillId="3" borderId="0" xfId="0" applyFont="1" applyFill="1" applyAlignment="1">
      <alignment horizontal="center"/>
    </xf>
    <xf numFmtId="3" fontId="18" fillId="3" borderId="0" xfId="0" applyNumberFormat="1" applyFont="1" applyFill="1" applyAlignment="1">
      <alignment horizontal="center"/>
    </xf>
    <xf numFmtId="3" fontId="18" fillId="3" borderId="1" xfId="0" applyNumberFormat="1" applyFont="1" applyFill="1" applyBorder="1" applyAlignment="1">
      <alignment horizontal="center" vertical="center"/>
    </xf>
    <xf numFmtId="3" fontId="18" fillId="3" borderId="0" xfId="0" applyNumberFormat="1" applyFont="1" applyFill="1"/>
    <xf numFmtId="3" fontId="18" fillId="3" borderId="1" xfId="0" applyNumberFormat="1" applyFont="1" applyFill="1" applyBorder="1" applyAlignment="1">
      <alignment vertical="center"/>
    </xf>
    <xf numFmtId="3" fontId="15" fillId="3" borderId="1" xfId="0" applyNumberFormat="1" applyFont="1" applyFill="1" applyBorder="1" applyAlignment="1">
      <alignment horizontal="center" vertical="center"/>
    </xf>
    <xf numFmtId="3" fontId="15" fillId="3" borderId="1" xfId="0" applyNumberFormat="1" applyFont="1" applyFill="1" applyBorder="1" applyAlignment="1">
      <alignment horizontal="left" vertical="center" wrapText="1"/>
    </xf>
    <xf numFmtId="3" fontId="15" fillId="3" borderId="1" xfId="0" applyNumberFormat="1" applyFont="1" applyFill="1" applyBorder="1" applyAlignment="1">
      <alignment vertical="center"/>
    </xf>
    <xf numFmtId="3" fontId="15" fillId="3" borderId="0" xfId="0" applyNumberFormat="1" applyFont="1" applyFill="1"/>
    <xf numFmtId="3" fontId="15" fillId="3" borderId="1" xfId="0" applyNumberFormat="1" applyFont="1" applyFill="1" applyBorder="1"/>
    <xf numFmtId="3" fontId="18" fillId="3" borderId="1" xfId="0" applyNumberFormat="1" applyFont="1" applyFill="1" applyBorder="1" applyAlignment="1">
      <alignment horizontal="left" vertical="center" wrapText="1"/>
    </xf>
    <xf numFmtId="167" fontId="18" fillId="3" borderId="0" xfId="0" applyNumberFormat="1" applyFont="1" applyFill="1"/>
    <xf numFmtId="0" fontId="15" fillId="3" borderId="1" xfId="0" applyFont="1" applyFill="1" applyBorder="1" applyAlignment="1">
      <alignment vertical="center" wrapText="1"/>
    </xf>
    <xf numFmtId="167" fontId="15" fillId="3" borderId="0" xfId="0" applyNumberFormat="1" applyFont="1" applyFill="1"/>
    <xf numFmtId="0" fontId="15" fillId="3" borderId="0" xfId="0" applyFont="1" applyFill="1"/>
    <xf numFmtId="0" fontId="15" fillId="3" borderId="1" xfId="0" applyFont="1" applyFill="1" applyBorder="1" applyAlignment="1">
      <alignment horizontal="left" vertical="center" wrapText="1"/>
    </xf>
    <xf numFmtId="3" fontId="15" fillId="3" borderId="1" xfId="0" applyNumberFormat="1" applyFont="1" applyFill="1" applyBorder="1" applyAlignment="1">
      <alignment vertical="center" wrapText="1"/>
    </xf>
    <xf numFmtId="3" fontId="18" fillId="3" borderId="1" xfId="0" applyNumberFormat="1" applyFont="1" applyFill="1" applyBorder="1" applyAlignment="1">
      <alignment horizontal="center" vertical="center" wrapText="1"/>
    </xf>
    <xf numFmtId="3" fontId="18" fillId="3" borderId="1" xfId="0" applyNumberFormat="1" applyFont="1" applyFill="1" applyBorder="1" applyAlignment="1">
      <alignment vertical="center" wrapText="1"/>
    </xf>
    <xf numFmtId="3" fontId="18" fillId="3" borderId="1" xfId="0" applyNumberFormat="1" applyFont="1" applyFill="1" applyBorder="1" applyAlignment="1">
      <alignment horizontal="right" vertical="center" wrapText="1"/>
    </xf>
    <xf numFmtId="167" fontId="18" fillId="3" borderId="1" xfId="0" applyNumberFormat="1" applyFont="1" applyFill="1" applyBorder="1" applyAlignment="1">
      <alignment horizontal="right" vertical="center" wrapText="1"/>
    </xf>
    <xf numFmtId="3" fontId="15" fillId="3" borderId="7" xfId="0" applyNumberFormat="1" applyFont="1" applyFill="1" applyBorder="1" applyAlignment="1">
      <alignment horizontal="left" vertical="center" wrapText="1"/>
    </xf>
    <xf numFmtId="167" fontId="15" fillId="3" borderId="1" xfId="0" applyNumberFormat="1" applyFont="1" applyFill="1" applyBorder="1" applyAlignment="1">
      <alignment horizontal="right" vertical="center" wrapText="1"/>
    </xf>
    <xf numFmtId="3" fontId="15" fillId="3" borderId="7" xfId="0" applyNumberFormat="1" applyFont="1" applyFill="1" applyBorder="1" applyAlignment="1">
      <alignment vertical="center"/>
    </xf>
    <xf numFmtId="3" fontId="15" fillId="3" borderId="6" xfId="0" applyNumberFormat="1" applyFont="1" applyFill="1" applyBorder="1" applyAlignment="1">
      <alignment vertical="center"/>
    </xf>
    <xf numFmtId="167" fontId="15" fillId="3" borderId="1" xfId="0" applyNumberFormat="1" applyFont="1" applyFill="1" applyBorder="1" applyAlignment="1">
      <alignment vertical="center"/>
    </xf>
    <xf numFmtId="3" fontId="15" fillId="3" borderId="4" xfId="0" applyNumberFormat="1" applyFont="1" applyFill="1" applyBorder="1" applyAlignment="1">
      <alignment vertical="center"/>
    </xf>
    <xf numFmtId="0" fontId="18" fillId="3" borderId="1" xfId="18" applyFont="1" applyFill="1" applyBorder="1" applyAlignment="1">
      <alignment horizontal="left" vertical="center" wrapText="1"/>
    </xf>
    <xf numFmtId="0" fontId="18" fillId="3" borderId="1" xfId="18" applyFont="1" applyFill="1" applyBorder="1" applyAlignment="1">
      <alignment vertical="center" wrapText="1"/>
    </xf>
    <xf numFmtId="167" fontId="18" fillId="3" borderId="1" xfId="0" applyNumberFormat="1" applyFont="1" applyFill="1" applyBorder="1" applyAlignment="1">
      <alignment vertical="center"/>
    </xf>
    <xf numFmtId="0" fontId="15" fillId="3" borderId="1" xfId="18" applyFont="1" applyFill="1" applyBorder="1" applyAlignment="1">
      <alignment vertical="center" wrapText="1"/>
    </xf>
    <xf numFmtId="3" fontId="15" fillId="3" borderId="7" xfId="0" applyNumberFormat="1" applyFont="1" applyFill="1" applyBorder="1" applyAlignment="1">
      <alignment horizontal="center" vertical="center"/>
    </xf>
    <xf numFmtId="167" fontId="15" fillId="3" borderId="7" xfId="0" applyNumberFormat="1" applyFont="1" applyFill="1" applyBorder="1" applyAlignment="1">
      <alignment vertical="center"/>
    </xf>
    <xf numFmtId="0" fontId="43" fillId="3" borderId="0" xfId="0" applyFont="1" applyFill="1"/>
    <xf numFmtId="0" fontId="13" fillId="3" borderId="0" xfId="0" applyFont="1" applyFill="1" applyAlignment="1">
      <alignment horizontal="center" vertical="center"/>
    </xf>
    <xf numFmtId="0" fontId="13" fillId="3" borderId="0" xfId="0" applyFont="1" applyFill="1" applyAlignment="1">
      <alignment vertical="center"/>
    </xf>
    <xf numFmtId="0" fontId="42" fillId="3" borderId="8" xfId="0" applyFont="1" applyFill="1" applyBorder="1" applyAlignment="1">
      <alignment horizontal="center" vertical="center" wrapText="1"/>
    </xf>
    <xf numFmtId="0" fontId="13" fillId="3" borderId="0" xfId="0" applyFont="1" applyFill="1" applyAlignment="1">
      <alignment vertical="center" wrapText="1"/>
    </xf>
    <xf numFmtId="0" fontId="44" fillId="3" borderId="1" xfId="18" applyFont="1" applyFill="1" applyBorder="1" applyAlignment="1">
      <alignment horizontal="center" vertical="center" wrapText="1"/>
    </xf>
    <xf numFmtId="0" fontId="44" fillId="3" borderId="1" xfId="18" applyFont="1" applyFill="1" applyBorder="1" applyAlignment="1">
      <alignment horizontal="left" vertical="center" wrapText="1"/>
    </xf>
    <xf numFmtId="0" fontId="45" fillId="3" borderId="1" xfId="18" applyFont="1" applyFill="1" applyBorder="1" applyAlignment="1">
      <alignment horizontal="center" vertical="center" wrapText="1"/>
    </xf>
    <xf numFmtId="0" fontId="45" fillId="3" borderId="1" xfId="18" applyFont="1" applyFill="1" applyBorder="1" applyAlignment="1">
      <alignment horizontal="left" vertical="center" wrapText="1"/>
    </xf>
    <xf numFmtId="0" fontId="44" fillId="3" borderId="1" xfId="0" applyFont="1" applyFill="1" applyBorder="1" applyAlignment="1">
      <alignment horizontal="center" vertical="center"/>
    </xf>
    <xf numFmtId="3" fontId="44" fillId="3" borderId="1" xfId="17" applyNumberFormat="1" applyFont="1" applyFill="1" applyBorder="1" applyAlignment="1">
      <alignment vertical="center" wrapText="1"/>
    </xf>
    <xf numFmtId="0" fontId="45" fillId="3" borderId="1" xfId="0" applyFont="1" applyFill="1" applyBorder="1" applyAlignment="1">
      <alignment horizontal="center" vertical="center"/>
    </xf>
    <xf numFmtId="3" fontId="45" fillId="3" borderId="1" xfId="17" applyNumberFormat="1" applyFont="1" applyFill="1" applyBorder="1" applyAlignment="1">
      <alignment vertical="center" wrapText="1"/>
    </xf>
    <xf numFmtId="0" fontId="45" fillId="3" borderId="7" xfId="0" applyFont="1" applyFill="1" applyBorder="1" applyAlignment="1">
      <alignment horizontal="center" vertical="center"/>
    </xf>
    <xf numFmtId="3" fontId="45" fillId="3" borderId="7" xfId="17" applyNumberFormat="1" applyFont="1" applyFill="1" applyBorder="1" applyAlignment="1">
      <alignment vertical="center" wrapText="1"/>
    </xf>
    <xf numFmtId="3" fontId="44" fillId="3" borderId="1" xfId="0" applyNumberFormat="1" applyFont="1" applyFill="1" applyBorder="1" applyAlignment="1">
      <alignment horizontal="right" vertical="center"/>
    </xf>
    <xf numFmtId="3" fontId="45" fillId="3" borderId="1" xfId="0" applyNumberFormat="1" applyFont="1" applyFill="1" applyBorder="1" applyAlignment="1">
      <alignment horizontal="right" vertical="center"/>
    </xf>
    <xf numFmtId="3" fontId="45" fillId="3" borderId="7" xfId="0" applyNumberFormat="1" applyFont="1" applyFill="1" applyBorder="1" applyAlignment="1">
      <alignment horizontal="right" vertical="center"/>
    </xf>
    <xf numFmtId="0" fontId="80" fillId="3" borderId="0" xfId="0" applyFont="1" applyFill="1"/>
    <xf numFmtId="0" fontId="47" fillId="3" borderId="0" xfId="0" applyFont="1" applyFill="1"/>
    <xf numFmtId="0" fontId="48" fillId="3" borderId="0" xfId="0" applyFont="1" applyFill="1"/>
    <xf numFmtId="0" fontId="81" fillId="3" borderId="0" xfId="0" applyFont="1" applyFill="1" applyAlignment="1">
      <alignment horizontal="center"/>
    </xf>
    <xf numFmtId="0" fontId="81" fillId="3" borderId="0" xfId="0" applyFont="1" applyFill="1"/>
    <xf numFmtId="3" fontId="15" fillId="3" borderId="1" xfId="0" applyNumberFormat="1" applyFont="1" applyFill="1" applyBorder="1" applyAlignment="1">
      <alignment horizontal="center" vertical="center" wrapText="1"/>
    </xf>
    <xf numFmtId="3" fontId="13" fillId="3" borderId="0" xfId="0" applyNumberFormat="1" applyFont="1" applyFill="1" applyAlignment="1">
      <alignment horizontal="center" vertical="center"/>
    </xf>
    <xf numFmtId="0" fontId="45" fillId="3" borderId="1" xfId="0" applyFont="1" applyFill="1" applyBorder="1" applyAlignment="1">
      <alignment vertical="center" wrapText="1"/>
    </xf>
    <xf numFmtId="3" fontId="45" fillId="3" borderId="7" xfId="0" applyNumberFormat="1" applyFont="1" applyFill="1" applyBorder="1" applyAlignment="1">
      <alignment vertical="center"/>
    </xf>
    <xf numFmtId="3" fontId="18" fillId="3" borderId="6" xfId="0" applyNumberFormat="1" applyFont="1" applyFill="1" applyBorder="1" applyAlignment="1">
      <alignment horizontal="center" vertical="center" wrapText="1"/>
    </xf>
    <xf numFmtId="0" fontId="49" fillId="3" borderId="8" xfId="0" applyFont="1" applyFill="1" applyBorder="1" applyAlignment="1">
      <alignment horizontal="right"/>
    </xf>
    <xf numFmtId="3" fontId="18" fillId="5" borderId="1" xfId="0" applyNumberFormat="1" applyFont="1" applyFill="1" applyBorder="1" applyAlignment="1">
      <alignment horizontal="center" vertical="center"/>
    </xf>
    <xf numFmtId="3" fontId="18" fillId="5" borderId="1" xfId="0" applyNumberFormat="1" applyFont="1" applyFill="1" applyBorder="1" applyAlignment="1">
      <alignment horizontal="left" vertical="center" wrapText="1"/>
    </xf>
    <xf numFmtId="3" fontId="18" fillId="5" borderId="1" xfId="0" applyNumberFormat="1" applyFont="1" applyFill="1" applyBorder="1" applyAlignment="1">
      <alignment vertical="center"/>
    </xf>
    <xf numFmtId="167" fontId="18" fillId="5" borderId="1" xfId="0" applyNumberFormat="1" applyFont="1" applyFill="1" applyBorder="1" applyAlignment="1">
      <alignment vertical="center"/>
    </xf>
    <xf numFmtId="0" fontId="18" fillId="3" borderId="5" xfId="0" applyFont="1" applyFill="1" applyBorder="1" applyAlignment="1">
      <alignment horizontal="center" vertical="center" wrapText="1"/>
    </xf>
    <xf numFmtId="0" fontId="18" fillId="3" borderId="9" xfId="0" applyFont="1" applyFill="1" applyBorder="1" applyAlignment="1">
      <alignment horizontal="center" vertical="center" wrapText="1"/>
    </xf>
    <xf numFmtId="0" fontId="18" fillId="5" borderId="6" xfId="0" applyFont="1" applyFill="1" applyBorder="1" applyAlignment="1">
      <alignment horizontal="left" vertical="center" wrapText="1"/>
    </xf>
    <xf numFmtId="0" fontId="18" fillId="5" borderId="6" xfId="0" applyFont="1" applyFill="1" applyBorder="1" applyAlignment="1">
      <alignment horizontal="center" vertical="center" wrapText="1"/>
    </xf>
    <xf numFmtId="3" fontId="18" fillId="5" borderId="3" xfId="0" applyNumberFormat="1" applyFont="1" applyFill="1" applyBorder="1" applyAlignment="1">
      <alignment horizontal="right" vertical="center" wrapText="1"/>
    </xf>
    <xf numFmtId="0" fontId="18" fillId="5" borderId="3" xfId="0" applyFont="1" applyFill="1" applyBorder="1" applyAlignment="1">
      <alignment horizontal="center" vertical="center" wrapText="1"/>
    </xf>
    <xf numFmtId="3" fontId="18" fillId="3" borderId="4" xfId="0" applyNumberFormat="1" applyFont="1" applyFill="1" applyBorder="1" applyAlignment="1">
      <alignment vertical="center"/>
    </xf>
    <xf numFmtId="3" fontId="15" fillId="3" borderId="3" xfId="0" applyNumberFormat="1" applyFont="1" applyFill="1" applyBorder="1" applyAlignment="1">
      <alignment horizontal="center" vertical="center"/>
    </xf>
    <xf numFmtId="0" fontId="42" fillId="3" borderId="1" xfId="0" applyFont="1" applyFill="1" applyBorder="1" applyAlignment="1">
      <alignment horizontal="center" vertical="center" wrapText="1"/>
    </xf>
    <xf numFmtId="0" fontId="42" fillId="3" borderId="1" xfId="0" applyFont="1" applyFill="1" applyBorder="1" applyAlignment="1">
      <alignment vertical="center" wrapText="1"/>
    </xf>
    <xf numFmtId="3" fontId="42" fillId="3" borderId="1" xfId="0" applyNumberFormat="1" applyFont="1" applyFill="1" applyBorder="1" applyAlignment="1">
      <alignment vertical="center"/>
    </xf>
    <xf numFmtId="3" fontId="37" fillId="3" borderId="1" xfId="0" applyNumberFormat="1" applyFont="1" applyFill="1" applyBorder="1" applyAlignment="1">
      <alignment horizontal="center" vertical="center"/>
    </xf>
    <xf numFmtId="0" fontId="50" fillId="3" borderId="0" xfId="0" applyFont="1" applyFill="1"/>
    <xf numFmtId="0" fontId="15" fillId="3" borderId="1" xfId="0" applyFont="1" applyFill="1" applyBorder="1" applyAlignment="1">
      <alignment horizontal="center" vertical="center" wrapText="1"/>
    </xf>
    <xf numFmtId="3" fontId="15" fillId="3" borderId="1" xfId="18" applyNumberFormat="1" applyFont="1" applyFill="1" applyBorder="1" applyAlignment="1">
      <alignment horizontal="right" vertical="center" wrapText="1"/>
    </xf>
    <xf numFmtId="4" fontId="15" fillId="3" borderId="1" xfId="18" applyNumberFormat="1" applyFont="1" applyFill="1" applyBorder="1" applyAlignment="1">
      <alignment horizontal="right" vertical="center" wrapText="1"/>
    </xf>
    <xf numFmtId="3" fontId="15" fillId="3" borderId="1" xfId="0" applyNumberFormat="1" applyFont="1" applyFill="1" applyBorder="1" applyAlignment="1">
      <alignment horizontal="right" vertical="center"/>
    </xf>
    <xf numFmtId="0" fontId="17" fillId="6" borderId="0" xfId="0" applyFont="1" applyFill="1" applyAlignment="1">
      <alignment horizontal="center" vertical="center"/>
    </xf>
    <xf numFmtId="0" fontId="81" fillId="6" borderId="0" xfId="0" applyFont="1" applyFill="1" applyAlignment="1">
      <alignment horizontal="center" vertical="center"/>
    </xf>
    <xf numFmtId="0" fontId="13" fillId="6" borderId="0" xfId="0" applyFont="1" applyFill="1" applyAlignment="1">
      <alignment horizontal="center" vertical="center"/>
    </xf>
    <xf numFmtId="0" fontId="80" fillId="6" borderId="0" xfId="0" applyFont="1" applyFill="1" applyAlignment="1">
      <alignment horizontal="center" vertical="center"/>
    </xf>
    <xf numFmtId="0" fontId="47" fillId="6" borderId="0" xfId="0" applyFont="1" applyFill="1" applyAlignment="1">
      <alignment horizontal="center" vertical="center"/>
    </xf>
    <xf numFmtId="0" fontId="48" fillId="6" borderId="0" xfId="0" applyFont="1" applyFill="1" applyAlignment="1">
      <alignment horizontal="center" vertical="center"/>
    </xf>
    <xf numFmtId="0" fontId="43" fillId="6" borderId="0" xfId="0" applyFont="1" applyFill="1" applyAlignment="1">
      <alignment horizontal="center" vertical="center"/>
    </xf>
    <xf numFmtId="3" fontId="13" fillId="6" borderId="0" xfId="0" applyNumberFormat="1" applyFont="1" applyFill="1" applyAlignment="1">
      <alignment horizontal="center" vertical="center"/>
    </xf>
    <xf numFmtId="3" fontId="15" fillId="3" borderId="7" xfId="0" applyNumberFormat="1" applyFont="1" applyFill="1" applyBorder="1" applyAlignment="1">
      <alignment vertical="center" wrapText="1"/>
    </xf>
    <xf numFmtId="0" fontId="18" fillId="3" borderId="6" xfId="0" applyFont="1" applyFill="1" applyBorder="1" applyAlignment="1">
      <alignment horizontal="center" vertical="center" wrapText="1"/>
    </xf>
    <xf numFmtId="3" fontId="18" fillId="3" borderId="4" xfId="0" applyNumberFormat="1" applyFont="1" applyFill="1" applyBorder="1" applyAlignment="1">
      <alignment horizontal="left" vertical="center" wrapText="1"/>
    </xf>
    <xf numFmtId="3" fontId="18" fillId="5" borderId="1" xfId="0" applyNumberFormat="1" applyFont="1" applyFill="1" applyBorder="1" applyAlignment="1">
      <alignment horizontal="center" vertical="center" wrapText="1"/>
    </xf>
    <xf numFmtId="3" fontId="15" fillId="3" borderId="1" xfId="0" applyNumberFormat="1" applyFont="1" applyFill="1" applyBorder="1" applyAlignment="1">
      <alignment horizontal="left" vertical="center"/>
    </xf>
    <xf numFmtId="0" fontId="82" fillId="0" borderId="0" xfId="0" applyFont="1"/>
    <xf numFmtId="0" fontId="48" fillId="3" borderId="0" xfId="0" applyFont="1" applyFill="1" applyAlignment="1">
      <alignment horizontal="center" vertical="center"/>
    </xf>
    <xf numFmtId="0" fontId="15" fillId="3" borderId="7" xfId="0" applyFont="1" applyFill="1" applyBorder="1" applyAlignment="1">
      <alignment vertical="center" wrapText="1"/>
    </xf>
    <xf numFmtId="0" fontId="46" fillId="3" borderId="1" xfId="0" applyFont="1" applyFill="1" applyBorder="1" applyAlignment="1">
      <alignment vertical="center" wrapText="1"/>
    </xf>
    <xf numFmtId="3" fontId="19" fillId="3" borderId="7" xfId="0" applyNumberFormat="1" applyFont="1" applyFill="1" applyBorder="1" applyAlignment="1">
      <alignment horizontal="center" vertical="center"/>
    </xf>
    <xf numFmtId="0" fontId="17" fillId="3" borderId="0" xfId="0" applyFont="1" applyFill="1" applyAlignment="1">
      <alignment vertical="top" wrapText="1"/>
    </xf>
    <xf numFmtId="0" fontId="17" fillId="3" borderId="0" xfId="0" applyFont="1" applyFill="1" applyAlignment="1">
      <alignment horizontal="center" vertical="center"/>
    </xf>
    <xf numFmtId="3" fontId="36" fillId="3" borderId="0" xfId="0" applyNumberFormat="1" applyFont="1" applyFill="1" applyAlignment="1">
      <alignment horizontal="center"/>
    </xf>
    <xf numFmtId="3" fontId="37" fillId="3" borderId="8" xfId="0" applyNumberFormat="1" applyFont="1" applyFill="1" applyBorder="1"/>
    <xf numFmtId="3" fontId="8" fillId="3" borderId="5" xfId="0" applyNumberFormat="1" applyFont="1" applyFill="1" applyBorder="1" applyAlignment="1">
      <alignment horizontal="center" vertical="center" wrapText="1"/>
    </xf>
    <xf numFmtId="3" fontId="8" fillId="3" borderId="5" xfId="0" applyNumberFormat="1" applyFont="1" applyFill="1" applyBorder="1" applyAlignment="1">
      <alignment horizontal="center" vertical="center"/>
    </xf>
    <xf numFmtId="167" fontId="18" fillId="3" borderId="6" xfId="11" applyNumberFormat="1" applyFont="1" applyFill="1" applyBorder="1" applyAlignment="1">
      <alignment horizontal="center" vertical="center" wrapText="1"/>
    </xf>
    <xf numFmtId="3" fontId="18" fillId="3" borderId="6" xfId="11" applyNumberFormat="1" applyFont="1" applyFill="1" applyBorder="1" applyAlignment="1">
      <alignment horizontal="center" vertical="center" wrapText="1"/>
    </xf>
    <xf numFmtId="0" fontId="43" fillId="3" borderId="0" xfId="0" applyFont="1" applyFill="1" applyAlignment="1">
      <alignment horizontal="center" vertical="center"/>
    </xf>
    <xf numFmtId="0" fontId="46" fillId="3" borderId="1" xfId="18" applyFont="1" applyFill="1" applyBorder="1" applyAlignment="1">
      <alignment horizontal="center" vertical="center" wrapText="1"/>
    </xf>
    <xf numFmtId="0" fontId="46" fillId="3" borderId="1" xfId="18" applyFont="1" applyFill="1" applyBorder="1" applyAlignment="1">
      <alignment horizontal="left" vertical="center" wrapText="1"/>
    </xf>
    <xf numFmtId="3" fontId="46" fillId="3" borderId="1" xfId="0" applyNumberFormat="1" applyFont="1" applyFill="1" applyBorder="1" applyAlignment="1">
      <alignment horizontal="right" vertical="center"/>
    </xf>
    <xf numFmtId="3" fontId="46" fillId="3" borderId="1" xfId="0" applyNumberFormat="1" applyFont="1" applyFill="1" applyBorder="1" applyAlignment="1">
      <alignment vertical="center"/>
    </xf>
    <xf numFmtId="0" fontId="47" fillId="3" borderId="0" xfId="0" applyFont="1" applyFill="1" applyAlignment="1">
      <alignment horizontal="center" vertical="center"/>
    </xf>
    <xf numFmtId="3" fontId="46" fillId="3" borderId="6" xfId="11" applyNumberFormat="1" applyFont="1" applyFill="1" applyBorder="1" applyAlignment="1">
      <alignment horizontal="center" vertical="center" wrapText="1"/>
    </xf>
    <xf numFmtId="3" fontId="51" fillId="3" borderId="1" xfId="0" applyNumberFormat="1" applyFont="1" applyFill="1" applyBorder="1" applyAlignment="1">
      <alignment horizontal="right" vertical="center"/>
    </xf>
    <xf numFmtId="0" fontId="0" fillId="4" borderId="0" xfId="0" applyFill="1"/>
    <xf numFmtId="0" fontId="0" fillId="0" borderId="5" xfId="0" applyBorder="1"/>
    <xf numFmtId="0" fontId="22" fillId="0" borderId="5" xfId="0" applyFont="1" applyBorder="1"/>
    <xf numFmtId="0" fontId="35" fillId="0" borderId="5" xfId="0" applyFont="1" applyBorder="1" applyAlignment="1">
      <alignment horizontal="center" wrapText="1"/>
    </xf>
    <xf numFmtId="0" fontId="0" fillId="7" borderId="5" xfId="0" applyFill="1" applyBorder="1"/>
    <xf numFmtId="0" fontId="35" fillId="0" borderId="5" xfId="0" applyFont="1" applyBorder="1" applyAlignment="1">
      <alignment horizontal="center"/>
    </xf>
    <xf numFmtId="0" fontId="0" fillId="4" borderId="5" xfId="0" applyFill="1" applyBorder="1"/>
    <xf numFmtId="0" fontId="0" fillId="8" borderId="5" xfId="0" applyFill="1" applyBorder="1"/>
    <xf numFmtId="0" fontId="0" fillId="3" borderId="5" xfId="0" applyFill="1" applyBorder="1"/>
    <xf numFmtId="0" fontId="0" fillId="9" borderId="5" xfId="0" applyFill="1" applyBorder="1"/>
    <xf numFmtId="0" fontId="51" fillId="3" borderId="1" xfId="18" applyFont="1" applyFill="1" applyBorder="1" applyAlignment="1">
      <alignment horizontal="center" vertical="center" wrapText="1"/>
    </xf>
    <xf numFmtId="0" fontId="51" fillId="3" borderId="1" xfId="18" applyFont="1" applyFill="1" applyBorder="1" applyAlignment="1">
      <alignment horizontal="left" vertical="center" wrapText="1"/>
    </xf>
    <xf numFmtId="3" fontId="51" fillId="3" borderId="1" xfId="0" applyNumberFormat="1" applyFont="1" applyFill="1" applyBorder="1" applyAlignment="1">
      <alignment vertical="center"/>
    </xf>
    <xf numFmtId="3" fontId="51" fillId="3" borderId="6" xfId="11" applyNumberFormat="1" applyFont="1" applyFill="1" applyBorder="1" applyAlignment="1">
      <alignment horizontal="center" vertical="center" wrapText="1"/>
    </xf>
    <xf numFmtId="0" fontId="22" fillId="0" borderId="0" xfId="0" applyFont="1" applyAlignment="1">
      <alignment wrapText="1"/>
    </xf>
    <xf numFmtId="3" fontId="83" fillId="3" borderId="0" xfId="0" applyNumberFormat="1" applyFont="1" applyFill="1" applyAlignment="1">
      <alignment horizontal="center" vertical="center" wrapText="1"/>
    </xf>
    <xf numFmtId="168" fontId="84" fillId="3" borderId="0" xfId="0" applyNumberFormat="1" applyFont="1" applyFill="1" applyAlignment="1">
      <alignment horizontal="right" vertical="center" wrapText="1"/>
    </xf>
    <xf numFmtId="167" fontId="84" fillId="3" borderId="0" xfId="0" applyNumberFormat="1" applyFont="1" applyFill="1" applyAlignment="1">
      <alignment horizontal="right" vertical="center" wrapText="1"/>
    </xf>
    <xf numFmtId="3" fontId="81" fillId="3" borderId="0" xfId="0" applyNumberFormat="1" applyFont="1" applyFill="1" applyAlignment="1">
      <alignment horizontal="center"/>
    </xf>
    <xf numFmtId="3" fontId="81" fillId="3" borderId="0" xfId="0" applyNumberFormat="1" applyFont="1" applyFill="1"/>
    <xf numFmtId="3" fontId="18" fillId="3" borderId="6" xfId="0" applyNumberFormat="1" applyFont="1" applyFill="1" applyBorder="1" applyAlignment="1">
      <alignment horizontal="right" vertical="center" wrapText="1"/>
    </xf>
    <xf numFmtId="0" fontId="46" fillId="3" borderId="2" xfId="18" applyFont="1" applyFill="1" applyBorder="1" applyAlignment="1">
      <alignment horizontal="center" vertical="center" wrapText="1"/>
    </xf>
    <xf numFmtId="0" fontId="46" fillId="3" borderId="2" xfId="18" applyFont="1" applyFill="1" applyBorder="1" applyAlignment="1">
      <alignment horizontal="left" vertical="center" wrapText="1"/>
    </xf>
    <xf numFmtId="3" fontId="46" fillId="3" borderId="2" xfId="0" applyNumberFormat="1" applyFont="1" applyFill="1" applyBorder="1" applyAlignment="1">
      <alignment horizontal="right" vertical="center"/>
    </xf>
    <xf numFmtId="3" fontId="46" fillId="3" borderId="2" xfId="0" applyNumberFormat="1" applyFont="1" applyFill="1" applyBorder="1" applyAlignment="1">
      <alignment vertical="center"/>
    </xf>
    <xf numFmtId="3" fontId="18" fillId="7" borderId="1" xfId="0" applyNumberFormat="1" applyFont="1" applyFill="1" applyBorder="1" applyAlignment="1">
      <alignment horizontal="center" vertical="center"/>
    </xf>
    <xf numFmtId="3" fontId="18" fillId="7" borderId="1" xfId="0" applyNumberFormat="1" applyFont="1" applyFill="1" applyBorder="1" applyAlignment="1">
      <alignment horizontal="left" vertical="center" wrapText="1"/>
    </xf>
    <xf numFmtId="3" fontId="18" fillId="7" borderId="1" xfId="0" applyNumberFormat="1" applyFont="1" applyFill="1" applyBorder="1" applyAlignment="1">
      <alignment vertical="center"/>
    </xf>
    <xf numFmtId="3" fontId="15" fillId="7" borderId="1" xfId="0" applyNumberFormat="1" applyFont="1" applyFill="1" applyBorder="1" applyAlignment="1">
      <alignment vertical="center" wrapText="1"/>
    </xf>
    <xf numFmtId="3" fontId="46" fillId="3" borderId="1" xfId="0" applyNumberFormat="1" applyFont="1" applyFill="1" applyBorder="1" applyAlignment="1">
      <alignment horizontal="center" vertical="center"/>
    </xf>
    <xf numFmtId="3" fontId="79" fillId="3" borderId="1" xfId="0" applyNumberFormat="1" applyFont="1" applyFill="1" applyBorder="1" applyAlignment="1">
      <alignment horizontal="center" vertical="center"/>
    </xf>
    <xf numFmtId="0" fontId="6" fillId="3" borderId="0" xfId="0" applyFont="1" applyFill="1"/>
    <xf numFmtId="0" fontId="55" fillId="3" borderId="9" xfId="0" applyFont="1" applyFill="1" applyBorder="1" applyAlignment="1">
      <alignment horizontal="center" vertical="center"/>
    </xf>
    <xf numFmtId="49" fontId="55" fillId="3" borderId="5" xfId="0" applyNumberFormat="1" applyFont="1" applyFill="1" applyBorder="1" applyAlignment="1">
      <alignment horizontal="center" vertical="center"/>
    </xf>
    <xf numFmtId="3" fontId="55" fillId="3" borderId="5" xfId="0" applyNumberFormat="1" applyFont="1" applyFill="1" applyBorder="1" applyAlignment="1">
      <alignment horizontal="center" vertical="center" wrapText="1"/>
    </xf>
    <xf numFmtId="3" fontId="55" fillId="3" borderId="5" xfId="0" applyNumberFormat="1" applyFont="1" applyFill="1" applyBorder="1" applyAlignment="1">
      <alignment horizontal="center" vertical="center"/>
    </xf>
    <xf numFmtId="3" fontId="55" fillId="3" borderId="10" xfId="0" applyNumberFormat="1" applyFont="1" applyFill="1" applyBorder="1" applyAlignment="1">
      <alignment horizontal="center" vertical="center" wrapText="1"/>
    </xf>
    <xf numFmtId="3" fontId="8" fillId="3" borderId="0" xfId="0" applyNumberFormat="1" applyFont="1" applyFill="1" applyAlignment="1">
      <alignment horizontal="center"/>
    </xf>
    <xf numFmtId="0" fontId="56" fillId="3" borderId="5" xfId="0" applyFont="1" applyFill="1" applyBorder="1" applyAlignment="1">
      <alignment vertical="center"/>
    </xf>
    <xf numFmtId="0" fontId="56" fillId="3" borderId="5" xfId="0" applyFont="1" applyFill="1" applyBorder="1" applyAlignment="1">
      <alignment horizontal="center" vertical="center"/>
    </xf>
    <xf numFmtId="3" fontId="6" fillId="3" borderId="4" xfId="0" applyNumberFormat="1" applyFont="1" applyFill="1" applyBorder="1" applyAlignment="1">
      <alignment horizontal="center" vertical="center"/>
    </xf>
    <xf numFmtId="3" fontId="8" fillId="3" borderId="4" xfId="0" applyNumberFormat="1" applyFont="1" applyFill="1" applyBorder="1" applyAlignment="1">
      <alignment horizontal="center" vertical="center"/>
    </xf>
    <xf numFmtId="3" fontId="6" fillId="3" borderId="1" xfId="0" applyNumberFormat="1" applyFont="1" applyFill="1" applyBorder="1" applyAlignment="1">
      <alignment horizontal="justify" vertical="center" wrapText="1"/>
    </xf>
    <xf numFmtId="3" fontId="6" fillId="3" borderId="4" xfId="0" applyNumberFormat="1" applyFont="1" applyFill="1" applyBorder="1" applyAlignment="1">
      <alignment horizontal="right" vertical="center"/>
    </xf>
    <xf numFmtId="3" fontId="6" fillId="3" borderId="7" xfId="0" applyNumberFormat="1" applyFont="1" applyFill="1" applyBorder="1" applyAlignment="1">
      <alignment horizontal="center" vertical="center" wrapText="1"/>
    </xf>
    <xf numFmtId="3" fontId="6" fillId="3" borderId="7" xfId="0" applyNumberFormat="1" applyFont="1" applyFill="1" applyBorder="1" applyAlignment="1">
      <alignment vertical="center" wrapText="1"/>
    </xf>
    <xf numFmtId="14" fontId="6" fillId="3" borderId="11" xfId="0" applyNumberFormat="1" applyFont="1" applyFill="1" applyBorder="1" applyAlignment="1">
      <alignment horizontal="center" vertical="center" wrapText="1"/>
    </xf>
    <xf numFmtId="3" fontId="8" fillId="3" borderId="5" xfId="0" applyNumberFormat="1" applyFont="1" applyFill="1" applyBorder="1" applyAlignment="1">
      <alignment horizontal="justify" vertical="center" wrapText="1"/>
    </xf>
    <xf numFmtId="3" fontId="8" fillId="3" borderId="5" xfId="0" applyNumberFormat="1" applyFont="1" applyFill="1" applyBorder="1" applyAlignment="1">
      <alignment horizontal="justify" vertical="center"/>
    </xf>
    <xf numFmtId="0" fontId="47" fillId="3" borderId="0" xfId="0" applyFont="1" applyFill="1" applyAlignment="1">
      <alignment horizontal="center"/>
    </xf>
    <xf numFmtId="3" fontId="79" fillId="3" borderId="4" xfId="0" applyNumberFormat="1" applyFont="1" applyFill="1" applyBorder="1" applyAlignment="1">
      <alignment horizontal="justify" vertical="center" wrapText="1"/>
    </xf>
    <xf numFmtId="3" fontId="79" fillId="3" borderId="4" xfId="0" applyNumberFormat="1" applyFont="1" applyFill="1" applyBorder="1" applyAlignment="1">
      <alignment horizontal="center" vertical="center"/>
    </xf>
    <xf numFmtId="3" fontId="79" fillId="3" borderId="1" xfId="0" applyNumberFormat="1" applyFont="1" applyFill="1" applyBorder="1" applyAlignment="1">
      <alignment horizontal="justify" vertical="center" wrapText="1"/>
    </xf>
    <xf numFmtId="0" fontId="79" fillId="3" borderId="1" xfId="11" applyFont="1" applyFill="1" applyBorder="1" applyAlignment="1">
      <alignment horizontal="center" vertical="center" wrapText="1"/>
    </xf>
    <xf numFmtId="3" fontId="79" fillId="3" borderId="1" xfId="0" applyNumberFormat="1" applyFont="1" applyFill="1" applyBorder="1" applyAlignment="1">
      <alignment horizontal="center" vertical="center" wrapText="1"/>
    </xf>
    <xf numFmtId="0" fontId="79" fillId="3" borderId="7" xfId="0" applyFont="1" applyFill="1" applyBorder="1" applyAlignment="1">
      <alignment horizontal="center" vertical="center" wrapText="1"/>
    </xf>
    <xf numFmtId="14" fontId="79" fillId="3" borderId="11" xfId="0" applyNumberFormat="1" applyFont="1" applyFill="1" applyBorder="1" applyAlignment="1">
      <alignment horizontal="center" vertical="center" wrapText="1"/>
    </xf>
    <xf numFmtId="3" fontId="79" fillId="3" borderId="7" xfId="0" applyNumberFormat="1" applyFont="1" applyFill="1" applyBorder="1" applyAlignment="1">
      <alignment horizontal="justify" vertical="center" wrapText="1"/>
    </xf>
    <xf numFmtId="3" fontId="79" fillId="3" borderId="7" xfId="0" applyNumberFormat="1" applyFont="1" applyFill="1" applyBorder="1" applyAlignment="1">
      <alignment horizontal="center" vertical="center" wrapText="1"/>
    </xf>
    <xf numFmtId="3" fontId="79" fillId="3" borderId="7" xfId="0" applyNumberFormat="1" applyFont="1" applyFill="1" applyBorder="1" applyAlignment="1">
      <alignment horizontal="center" vertical="center"/>
    </xf>
    <xf numFmtId="3" fontId="85" fillId="3" borderId="5" xfId="0" applyNumberFormat="1" applyFont="1" applyFill="1" applyBorder="1" applyAlignment="1">
      <alignment horizontal="center" vertical="center"/>
    </xf>
    <xf numFmtId="0" fontId="47" fillId="0" borderId="0" xfId="0" applyFont="1"/>
    <xf numFmtId="0" fontId="8" fillId="0" borderId="5" xfId="0" applyFont="1" applyBorder="1" applyAlignment="1">
      <alignment horizontal="center" vertical="center"/>
    </xf>
    <xf numFmtId="0" fontId="8" fillId="3" borderId="5" xfId="0" applyFont="1" applyFill="1" applyBorder="1" applyAlignment="1">
      <alignment horizontal="center" vertical="center" wrapText="1"/>
    </xf>
    <xf numFmtId="171" fontId="6" fillId="0" borderId="5" xfId="2" applyNumberFormat="1" applyFont="1" applyBorder="1"/>
    <xf numFmtId="171" fontId="8" fillId="0" borderId="5" xfId="2" applyNumberFormat="1" applyFont="1" applyBorder="1" applyAlignment="1">
      <alignment vertical="center"/>
    </xf>
    <xf numFmtId="171" fontId="6" fillId="0" borderId="5" xfId="2" applyNumberFormat="1" applyFont="1" applyBorder="1" applyAlignment="1">
      <alignment vertical="center"/>
    </xf>
    <xf numFmtId="171" fontId="8" fillId="0" borderId="5" xfId="2" applyNumberFormat="1" applyFont="1" applyBorder="1" applyAlignment="1">
      <alignment horizontal="center" vertical="center"/>
    </xf>
    <xf numFmtId="171" fontId="85" fillId="0" borderId="5" xfId="2" applyNumberFormat="1" applyFont="1" applyBorder="1"/>
    <xf numFmtId="166" fontId="6" fillId="0" borderId="5" xfId="2" applyFont="1" applyBorder="1"/>
    <xf numFmtId="3" fontId="86" fillId="3" borderId="7" xfId="0" applyNumberFormat="1" applyFont="1" applyFill="1" applyBorder="1" applyAlignment="1">
      <alignment horizontal="center" vertical="center" wrapText="1"/>
    </xf>
    <xf numFmtId="3" fontId="6" fillId="3" borderId="1" xfId="0" applyNumberFormat="1" applyFont="1" applyFill="1" applyBorder="1" applyAlignment="1">
      <alignment horizontal="center" vertical="center" wrapText="1"/>
    </xf>
    <xf numFmtId="3" fontId="79" fillId="3" borderId="1" xfId="0" applyNumberFormat="1" applyFont="1" applyFill="1" applyBorder="1" applyAlignment="1">
      <alignment horizontal="left" vertical="center" wrapText="1"/>
    </xf>
    <xf numFmtId="3" fontId="79" fillId="3" borderId="1" xfId="0" applyNumberFormat="1" applyFont="1" applyFill="1" applyBorder="1" applyAlignment="1">
      <alignment vertical="center"/>
    </xf>
    <xf numFmtId="14" fontId="79" fillId="3" borderId="1" xfId="0" applyNumberFormat="1" applyFont="1" applyFill="1" applyBorder="1" applyAlignment="1">
      <alignment horizontal="center" vertical="center"/>
    </xf>
    <xf numFmtId="3" fontId="87" fillId="3" borderId="7" xfId="0" applyNumberFormat="1" applyFont="1" applyFill="1" applyBorder="1" applyAlignment="1">
      <alignment horizontal="justify" vertical="center" wrapText="1"/>
    </xf>
    <xf numFmtId="3" fontId="8" fillId="3" borderId="0" xfId="0" applyNumberFormat="1" applyFont="1" applyFill="1" applyAlignment="1">
      <alignment vertical="center"/>
    </xf>
    <xf numFmtId="0" fontId="4" fillId="3" borderId="9" xfId="0" applyFont="1" applyFill="1" applyBorder="1" applyAlignment="1">
      <alignment horizontal="center" vertical="center" wrapText="1"/>
    </xf>
    <xf numFmtId="3" fontId="3" fillId="3" borderId="1" xfId="0" applyNumberFormat="1" applyFont="1" applyFill="1" applyBorder="1" applyAlignment="1">
      <alignment horizontal="justify" vertical="center" wrapText="1"/>
    </xf>
    <xf numFmtId="3" fontId="3" fillId="3" borderId="1" xfId="0" applyNumberFormat="1" applyFont="1" applyFill="1" applyBorder="1" applyAlignment="1">
      <alignment vertical="center"/>
    </xf>
    <xf numFmtId="3" fontId="3" fillId="3" borderId="1" xfId="0" applyNumberFormat="1" applyFont="1" applyFill="1" applyBorder="1" applyAlignment="1">
      <alignment horizontal="center" vertical="center"/>
    </xf>
    <xf numFmtId="3" fontId="3" fillId="3" borderId="1" xfId="0" applyNumberFormat="1" applyFont="1" applyFill="1" applyBorder="1" applyAlignment="1">
      <alignment horizontal="right" vertical="center" wrapText="1"/>
    </xf>
    <xf numFmtId="3" fontId="3" fillId="3" borderId="1" xfId="2" applyNumberFormat="1" applyFont="1" applyFill="1" applyBorder="1" applyAlignment="1">
      <alignment vertical="center"/>
    </xf>
    <xf numFmtId="171" fontId="3" fillId="3" borderId="1" xfId="2" applyNumberFormat="1" applyFont="1" applyFill="1" applyBorder="1" applyAlignment="1">
      <alignment horizontal="right" vertical="center" wrapText="1"/>
    </xf>
    <xf numFmtId="3" fontId="4" fillId="3" borderId="1" xfId="0" applyNumberFormat="1" applyFont="1" applyFill="1" applyBorder="1" applyAlignment="1">
      <alignment horizontal="center" vertical="center"/>
    </xf>
    <xf numFmtId="3" fontId="4" fillId="3" borderId="1" xfId="0" applyNumberFormat="1" applyFont="1" applyFill="1" applyBorder="1" applyAlignment="1">
      <alignment horizontal="justify" vertical="center" wrapText="1"/>
    </xf>
    <xf numFmtId="3" fontId="4" fillId="3" borderId="1" xfId="0" applyNumberFormat="1" applyFont="1" applyFill="1" applyBorder="1" applyAlignment="1">
      <alignment vertical="center"/>
    </xf>
    <xf numFmtId="3" fontId="3" fillId="3" borderId="1" xfId="0" applyNumberFormat="1" applyFont="1" applyFill="1" applyBorder="1" applyAlignment="1">
      <alignment horizontal="justify" vertical="center"/>
    </xf>
    <xf numFmtId="3" fontId="3" fillId="3" borderId="1" xfId="2" applyNumberFormat="1" applyFont="1" applyFill="1" applyBorder="1" applyAlignment="1">
      <alignment horizontal="right" vertical="center" wrapText="1"/>
    </xf>
    <xf numFmtId="3" fontId="3" fillId="3" borderId="1" xfId="0" applyNumberFormat="1" applyFont="1" applyFill="1" applyBorder="1" applyAlignment="1">
      <alignment horizontal="center" vertical="center" wrapText="1"/>
    </xf>
    <xf numFmtId="0" fontId="3" fillId="3" borderId="1" xfId="0" applyFont="1" applyFill="1" applyBorder="1" applyAlignment="1">
      <alignment horizontal="justify" vertical="center" wrapText="1"/>
    </xf>
    <xf numFmtId="3" fontId="4" fillId="3" borderId="1" xfId="0" applyNumberFormat="1" applyFont="1" applyFill="1" applyBorder="1" applyAlignment="1">
      <alignment horizontal="justify" vertical="center"/>
    </xf>
    <xf numFmtId="0" fontId="4" fillId="3" borderId="1" xfId="0" applyFont="1" applyFill="1" applyBorder="1" applyAlignment="1">
      <alignment vertical="center" wrapText="1"/>
    </xf>
    <xf numFmtId="3" fontId="4" fillId="3" borderId="1" xfId="2" applyNumberFormat="1" applyFont="1" applyFill="1" applyBorder="1" applyAlignment="1">
      <alignment vertical="center"/>
    </xf>
    <xf numFmtId="3" fontId="4" fillId="3" borderId="1" xfId="0" applyNumberFormat="1" applyFont="1" applyFill="1" applyBorder="1" applyAlignment="1">
      <alignment horizontal="center" vertical="center" wrapText="1"/>
    </xf>
    <xf numFmtId="3" fontId="39" fillId="3" borderId="1" xfId="0" applyNumberFormat="1" applyFont="1" applyFill="1" applyBorder="1" applyAlignment="1">
      <alignment horizontal="center" vertical="center"/>
    </xf>
    <xf numFmtId="3" fontId="39" fillId="3" borderId="1" xfId="0" applyNumberFormat="1" applyFont="1" applyFill="1" applyBorder="1" applyAlignment="1">
      <alignment horizontal="justify" vertical="center" wrapText="1"/>
    </xf>
    <xf numFmtId="3" fontId="39" fillId="3" borderId="1" xfId="0" applyNumberFormat="1" applyFont="1" applyFill="1" applyBorder="1" applyAlignment="1">
      <alignment vertical="center" wrapText="1"/>
    </xf>
    <xf numFmtId="166" fontId="39" fillId="3" borderId="1" xfId="2" applyFont="1" applyFill="1" applyBorder="1" applyAlignment="1">
      <alignment vertical="center" wrapText="1"/>
    </xf>
    <xf numFmtId="3" fontId="39" fillId="3" borderId="1" xfId="0" applyNumberFormat="1" applyFont="1" applyFill="1" applyBorder="1" applyAlignment="1">
      <alignment vertical="center"/>
    </xf>
    <xf numFmtId="3" fontId="3" fillId="3" borderId="1" xfId="0" applyNumberFormat="1" applyFont="1" applyFill="1" applyBorder="1" applyAlignment="1">
      <alignment vertical="center" wrapText="1"/>
    </xf>
    <xf numFmtId="3" fontId="4" fillId="3" borderId="1" xfId="0" applyNumberFormat="1" applyFont="1" applyFill="1" applyBorder="1" applyAlignment="1">
      <alignment vertical="center" wrapText="1"/>
    </xf>
    <xf numFmtId="171" fontId="4" fillId="3" borderId="1" xfId="2" applyNumberFormat="1" applyFont="1" applyFill="1" applyBorder="1" applyAlignment="1">
      <alignment horizontal="right" vertical="center" wrapText="1"/>
    </xf>
    <xf numFmtId="3" fontId="39" fillId="3" borderId="1" xfId="0" applyNumberFormat="1" applyFont="1" applyFill="1" applyBorder="1" applyAlignment="1">
      <alignment horizontal="justify" vertical="center"/>
    </xf>
    <xf numFmtId="3" fontId="39" fillId="3" borderId="1" xfId="2" applyNumberFormat="1" applyFont="1" applyFill="1" applyBorder="1" applyAlignment="1">
      <alignment vertical="center" wrapText="1"/>
    </xf>
    <xf numFmtId="3" fontId="4" fillId="3" borderId="3" xfId="0" applyNumberFormat="1" applyFont="1" applyFill="1" applyBorder="1" applyAlignment="1">
      <alignment horizontal="right" vertical="center" wrapText="1"/>
    </xf>
    <xf numFmtId="0" fontId="4" fillId="3" borderId="1" xfId="18" applyFont="1" applyFill="1" applyBorder="1" applyAlignment="1">
      <alignment horizontal="justify" vertical="center" wrapText="1"/>
    </xf>
    <xf numFmtId="3" fontId="3" fillId="3" borderId="1" xfId="0" applyNumberFormat="1" applyFont="1" applyFill="1" applyBorder="1" applyAlignment="1">
      <alignment horizontal="right" vertical="center"/>
    </xf>
    <xf numFmtId="3" fontId="3" fillId="3" borderId="1" xfId="17" applyNumberFormat="1" applyFont="1" applyFill="1" applyBorder="1" applyAlignment="1">
      <alignment vertical="center" wrapText="1"/>
    </xf>
    <xf numFmtId="0" fontId="4" fillId="3" borderId="1" xfId="18" applyFont="1" applyFill="1" applyBorder="1" applyAlignment="1">
      <alignment vertical="center" wrapText="1"/>
    </xf>
    <xf numFmtId="3" fontId="4" fillId="3" borderId="1" xfId="0" applyNumberFormat="1" applyFont="1" applyFill="1" applyBorder="1" applyAlignment="1">
      <alignment horizontal="right" vertical="center" wrapText="1"/>
    </xf>
    <xf numFmtId="3" fontId="39" fillId="3" borderId="1" xfId="17" applyNumberFormat="1" applyFont="1" applyFill="1" applyBorder="1" applyAlignment="1">
      <alignment vertical="center" wrapText="1"/>
    </xf>
    <xf numFmtId="3" fontId="3" fillId="3" borderId="1" xfId="0" applyNumberFormat="1" applyFont="1" applyFill="1" applyBorder="1" applyAlignment="1">
      <alignment horizontal="left" vertical="center" wrapText="1"/>
    </xf>
    <xf numFmtId="0" fontId="3" fillId="3" borderId="1" xfId="0" applyFont="1" applyFill="1" applyBorder="1"/>
    <xf numFmtId="3" fontId="79" fillId="0" borderId="1" xfId="0" applyNumberFormat="1" applyFont="1" applyBorder="1" applyAlignment="1">
      <alignment horizontal="center" vertical="center"/>
    </xf>
    <xf numFmtId="3" fontId="79" fillId="0" borderId="1" xfId="0" applyNumberFormat="1" applyFont="1" applyBorder="1" applyAlignment="1">
      <alignment horizontal="center" vertical="center" wrapText="1"/>
    </xf>
    <xf numFmtId="14" fontId="79" fillId="0" borderId="1" xfId="0" applyNumberFormat="1" applyFont="1" applyBorder="1" applyAlignment="1">
      <alignment horizontal="center" vertical="center"/>
    </xf>
    <xf numFmtId="3" fontId="79" fillId="0" borderId="1" xfId="0" applyNumberFormat="1" applyFont="1" applyBorder="1" applyAlignment="1">
      <alignment horizontal="left" vertical="center" wrapText="1"/>
    </xf>
    <xf numFmtId="3" fontId="79" fillId="0" borderId="1" xfId="0" applyNumberFormat="1" applyFont="1" applyBorder="1" applyAlignment="1">
      <alignment vertical="center"/>
    </xf>
    <xf numFmtId="167" fontId="79" fillId="0" borderId="1" xfId="0" applyNumberFormat="1" applyFont="1" applyBorder="1" applyAlignment="1">
      <alignment horizontal="center" vertical="center" wrapText="1"/>
    </xf>
    <xf numFmtId="3" fontId="79" fillId="3" borderId="10" xfId="0" applyNumberFormat="1" applyFont="1" applyFill="1" applyBorder="1" applyAlignment="1">
      <alignment vertical="center"/>
    </xf>
    <xf numFmtId="0" fontId="79" fillId="0" borderId="1" xfId="0" applyFont="1" applyBorder="1" applyAlignment="1">
      <alignment horizontal="center" vertical="center" wrapText="1"/>
    </xf>
    <xf numFmtId="3" fontId="8" fillId="4" borderId="5" xfId="0" applyNumberFormat="1" applyFont="1" applyFill="1" applyBorder="1" applyAlignment="1">
      <alignment horizontal="center" vertical="center"/>
    </xf>
    <xf numFmtId="3" fontId="6" fillId="3" borderId="1" xfId="0" applyNumberFormat="1" applyFont="1" applyFill="1" applyBorder="1" applyAlignment="1">
      <alignment horizontal="center" vertical="center"/>
    </xf>
    <xf numFmtId="3" fontId="6" fillId="3" borderId="7" xfId="0" applyNumberFormat="1" applyFont="1" applyFill="1" applyBorder="1" applyAlignment="1">
      <alignment horizontal="justify" vertical="center" wrapText="1"/>
    </xf>
    <xf numFmtId="3" fontId="14" fillId="3" borderId="0" xfId="0" applyNumberFormat="1" applyFont="1" applyFill="1" applyAlignment="1">
      <alignment horizontal="center"/>
    </xf>
    <xf numFmtId="171" fontId="3" fillId="3" borderId="1" xfId="2" applyNumberFormat="1" applyFont="1" applyFill="1" applyBorder="1" applyAlignment="1">
      <alignment horizontal="right" vertical="center"/>
    </xf>
    <xf numFmtId="0" fontId="13" fillId="3" borderId="1" xfId="0" applyFont="1" applyFill="1" applyBorder="1"/>
    <xf numFmtId="173" fontId="6" fillId="3" borderId="2" xfId="0" applyNumberFormat="1" applyFont="1" applyFill="1" applyBorder="1" applyAlignment="1">
      <alignment horizontal="center" vertical="center" wrapText="1"/>
    </xf>
    <xf numFmtId="3" fontId="79" fillId="3" borderId="2" xfId="0" applyNumberFormat="1" applyFont="1" applyFill="1" applyBorder="1" applyAlignment="1">
      <alignment vertical="center"/>
    </xf>
    <xf numFmtId="3" fontId="79" fillId="3" borderId="2" xfId="0" applyNumberFormat="1" applyFont="1" applyFill="1" applyBorder="1" applyAlignment="1">
      <alignment horizontal="justify" vertical="center" wrapText="1"/>
    </xf>
    <xf numFmtId="3" fontId="79" fillId="3" borderId="4" xfId="0" applyNumberFormat="1" applyFont="1" applyFill="1" applyBorder="1" applyAlignment="1">
      <alignment horizontal="center" vertical="center" wrapText="1"/>
    </xf>
    <xf numFmtId="14" fontId="79" fillId="3" borderId="4" xfId="0" applyNumberFormat="1" applyFont="1" applyFill="1" applyBorder="1" applyAlignment="1">
      <alignment horizontal="center" vertical="center" wrapText="1"/>
    </xf>
    <xf numFmtId="3" fontId="85" fillId="3" borderId="2" xfId="0" applyNumberFormat="1" applyFont="1" applyFill="1" applyBorder="1" applyAlignment="1">
      <alignment horizontal="right" vertical="center" wrapText="1"/>
    </xf>
    <xf numFmtId="3" fontId="8" fillId="3" borderId="2" xfId="0" applyNumberFormat="1" applyFont="1" applyFill="1" applyBorder="1" applyAlignment="1">
      <alignment horizontal="right" vertical="center" wrapText="1"/>
    </xf>
    <xf numFmtId="3" fontId="8" fillId="3" borderId="2" xfId="0" applyNumberFormat="1" applyFont="1" applyFill="1" applyBorder="1" applyAlignment="1">
      <alignment horizontal="center" vertical="center" wrapText="1"/>
    </xf>
    <xf numFmtId="3" fontId="7" fillId="3" borderId="1" xfId="0" applyNumberFormat="1" applyFont="1" applyFill="1" applyBorder="1" applyAlignment="1">
      <alignment horizontal="center" vertical="center"/>
    </xf>
    <xf numFmtId="3" fontId="60" fillId="3" borderId="1" xfId="0" applyNumberFormat="1" applyFont="1" applyFill="1" applyBorder="1" applyAlignment="1">
      <alignment horizontal="center" vertical="center"/>
    </xf>
    <xf numFmtId="0" fontId="7" fillId="3" borderId="1" xfId="0" applyFont="1" applyFill="1" applyBorder="1" applyAlignment="1">
      <alignment horizontal="justify" vertical="center" wrapText="1"/>
    </xf>
    <xf numFmtId="171" fontId="7" fillId="3" borderId="1" xfId="2" applyNumberFormat="1" applyFont="1" applyFill="1" applyBorder="1" applyAlignment="1">
      <alignment horizontal="right" vertical="center" wrapText="1"/>
    </xf>
    <xf numFmtId="3" fontId="59" fillId="3" borderId="1" xfId="0" applyNumberFormat="1" applyFont="1" applyFill="1" applyBorder="1" applyAlignment="1">
      <alignment vertical="center" wrapText="1"/>
    </xf>
    <xf numFmtId="3" fontId="59" fillId="3" borderId="1" xfId="0" applyNumberFormat="1" applyFont="1" applyFill="1" applyBorder="1" applyAlignment="1">
      <alignment vertical="center"/>
    </xf>
    <xf numFmtId="3" fontId="59" fillId="3" borderId="1" xfId="2" applyNumberFormat="1" applyFont="1" applyFill="1" applyBorder="1" applyAlignment="1">
      <alignment vertical="center"/>
    </xf>
    <xf numFmtId="3" fontId="7" fillId="3" borderId="1" xfId="0" applyNumberFormat="1" applyFont="1" applyFill="1" applyBorder="1" applyAlignment="1">
      <alignment horizontal="justify" vertical="center" wrapText="1"/>
    </xf>
    <xf numFmtId="3" fontId="7" fillId="3" borderId="1" xfId="0" applyNumberFormat="1" applyFont="1" applyFill="1" applyBorder="1" applyAlignment="1">
      <alignment vertical="center" wrapText="1"/>
    </xf>
    <xf numFmtId="3" fontId="7" fillId="3" borderId="1" xfId="0" applyNumberFormat="1" applyFont="1" applyFill="1" applyBorder="1" applyAlignment="1">
      <alignment vertical="center"/>
    </xf>
    <xf numFmtId="0" fontId="0" fillId="0" borderId="0" xfId="0" applyAlignment="1">
      <alignment wrapText="1"/>
    </xf>
    <xf numFmtId="0" fontId="6" fillId="3" borderId="1" xfId="11" applyFont="1" applyFill="1" applyBorder="1" applyAlignment="1">
      <alignment horizontal="center" vertical="center" wrapText="1"/>
    </xf>
    <xf numFmtId="170" fontId="6" fillId="0" borderId="0" xfId="0" applyNumberFormat="1" applyFont="1"/>
    <xf numFmtId="3" fontId="8" fillId="3" borderId="1" xfId="0" applyNumberFormat="1" applyFont="1" applyFill="1" applyBorder="1" applyAlignment="1">
      <alignment horizontal="justify" vertical="center" wrapText="1"/>
    </xf>
    <xf numFmtId="3" fontId="8" fillId="3" borderId="1" xfId="0" applyNumberFormat="1" applyFont="1" applyFill="1" applyBorder="1" applyAlignment="1">
      <alignment vertical="center" wrapText="1"/>
    </xf>
    <xf numFmtId="3" fontId="59" fillId="3" borderId="1" xfId="0" applyNumberFormat="1" applyFont="1" applyFill="1" applyBorder="1" applyAlignment="1">
      <alignment horizontal="center" vertical="center"/>
    </xf>
    <xf numFmtId="3" fontId="59" fillId="3" borderId="1" xfId="0" applyNumberFormat="1" applyFont="1" applyFill="1" applyBorder="1" applyAlignment="1">
      <alignment horizontal="justify" vertical="center" wrapText="1"/>
    </xf>
    <xf numFmtId="0" fontId="61" fillId="3" borderId="1" xfId="0" applyFont="1" applyFill="1" applyBorder="1" applyAlignment="1">
      <alignment horizontal="center" vertical="center"/>
    </xf>
    <xf numFmtId="0" fontId="61" fillId="3" borderId="1" xfId="18" applyFont="1" applyFill="1" applyBorder="1" applyAlignment="1">
      <alignment vertical="center" wrapText="1"/>
    </xf>
    <xf numFmtId="0" fontId="61" fillId="3" borderId="1" xfId="0" applyFont="1" applyFill="1" applyBorder="1" applyAlignment="1">
      <alignment vertical="center" wrapText="1"/>
    </xf>
    <xf numFmtId="3" fontId="61" fillId="3" borderId="1" xfId="0" applyNumberFormat="1" applyFont="1" applyFill="1" applyBorder="1" applyAlignment="1">
      <alignment vertical="center"/>
    </xf>
    <xf numFmtId="3" fontId="61" fillId="3" borderId="1" xfId="0" applyNumberFormat="1" applyFont="1" applyFill="1" applyBorder="1" applyAlignment="1">
      <alignment horizontal="right" vertical="center"/>
    </xf>
    <xf numFmtId="3" fontId="4" fillId="3" borderId="1" xfId="18" applyNumberFormat="1" applyFont="1" applyFill="1" applyBorder="1" applyAlignment="1">
      <alignment vertical="center" wrapText="1"/>
    </xf>
    <xf numFmtId="3" fontId="3" fillId="3" borderId="1" xfId="2" applyNumberFormat="1" applyFont="1" applyFill="1" applyBorder="1" applyAlignment="1">
      <alignment horizontal="right" vertical="center"/>
    </xf>
    <xf numFmtId="3" fontId="6" fillId="3" borderId="1" xfId="0" applyNumberFormat="1" applyFont="1" applyFill="1" applyBorder="1" applyAlignment="1">
      <alignment horizontal="right" vertical="center"/>
    </xf>
    <xf numFmtId="173" fontId="6" fillId="3" borderId="1" xfId="0" applyNumberFormat="1" applyFont="1" applyFill="1" applyBorder="1" applyAlignment="1">
      <alignment horizontal="center" vertical="center" wrapText="1"/>
    </xf>
    <xf numFmtId="3" fontId="8" fillId="3" borderId="1" xfId="0" applyNumberFormat="1" applyFont="1" applyFill="1" applyBorder="1" applyAlignment="1">
      <alignment horizontal="center" vertical="center"/>
    </xf>
    <xf numFmtId="3" fontId="8" fillId="3" borderId="1" xfId="0" applyNumberFormat="1" applyFont="1" applyFill="1" applyBorder="1" applyAlignment="1">
      <alignment horizontal="right" vertical="center" wrapText="1"/>
    </xf>
    <xf numFmtId="3" fontId="88" fillId="3" borderId="1" xfId="0" applyNumberFormat="1" applyFont="1" applyFill="1" applyBorder="1" applyAlignment="1">
      <alignment horizontal="right" vertical="center" wrapText="1"/>
    </xf>
    <xf numFmtId="0" fontId="88" fillId="3" borderId="1" xfId="0" applyFont="1" applyFill="1" applyBorder="1" applyAlignment="1">
      <alignment vertical="center" wrapText="1"/>
    </xf>
    <xf numFmtId="3" fontId="88" fillId="3" borderId="1" xfId="2" applyNumberFormat="1" applyFont="1" applyFill="1" applyBorder="1" applyAlignment="1">
      <alignment horizontal="right" vertical="center" wrapText="1"/>
    </xf>
    <xf numFmtId="3" fontId="88" fillId="3" borderId="1" xfId="2" applyNumberFormat="1" applyFont="1" applyFill="1" applyBorder="1" applyAlignment="1">
      <alignment vertical="center"/>
    </xf>
    <xf numFmtId="3" fontId="88" fillId="3" borderId="1" xfId="0" applyNumberFormat="1" applyFont="1" applyFill="1" applyBorder="1" applyAlignment="1">
      <alignment vertical="center"/>
    </xf>
    <xf numFmtId="0" fontId="6" fillId="3" borderId="1" xfId="0" applyFont="1" applyFill="1" applyBorder="1" applyAlignment="1">
      <alignment horizontal="center" vertical="center"/>
    </xf>
    <xf numFmtId="0" fontId="6" fillId="3" borderId="1" xfId="18" applyFont="1" applyFill="1" applyBorder="1" applyAlignment="1">
      <alignment vertical="center" wrapText="1"/>
    </xf>
    <xf numFmtId="0" fontId="4" fillId="3" borderId="3" xfId="0" applyFont="1" applyFill="1" applyBorder="1" applyAlignment="1">
      <alignment horizontal="center" vertical="center" wrapText="1"/>
    </xf>
    <xf numFmtId="0" fontId="4" fillId="3" borderId="1" xfId="0" applyFont="1" applyFill="1" applyBorder="1" applyAlignment="1">
      <alignment horizontal="justify" vertical="center" wrapText="1"/>
    </xf>
    <xf numFmtId="171" fontId="88" fillId="3" borderId="1" xfId="2" applyNumberFormat="1" applyFont="1" applyFill="1" applyBorder="1" applyAlignment="1">
      <alignment horizontal="right" vertical="center" wrapText="1"/>
    </xf>
    <xf numFmtId="3" fontId="4" fillId="3" borderId="1" xfId="0" applyNumberFormat="1" applyFont="1" applyFill="1" applyBorder="1" applyAlignment="1">
      <alignment horizontal="left" vertical="center" wrapText="1"/>
    </xf>
    <xf numFmtId="3" fontId="3" fillId="3" borderId="1" xfId="18" applyNumberFormat="1" applyFont="1" applyFill="1" applyBorder="1" applyAlignment="1">
      <alignment horizontal="right" vertical="center" wrapText="1"/>
    </xf>
    <xf numFmtId="0" fontId="4" fillId="3" borderId="1" xfId="18" applyFont="1" applyFill="1" applyBorder="1" applyAlignment="1">
      <alignment horizontal="left" vertical="center" wrapText="1"/>
    </xf>
    <xf numFmtId="0" fontId="62" fillId="3" borderId="1" xfId="18" applyFont="1" applyFill="1" applyBorder="1" applyAlignment="1">
      <alignment horizontal="justify" vertical="center" wrapText="1"/>
    </xf>
    <xf numFmtId="3" fontId="4" fillId="3" borderId="1" xfId="18" applyNumberFormat="1" applyFont="1" applyFill="1" applyBorder="1" applyAlignment="1">
      <alignment horizontal="right" vertical="center" wrapText="1"/>
    </xf>
    <xf numFmtId="169" fontId="6" fillId="3" borderId="1" xfId="0" applyNumberFormat="1" applyFont="1" applyFill="1" applyBorder="1" applyAlignment="1">
      <alignment horizontal="right" vertical="center" wrapText="1"/>
    </xf>
    <xf numFmtId="0" fontId="90" fillId="3" borderId="1" xfId="0" applyFont="1" applyFill="1" applyBorder="1" applyAlignment="1">
      <alignment vertical="center"/>
    </xf>
    <xf numFmtId="0" fontId="4" fillId="3" borderId="1" xfId="0" applyFont="1" applyFill="1" applyBorder="1" applyAlignment="1">
      <alignment horizontal="center" vertical="center"/>
    </xf>
    <xf numFmtId="3" fontId="4" fillId="3" borderId="1" xfId="0" applyNumberFormat="1" applyFont="1" applyFill="1" applyBorder="1" applyAlignment="1">
      <alignment horizontal="right" vertical="center"/>
    </xf>
    <xf numFmtId="3" fontId="4" fillId="3" borderId="1" xfId="17" applyNumberFormat="1" applyFont="1" applyFill="1" applyBorder="1" applyAlignment="1">
      <alignment vertical="center" wrapText="1"/>
    </xf>
    <xf numFmtId="0" fontId="3" fillId="3" borderId="2" xfId="0" applyFont="1" applyFill="1" applyBorder="1" applyAlignment="1">
      <alignment horizontal="center" vertical="center"/>
    </xf>
    <xf numFmtId="3" fontId="79" fillId="3" borderId="2" xfId="0" applyNumberFormat="1" applyFont="1" applyFill="1" applyBorder="1" applyAlignment="1">
      <alignment horizontal="left" vertical="center" wrapText="1"/>
    </xf>
    <xf numFmtId="0" fontId="13" fillId="3" borderId="2" xfId="0" applyFont="1" applyFill="1" applyBorder="1"/>
    <xf numFmtId="3" fontId="3" fillId="3" borderId="2" xfId="0" applyNumberFormat="1" applyFont="1" applyFill="1" applyBorder="1" applyAlignment="1">
      <alignment vertical="center"/>
    </xf>
    <xf numFmtId="3" fontId="6" fillId="3" borderId="1" xfId="2" applyNumberFormat="1" applyFont="1" applyFill="1" applyBorder="1" applyAlignment="1">
      <alignment vertical="center" wrapText="1"/>
    </xf>
    <xf numFmtId="3" fontId="6" fillId="3" borderId="7" xfId="0" applyNumberFormat="1" applyFont="1" applyFill="1" applyBorder="1" applyAlignment="1">
      <alignment horizontal="center" vertical="center"/>
    </xf>
    <xf numFmtId="0" fontId="34" fillId="0" borderId="0" xfId="0" applyFont="1" applyAlignment="1">
      <alignment horizontal="center"/>
    </xf>
    <xf numFmtId="3" fontId="4" fillId="3" borderId="9" xfId="0" applyNumberFormat="1" applyFont="1" applyFill="1" applyBorder="1" applyAlignment="1">
      <alignment horizontal="center" vertical="center" wrapText="1"/>
    </xf>
    <xf numFmtId="3" fontId="4" fillId="3" borderId="10" xfId="0" applyNumberFormat="1" applyFont="1" applyFill="1" applyBorder="1" applyAlignment="1">
      <alignment horizontal="center" vertical="center" wrapText="1"/>
    </xf>
    <xf numFmtId="167" fontId="23" fillId="0" borderId="0" xfId="0" applyNumberFormat="1" applyFont="1"/>
    <xf numFmtId="4" fontId="6" fillId="3" borderId="1" xfId="0" applyNumberFormat="1" applyFont="1" applyFill="1" applyBorder="1" applyAlignment="1">
      <alignment horizontal="right" vertical="center"/>
    </xf>
    <xf numFmtId="0" fontId="6" fillId="3" borderId="7" xfId="0" applyFont="1" applyFill="1" applyBorder="1" applyAlignment="1">
      <alignment horizontal="center" vertical="center" wrapText="1"/>
    </xf>
    <xf numFmtId="3" fontId="6" fillId="0" borderId="1" xfId="0" applyNumberFormat="1" applyFont="1" applyBorder="1" applyAlignment="1">
      <alignment horizontal="center" vertical="center" wrapText="1"/>
    </xf>
    <xf numFmtId="167" fontId="6" fillId="0" borderId="1" xfId="0" applyNumberFormat="1" applyFont="1" applyBorder="1" applyAlignment="1">
      <alignment horizontal="center" vertical="center" wrapText="1"/>
    </xf>
    <xf numFmtId="3" fontId="6" fillId="3" borderId="4" xfId="0" applyNumberFormat="1" applyFont="1" applyFill="1" applyBorder="1" applyAlignment="1">
      <alignment horizontal="center" vertical="center" wrapText="1"/>
    </xf>
    <xf numFmtId="14" fontId="6" fillId="3" borderId="4" xfId="0" applyNumberFormat="1" applyFont="1" applyFill="1" applyBorder="1" applyAlignment="1">
      <alignment horizontal="center" vertical="center"/>
    </xf>
    <xf numFmtId="3" fontId="6" fillId="3" borderId="4" xfId="0" applyNumberFormat="1" applyFont="1" applyFill="1" applyBorder="1" applyAlignment="1">
      <alignment horizontal="left" vertical="center" wrapText="1"/>
    </xf>
    <xf numFmtId="3" fontId="6" fillId="3" borderId="4" xfId="0" applyNumberFormat="1" applyFont="1" applyFill="1" applyBorder="1" applyAlignment="1">
      <alignment vertical="center"/>
    </xf>
    <xf numFmtId="3" fontId="8" fillId="3" borderId="4" xfId="0" applyNumberFormat="1" applyFont="1" applyFill="1" applyBorder="1" applyAlignment="1">
      <alignment horizontal="left" vertical="center" wrapText="1"/>
    </xf>
    <xf numFmtId="3" fontId="8" fillId="3" borderId="4" xfId="0" applyNumberFormat="1" applyFont="1" applyFill="1" applyBorder="1" applyAlignment="1">
      <alignment horizontal="right" vertical="center"/>
    </xf>
    <xf numFmtId="3" fontId="8" fillId="3" borderId="1" xfId="0" applyNumberFormat="1" applyFont="1" applyFill="1" applyBorder="1" applyAlignment="1">
      <alignment horizontal="left" vertical="center" wrapText="1"/>
    </xf>
    <xf numFmtId="3" fontId="6" fillId="3" borderId="1" xfId="11" applyNumberFormat="1" applyFont="1" applyFill="1" applyBorder="1" applyAlignment="1">
      <alignment horizontal="left" vertical="center" wrapText="1"/>
    </xf>
    <xf numFmtId="3" fontId="6" fillId="3" borderId="1" xfId="11" applyNumberFormat="1" applyFont="1" applyFill="1" applyBorder="1" applyAlignment="1">
      <alignment horizontal="center" vertical="center" wrapText="1"/>
    </xf>
    <xf numFmtId="3" fontId="6" fillId="3" borderId="1" xfId="11" applyNumberFormat="1" applyFont="1" applyFill="1" applyBorder="1" applyAlignment="1">
      <alignment horizontal="center" vertical="center"/>
    </xf>
    <xf numFmtId="3" fontId="6" fillId="3" borderId="1" xfId="11" applyNumberFormat="1" applyFont="1" applyFill="1" applyBorder="1" applyAlignment="1">
      <alignment vertical="center"/>
    </xf>
    <xf numFmtId="14" fontId="6" fillId="3" borderId="1" xfId="11" applyNumberFormat="1" applyFont="1" applyFill="1" applyBorder="1" applyAlignment="1">
      <alignment horizontal="center" vertical="center"/>
    </xf>
    <xf numFmtId="167" fontId="14" fillId="3" borderId="0" xfId="0" applyNumberFormat="1" applyFont="1" applyFill="1" applyAlignment="1">
      <alignment horizontal="center"/>
    </xf>
    <xf numFmtId="167" fontId="15" fillId="3" borderId="0" xfId="0" applyNumberFormat="1" applyFont="1" applyFill="1" applyAlignment="1">
      <alignment horizontal="center"/>
    </xf>
    <xf numFmtId="167" fontId="20" fillId="3" borderId="0" xfId="0" applyNumberFormat="1" applyFont="1" applyFill="1" applyAlignment="1">
      <alignment horizontal="center"/>
    </xf>
    <xf numFmtId="167" fontId="5" fillId="3" borderId="0" xfId="0" applyNumberFormat="1" applyFont="1" applyFill="1" applyAlignment="1">
      <alignment horizontal="center"/>
    </xf>
    <xf numFmtId="0" fontId="23" fillId="0" borderId="5" xfId="0" applyFont="1" applyBorder="1"/>
    <xf numFmtId="0" fontId="34" fillId="0" borderId="5" xfId="0" applyFont="1" applyBorder="1"/>
    <xf numFmtId="0" fontId="23" fillId="0" borderId="5" xfId="0" applyFont="1" applyBorder="1" applyAlignment="1">
      <alignment horizontal="center"/>
    </xf>
    <xf numFmtId="0" fontId="34" fillId="0" borderId="5" xfId="0" applyFont="1" applyBorder="1" applyAlignment="1">
      <alignment horizontal="center"/>
    </xf>
    <xf numFmtId="171" fontId="23" fillId="0" borderId="5" xfId="2" applyNumberFormat="1" applyFont="1" applyBorder="1"/>
    <xf numFmtId="171" fontId="23" fillId="0" borderId="5" xfId="0" applyNumberFormat="1" applyFont="1" applyBorder="1"/>
    <xf numFmtId="171" fontId="0" fillId="0" borderId="0" xfId="0" applyNumberFormat="1"/>
    <xf numFmtId="171" fontId="23" fillId="0" borderId="0" xfId="0" applyNumberFormat="1" applyFont="1"/>
    <xf numFmtId="171" fontId="34" fillId="0" borderId="5" xfId="0" applyNumberFormat="1" applyFont="1" applyBorder="1"/>
    <xf numFmtId="0" fontId="23" fillId="0" borderId="5" xfId="0" applyFont="1" applyBorder="1" applyAlignment="1">
      <alignment wrapText="1"/>
    </xf>
    <xf numFmtId="171" fontId="23" fillId="0" borderId="5" xfId="0" applyNumberFormat="1" applyFont="1" applyBorder="1" applyAlignment="1">
      <alignment vertical="center"/>
    </xf>
    <xf numFmtId="0" fontId="64" fillId="0" borderId="0" xfId="0" applyFont="1" applyAlignment="1">
      <alignment horizontal="right"/>
    </xf>
    <xf numFmtId="3" fontId="90" fillId="3" borderId="4" xfId="0" applyNumberFormat="1" applyFont="1" applyFill="1" applyBorder="1" applyAlignment="1">
      <alignment horizontal="justify" vertical="center" wrapText="1"/>
    </xf>
    <xf numFmtId="3" fontId="90" fillId="3" borderId="4" xfId="0" applyNumberFormat="1" applyFont="1" applyFill="1" applyBorder="1" applyAlignment="1">
      <alignment horizontal="center" vertical="center" wrapText="1"/>
    </xf>
    <xf numFmtId="3" fontId="90" fillId="3" borderId="4" xfId="0" applyNumberFormat="1" applyFont="1" applyFill="1" applyBorder="1" applyAlignment="1">
      <alignment horizontal="center" vertical="center"/>
    </xf>
    <xf numFmtId="3" fontId="91" fillId="3" borderId="4" xfId="0" applyNumberFormat="1" applyFont="1" applyFill="1" applyBorder="1" applyAlignment="1">
      <alignment horizontal="center" vertical="center"/>
    </xf>
    <xf numFmtId="3" fontId="91" fillId="3" borderId="0" xfId="0" applyNumberFormat="1" applyFont="1" applyFill="1" applyAlignment="1">
      <alignment horizontal="center"/>
    </xf>
    <xf numFmtId="3" fontId="89" fillId="3" borderId="0" xfId="0" applyNumberFormat="1" applyFont="1" applyFill="1" applyAlignment="1">
      <alignment horizontal="center"/>
    </xf>
    <xf numFmtId="3" fontId="90" fillId="3" borderId="1" xfId="0" applyNumberFormat="1" applyFont="1" applyFill="1" applyBorder="1" applyAlignment="1">
      <alignment horizontal="center" vertical="center"/>
    </xf>
    <xf numFmtId="3" fontId="90" fillId="3" borderId="0" xfId="0" applyNumberFormat="1" applyFont="1" applyFill="1" applyAlignment="1">
      <alignment horizontal="center"/>
    </xf>
    <xf numFmtId="3" fontId="92" fillId="3" borderId="0" xfId="0" applyNumberFormat="1" applyFont="1" applyFill="1" applyAlignment="1">
      <alignment horizontal="center"/>
    </xf>
    <xf numFmtId="3" fontId="90" fillId="3" borderId="1" xfId="0" applyNumberFormat="1" applyFont="1" applyFill="1" applyBorder="1" applyAlignment="1">
      <alignment horizontal="justify" vertical="center" wrapText="1"/>
    </xf>
    <xf numFmtId="3" fontId="90" fillId="3" borderId="1" xfId="0" applyNumberFormat="1" applyFont="1" applyFill="1" applyBorder="1" applyAlignment="1">
      <alignment horizontal="center" vertical="center" wrapText="1"/>
    </xf>
    <xf numFmtId="3" fontId="8" fillId="3" borderId="1" xfId="0" applyNumberFormat="1" applyFont="1" applyFill="1" applyBorder="1" applyAlignment="1">
      <alignment horizontal="right" vertical="center"/>
    </xf>
    <xf numFmtId="0" fontId="90" fillId="3" borderId="7" xfId="18" applyFont="1" applyFill="1" applyBorder="1" applyAlignment="1">
      <alignment vertical="center" wrapText="1"/>
    </xf>
    <xf numFmtId="0" fontId="90" fillId="3" borderId="2" xfId="18" applyFont="1" applyFill="1" applyBorder="1" applyAlignment="1">
      <alignment vertical="center" wrapText="1"/>
    </xf>
    <xf numFmtId="3" fontId="90" fillId="3" borderId="1" xfId="0" applyNumberFormat="1" applyFont="1" applyFill="1" applyBorder="1" applyAlignment="1">
      <alignment vertical="center"/>
    </xf>
    <xf numFmtId="3" fontId="90" fillId="3" borderId="2" xfId="0" applyNumberFormat="1" applyFont="1" applyFill="1" applyBorder="1" applyAlignment="1">
      <alignment vertical="center"/>
    </xf>
    <xf numFmtId="169" fontId="59" fillId="3" borderId="1" xfId="0" applyNumberFormat="1" applyFont="1" applyFill="1" applyBorder="1" applyAlignment="1">
      <alignment horizontal="right" vertical="center" wrapText="1"/>
    </xf>
    <xf numFmtId="3" fontId="59" fillId="3" borderId="1" xfId="0" applyNumberFormat="1" applyFont="1" applyFill="1" applyBorder="1" applyAlignment="1">
      <alignment horizontal="right" vertical="center" wrapText="1"/>
    </xf>
    <xf numFmtId="3" fontId="4" fillId="5" borderId="1" xfId="0" applyNumberFormat="1" applyFont="1" applyFill="1" applyBorder="1" applyAlignment="1">
      <alignment horizontal="center" vertical="center" wrapText="1"/>
    </xf>
    <xf numFmtId="0" fontId="4" fillId="5" borderId="1" xfId="18" applyFont="1" applyFill="1" applyBorder="1" applyAlignment="1">
      <alignment horizontal="justify" vertical="center" wrapText="1"/>
    </xf>
    <xf numFmtId="171" fontId="4" fillId="5" borderId="1" xfId="2" applyNumberFormat="1" applyFont="1" applyFill="1" applyBorder="1" applyAlignment="1">
      <alignment horizontal="right" vertical="center" wrapText="1"/>
    </xf>
    <xf numFmtId="0" fontId="4" fillId="5" borderId="1" xfId="18" applyFont="1" applyFill="1" applyBorder="1" applyAlignment="1">
      <alignment horizontal="left" vertical="center" wrapText="1"/>
    </xf>
    <xf numFmtId="0" fontId="17" fillId="5" borderId="0" xfId="0" applyFont="1" applyFill="1"/>
    <xf numFmtId="3" fontId="4" fillId="3" borderId="14" xfId="0" applyNumberFormat="1" applyFont="1" applyFill="1" applyBorder="1" applyAlignment="1">
      <alignment horizontal="center" vertical="center" wrapText="1"/>
    </xf>
    <xf numFmtId="3" fontId="3" fillId="3" borderId="15" xfId="0" applyNumberFormat="1" applyFont="1" applyFill="1" applyBorder="1" applyAlignment="1">
      <alignment horizontal="center" vertical="center"/>
    </xf>
    <xf numFmtId="3" fontId="19" fillId="3" borderId="15" xfId="0" applyNumberFormat="1" applyFont="1" applyFill="1" applyBorder="1" applyAlignment="1">
      <alignment vertical="center" wrapText="1"/>
    </xf>
    <xf numFmtId="3" fontId="13" fillId="3" borderId="15" xfId="0" applyNumberFormat="1" applyFont="1" applyFill="1" applyBorder="1" applyAlignment="1">
      <alignment vertical="center" wrapText="1"/>
    </xf>
    <xf numFmtId="3" fontId="3" fillId="3" borderId="15" xfId="0" applyNumberFormat="1" applyFont="1" applyFill="1" applyBorder="1" applyAlignment="1">
      <alignment vertical="center" wrapText="1"/>
    </xf>
    <xf numFmtId="3" fontId="4" fillId="3" borderId="15" xfId="0" applyNumberFormat="1" applyFont="1" applyFill="1" applyBorder="1" applyAlignment="1">
      <alignment horizontal="center" vertical="center"/>
    </xf>
    <xf numFmtId="0" fontId="3" fillId="3" borderId="15" xfId="0" applyFont="1" applyFill="1" applyBorder="1" applyAlignment="1">
      <alignment horizontal="center" vertical="center" wrapText="1"/>
    </xf>
    <xf numFmtId="3" fontId="3" fillId="3" borderId="15" xfId="0" applyNumberFormat="1" applyFont="1" applyFill="1" applyBorder="1" applyAlignment="1">
      <alignment horizontal="center" vertical="center" wrapText="1"/>
    </xf>
    <xf numFmtId="3" fontId="4" fillId="3" borderId="15" xfId="0" applyNumberFormat="1" applyFont="1" applyFill="1" applyBorder="1" applyAlignment="1">
      <alignment horizontal="center" vertical="center" wrapText="1"/>
    </xf>
    <xf numFmtId="3" fontId="13" fillId="3" borderId="15" xfId="0" applyNumberFormat="1" applyFont="1" applyFill="1" applyBorder="1" applyAlignment="1">
      <alignment horizontal="center" vertical="center" wrapText="1"/>
    </xf>
    <xf numFmtId="3" fontId="7" fillId="3" borderId="15" xfId="0" applyNumberFormat="1" applyFont="1" applyFill="1" applyBorder="1" applyAlignment="1">
      <alignment horizontal="center" vertical="center"/>
    </xf>
    <xf numFmtId="3" fontId="7" fillId="3" borderId="15" xfId="0" applyNumberFormat="1" applyFont="1" applyFill="1" applyBorder="1" applyAlignment="1">
      <alignment horizontal="center" vertical="center" wrapText="1"/>
    </xf>
    <xf numFmtId="3" fontId="8" fillId="3" borderId="15" xfId="0" applyNumberFormat="1" applyFont="1" applyFill="1" applyBorder="1" applyAlignment="1">
      <alignment horizontal="center" vertical="center"/>
    </xf>
    <xf numFmtId="3" fontId="59" fillId="3" borderId="15" xfId="0" applyNumberFormat="1" applyFont="1" applyFill="1" applyBorder="1" applyAlignment="1">
      <alignment horizontal="center" vertical="center"/>
    </xf>
    <xf numFmtId="0" fontId="3" fillId="3" borderId="15" xfId="0" applyFont="1" applyFill="1" applyBorder="1" applyAlignment="1">
      <alignment horizontal="center" vertical="center"/>
    </xf>
    <xf numFmtId="3" fontId="3" fillId="5" borderId="15" xfId="0" applyNumberFormat="1" applyFont="1" applyFill="1" applyBorder="1" applyAlignment="1">
      <alignment horizontal="center" vertical="center" wrapText="1"/>
    </xf>
    <xf numFmtId="0" fontId="65" fillId="3" borderId="16" xfId="0" applyFont="1" applyFill="1" applyBorder="1" applyAlignment="1">
      <alignment horizontal="justify" vertical="center" wrapText="1"/>
    </xf>
    <xf numFmtId="3" fontId="6" fillId="3" borderId="15" xfId="0" applyNumberFormat="1" applyFont="1" applyFill="1" applyBorder="1" applyAlignment="1">
      <alignment horizontal="right" vertical="center"/>
    </xf>
    <xf numFmtId="0" fontId="3" fillId="3" borderId="15" xfId="0" applyFont="1" applyFill="1" applyBorder="1" applyAlignment="1">
      <alignment horizontal="center"/>
    </xf>
    <xf numFmtId="167" fontId="3" fillId="3" borderId="15" xfId="0" applyNumberFormat="1" applyFont="1" applyFill="1" applyBorder="1" applyAlignment="1">
      <alignment horizontal="center" vertical="center" wrapText="1"/>
    </xf>
    <xf numFmtId="167" fontId="3" fillId="3" borderId="17" xfId="0" applyNumberFormat="1" applyFont="1" applyFill="1" applyBorder="1" applyAlignment="1">
      <alignment horizontal="center" vertical="center" wrapText="1"/>
    </xf>
    <xf numFmtId="3" fontId="36" fillId="3" borderId="5" xfId="0" applyNumberFormat="1" applyFont="1" applyFill="1" applyBorder="1"/>
    <xf numFmtId="3" fontId="17" fillId="3" borderId="5" xfId="0" applyNumberFormat="1" applyFont="1" applyFill="1" applyBorder="1"/>
    <xf numFmtId="3" fontId="36" fillId="3" borderId="5" xfId="0" applyNumberFormat="1" applyFont="1" applyFill="1" applyBorder="1" applyAlignment="1">
      <alignment horizontal="center"/>
    </xf>
    <xf numFmtId="3" fontId="17" fillId="3" borderId="5" xfId="0" applyNumberFormat="1" applyFont="1" applyFill="1" applyBorder="1" applyAlignment="1">
      <alignment horizontal="center"/>
    </xf>
    <xf numFmtId="3" fontId="19" fillId="3" borderId="5" xfId="0" applyNumberFormat="1" applyFont="1" applyFill="1" applyBorder="1"/>
    <xf numFmtId="3" fontId="13" fillId="3" borderId="5" xfId="0" applyNumberFormat="1" applyFont="1" applyFill="1" applyBorder="1"/>
    <xf numFmtId="3" fontId="13" fillId="3" borderId="5" xfId="2" applyNumberFormat="1" applyFont="1" applyFill="1" applyBorder="1"/>
    <xf numFmtId="3" fontId="58" fillId="3" borderId="5" xfId="0" applyNumberFormat="1" applyFont="1" applyFill="1" applyBorder="1"/>
    <xf numFmtId="3" fontId="48" fillId="3" borderId="5" xfId="0" applyNumberFormat="1" applyFont="1" applyFill="1" applyBorder="1"/>
    <xf numFmtId="3" fontId="55" fillId="3" borderId="5" xfId="0" applyNumberFormat="1" applyFont="1" applyFill="1" applyBorder="1"/>
    <xf numFmtId="3" fontId="43" fillId="3" borderId="5" xfId="0" applyNumberFormat="1" applyFont="1" applyFill="1" applyBorder="1"/>
    <xf numFmtId="3" fontId="48" fillId="3" borderId="5" xfId="2" applyNumberFormat="1" applyFont="1" applyFill="1" applyBorder="1"/>
    <xf numFmtId="3" fontId="36" fillId="5" borderId="5" xfId="0" applyNumberFormat="1" applyFont="1" applyFill="1" applyBorder="1"/>
    <xf numFmtId="3" fontId="17" fillId="5" borderId="5" xfId="0" applyNumberFormat="1" applyFont="1" applyFill="1" applyBorder="1"/>
    <xf numFmtId="3" fontId="4" fillId="3" borderId="18" xfId="0" applyNumberFormat="1" applyFont="1" applyFill="1" applyBorder="1" applyAlignment="1">
      <alignment horizontal="center" vertical="center" wrapText="1"/>
    </xf>
    <xf numFmtId="3" fontId="4" fillId="3" borderId="19" xfId="0" applyNumberFormat="1" applyFont="1" applyFill="1" applyBorder="1" applyAlignment="1">
      <alignment horizontal="center" vertical="center" wrapText="1"/>
    </xf>
    <xf numFmtId="3" fontId="4" fillId="3" borderId="14" xfId="0" applyNumberFormat="1" applyFont="1" applyFill="1" applyBorder="1" applyAlignment="1">
      <alignment horizontal="right" vertical="center" wrapText="1"/>
    </xf>
    <xf numFmtId="3" fontId="4" fillId="3" borderId="15" xfId="0" applyNumberFormat="1" applyFont="1" applyFill="1" applyBorder="1" applyAlignment="1">
      <alignment vertical="center"/>
    </xf>
    <xf numFmtId="3" fontId="88" fillId="3" borderId="15" xfId="0" applyNumberFormat="1" applyFont="1" applyFill="1" applyBorder="1" applyAlignment="1">
      <alignment vertical="center"/>
    </xf>
    <xf numFmtId="3" fontId="3" fillId="3" borderId="15" xfId="0" applyNumberFormat="1" applyFont="1" applyFill="1" applyBorder="1" applyAlignment="1">
      <alignment vertical="center"/>
    </xf>
    <xf numFmtId="3" fontId="88" fillId="3" borderId="15" xfId="0" applyNumberFormat="1" applyFont="1" applyFill="1" applyBorder="1" applyAlignment="1">
      <alignment horizontal="right" vertical="center" wrapText="1"/>
    </xf>
    <xf numFmtId="3" fontId="3" fillId="3" borderId="15" xfId="2" applyNumberFormat="1" applyFont="1" applyFill="1" applyBorder="1" applyAlignment="1">
      <alignment horizontal="right" vertical="center" wrapText="1"/>
    </xf>
    <xf numFmtId="3" fontId="88" fillId="3" borderId="15" xfId="2" applyNumberFormat="1" applyFont="1" applyFill="1" applyBorder="1" applyAlignment="1">
      <alignment horizontal="right" vertical="center" wrapText="1"/>
    </xf>
    <xf numFmtId="3" fontId="4" fillId="3" borderId="15" xfId="0" applyNumberFormat="1" applyFont="1" applyFill="1" applyBorder="1" applyAlignment="1">
      <alignment horizontal="right" vertical="center" wrapText="1"/>
    </xf>
    <xf numFmtId="3" fontId="39" fillId="3" borderId="15" xfId="0" applyNumberFormat="1" applyFont="1" applyFill="1" applyBorder="1" applyAlignment="1">
      <alignment vertical="center"/>
    </xf>
    <xf numFmtId="3" fontId="39" fillId="3" borderId="15" xfId="0" applyNumberFormat="1" applyFont="1" applyFill="1" applyBorder="1" applyAlignment="1">
      <alignment vertical="center" wrapText="1"/>
    </xf>
    <xf numFmtId="3" fontId="59" fillId="3" borderId="15" xfId="0" applyNumberFormat="1" applyFont="1" applyFill="1" applyBorder="1" applyAlignment="1">
      <alignment vertical="center"/>
    </xf>
    <xf numFmtId="3" fontId="8" fillId="3" borderId="15" xfId="0" applyNumberFormat="1" applyFont="1" applyFill="1" applyBorder="1" applyAlignment="1">
      <alignment vertical="center" wrapText="1"/>
    </xf>
    <xf numFmtId="3" fontId="59" fillId="3" borderId="15" xfId="0" applyNumberFormat="1" applyFont="1" applyFill="1" applyBorder="1" applyAlignment="1">
      <alignment vertical="center" wrapText="1"/>
    </xf>
    <xf numFmtId="3" fontId="7" fillId="3" borderId="15" xfId="0" applyNumberFormat="1" applyFont="1" applyFill="1" applyBorder="1" applyAlignment="1">
      <alignment vertical="center"/>
    </xf>
    <xf numFmtId="3" fontId="4" fillId="3" borderId="15" xfId="2" applyNumberFormat="1" applyFont="1" applyFill="1" applyBorder="1" applyAlignment="1">
      <alignment vertical="center"/>
    </xf>
    <xf numFmtId="3" fontId="39" fillId="3" borderId="15" xfId="2" applyNumberFormat="1" applyFont="1" applyFill="1" applyBorder="1" applyAlignment="1">
      <alignment vertical="center" wrapText="1"/>
    </xf>
    <xf numFmtId="3" fontId="3" fillId="3" borderId="15" xfId="0" applyNumberFormat="1" applyFont="1" applyFill="1" applyBorder="1" applyAlignment="1">
      <alignment horizontal="right" vertical="center" wrapText="1"/>
    </xf>
    <xf numFmtId="3" fontId="3" fillId="3" borderId="15" xfId="18" applyNumberFormat="1" applyFont="1" applyFill="1" applyBorder="1" applyAlignment="1">
      <alignment horizontal="right" vertical="center" wrapText="1"/>
    </xf>
    <xf numFmtId="3" fontId="6" fillId="3" borderId="15" xfId="0" applyNumberFormat="1" applyFont="1" applyFill="1" applyBorder="1" applyAlignment="1">
      <alignment vertical="center"/>
    </xf>
    <xf numFmtId="171" fontId="4" fillId="5" borderId="15" xfId="2" applyNumberFormat="1" applyFont="1" applyFill="1" applyBorder="1" applyAlignment="1">
      <alignment horizontal="right" vertical="center" wrapText="1"/>
    </xf>
    <xf numFmtId="3" fontId="4" fillId="3" borderId="16" xfId="0" applyNumberFormat="1" applyFont="1" applyFill="1" applyBorder="1" applyAlignment="1">
      <alignment horizontal="right" vertical="center" wrapText="1"/>
    </xf>
    <xf numFmtId="3" fontId="4" fillId="3" borderId="15" xfId="0" applyNumberFormat="1" applyFont="1" applyFill="1" applyBorder="1" applyAlignment="1">
      <alignment horizontal="right" vertical="center"/>
    </xf>
    <xf numFmtId="3" fontId="3" fillId="3" borderId="17" xfId="0" applyNumberFormat="1" applyFont="1" applyFill="1" applyBorder="1" applyAlignment="1">
      <alignment vertical="center"/>
    </xf>
    <xf numFmtId="3" fontId="36" fillId="3" borderId="5" xfId="0" applyNumberFormat="1" applyFont="1" applyFill="1" applyBorder="1" applyAlignment="1">
      <alignment vertical="center"/>
    </xf>
    <xf numFmtId="3" fontId="3" fillId="3" borderId="1" xfId="18" applyNumberFormat="1" applyFont="1" applyFill="1" applyBorder="1" applyAlignment="1">
      <alignment horizontal="justify" vertical="center" wrapText="1"/>
    </xf>
    <xf numFmtId="3" fontId="3" fillId="3" borderId="1" xfId="18" applyNumberFormat="1" applyFont="1" applyFill="1" applyBorder="1" applyAlignment="1">
      <alignment vertical="center" wrapText="1"/>
    </xf>
    <xf numFmtId="0" fontId="3" fillId="3" borderId="1" xfId="18" applyFont="1" applyFill="1" applyBorder="1" applyAlignment="1">
      <alignment vertical="center" wrapText="1"/>
    </xf>
    <xf numFmtId="3" fontId="7" fillId="3" borderId="1" xfId="18" applyNumberFormat="1" applyFont="1" applyFill="1" applyBorder="1" applyAlignment="1">
      <alignment horizontal="justify" vertical="center" wrapText="1"/>
    </xf>
    <xf numFmtId="171" fontId="4" fillId="3" borderId="16" xfId="2" applyNumberFormat="1" applyFont="1" applyFill="1" applyBorder="1" applyAlignment="1">
      <alignment horizontal="right" vertical="center" wrapText="1"/>
    </xf>
    <xf numFmtId="3" fontId="3" fillId="3" borderId="16" xfId="0" applyNumberFormat="1" applyFont="1" applyFill="1" applyBorder="1" applyAlignment="1">
      <alignment horizontal="center" vertical="center" wrapText="1"/>
    </xf>
    <xf numFmtId="0" fontId="89" fillId="3" borderId="1" xfId="0" applyFont="1" applyFill="1" applyBorder="1" applyAlignment="1">
      <alignment horizontal="justify" vertical="center" wrapText="1"/>
    </xf>
    <xf numFmtId="3" fontId="36" fillId="5" borderId="1" xfId="0" applyNumberFormat="1" applyFont="1" applyFill="1" applyBorder="1" applyAlignment="1">
      <alignment horizontal="justify" vertical="center" wrapText="1"/>
    </xf>
    <xf numFmtId="3" fontId="4" fillId="5" borderId="1" xfId="0" applyNumberFormat="1" applyFont="1" applyFill="1" applyBorder="1" applyAlignment="1">
      <alignment horizontal="left" vertical="center" wrapText="1"/>
    </xf>
    <xf numFmtId="3" fontId="4" fillId="5" borderId="1" xfId="0" applyNumberFormat="1" applyFont="1" applyFill="1" applyBorder="1" applyAlignment="1">
      <alignment horizontal="right" vertical="center" wrapText="1"/>
    </xf>
    <xf numFmtId="3" fontId="4" fillId="5" borderId="15" xfId="0" applyNumberFormat="1" applyFont="1" applyFill="1" applyBorder="1" applyAlignment="1">
      <alignment horizontal="right" vertical="center" wrapText="1"/>
    </xf>
    <xf numFmtId="3" fontId="3" fillId="5" borderId="15" xfId="0" applyNumberFormat="1" applyFont="1" applyFill="1" applyBorder="1" applyAlignment="1">
      <alignment horizontal="center" vertical="center"/>
    </xf>
    <xf numFmtId="3" fontId="4" fillId="5" borderId="1" xfId="0" applyNumberFormat="1" applyFont="1" applyFill="1" applyBorder="1" applyAlignment="1">
      <alignment horizontal="center" vertical="center"/>
    </xf>
    <xf numFmtId="3" fontId="4" fillId="5" borderId="1" xfId="0" applyNumberFormat="1" applyFont="1" applyFill="1" applyBorder="1" applyAlignment="1">
      <alignment horizontal="justify" vertical="center"/>
    </xf>
    <xf numFmtId="3" fontId="4" fillId="5" borderId="1" xfId="0" applyNumberFormat="1" applyFont="1" applyFill="1" applyBorder="1" applyAlignment="1">
      <alignment vertical="center"/>
    </xf>
    <xf numFmtId="3" fontId="4" fillId="5" borderId="15" xfId="0" applyNumberFormat="1" applyFont="1" applyFill="1" applyBorder="1" applyAlignment="1">
      <alignment vertical="center"/>
    </xf>
    <xf numFmtId="0" fontId="59" fillId="3" borderId="1" xfId="18" applyFont="1" applyFill="1" applyBorder="1" applyAlignment="1">
      <alignment vertical="center" wrapText="1"/>
    </xf>
    <xf numFmtId="0" fontId="58" fillId="3" borderId="5" xfId="15" applyFont="1" applyFill="1" applyBorder="1"/>
    <xf numFmtId="0" fontId="55" fillId="3" borderId="5" xfId="15" applyFont="1" applyFill="1" applyBorder="1"/>
    <xf numFmtId="0" fontId="63" fillId="3" borderId="5" xfId="15" applyFont="1" applyFill="1" applyBorder="1"/>
    <xf numFmtId="3" fontId="55" fillId="3" borderId="5" xfId="23" applyNumberFormat="1" applyFont="1" applyFill="1" applyBorder="1" applyAlignment="1" applyProtection="1">
      <alignment horizontal="right" vertical="center" wrapText="1"/>
      <protection hidden="1"/>
    </xf>
    <xf numFmtId="3" fontId="63" fillId="3" borderId="5" xfId="23" applyNumberFormat="1" applyFont="1" applyFill="1" applyBorder="1" applyAlignment="1" applyProtection="1">
      <alignment horizontal="right" vertical="center" wrapText="1"/>
      <protection hidden="1"/>
    </xf>
    <xf numFmtId="0" fontId="4" fillId="3" borderId="5" xfId="11" applyFont="1" applyFill="1" applyBorder="1" applyAlignment="1">
      <alignment horizontal="center" vertical="center" wrapText="1"/>
    </xf>
    <xf numFmtId="0" fontId="4" fillId="3" borderId="5" xfId="11" applyFont="1" applyFill="1" applyBorder="1" applyAlignment="1">
      <alignment horizontal="center" vertical="center"/>
    </xf>
    <xf numFmtId="0" fontId="4" fillId="3" borderId="10" xfId="11" applyFont="1" applyFill="1" applyBorder="1" applyAlignment="1">
      <alignment horizontal="center" vertical="center" wrapText="1"/>
    </xf>
    <xf numFmtId="0" fontId="16" fillId="3" borderId="5" xfId="11" applyFont="1" applyFill="1" applyBorder="1" applyAlignment="1">
      <alignment horizontal="center" vertical="center" wrapText="1"/>
    </xf>
    <xf numFmtId="0" fontId="16" fillId="3" borderId="5" xfId="11" applyFont="1" applyFill="1" applyBorder="1" applyAlignment="1">
      <alignment horizontal="center" vertical="center"/>
    </xf>
    <xf numFmtId="3" fontId="4" fillId="3" borderId="1" xfId="11" applyNumberFormat="1" applyFont="1" applyFill="1" applyBorder="1" applyAlignment="1">
      <alignment horizontal="center" vertical="center"/>
    </xf>
    <xf numFmtId="3" fontId="4" fillId="3" borderId="1" xfId="11" applyNumberFormat="1" applyFont="1" applyFill="1" applyBorder="1" applyAlignment="1">
      <alignment horizontal="justify" vertical="center"/>
    </xf>
    <xf numFmtId="3" fontId="3" fillId="3" borderId="1" xfId="11" applyNumberFormat="1" applyFont="1" applyFill="1" applyBorder="1" applyAlignment="1">
      <alignment horizontal="justify" vertical="center"/>
    </xf>
    <xf numFmtId="3" fontId="3" fillId="3" borderId="1" xfId="11" applyNumberFormat="1" applyFont="1" applyFill="1" applyBorder="1" applyAlignment="1">
      <alignment horizontal="center" vertical="center"/>
    </xf>
    <xf numFmtId="3" fontId="39" fillId="3" borderId="1" xfId="11" applyNumberFormat="1" applyFont="1" applyFill="1" applyBorder="1" applyAlignment="1">
      <alignment horizontal="center" vertical="center"/>
    </xf>
    <xf numFmtId="3" fontId="39" fillId="3" borderId="1" xfId="11" applyNumberFormat="1" applyFont="1" applyFill="1" applyBorder="1" applyAlignment="1">
      <alignment horizontal="justify" vertical="center"/>
    </xf>
    <xf numFmtId="3" fontId="4" fillId="3" borderId="1" xfId="11" applyNumberFormat="1" applyFont="1" applyFill="1" applyBorder="1" applyAlignment="1">
      <alignment horizontal="center" vertical="center" wrapText="1"/>
    </xf>
    <xf numFmtId="0" fontId="22" fillId="3" borderId="0" xfId="0" applyFont="1" applyFill="1"/>
    <xf numFmtId="3" fontId="7" fillId="3" borderId="1" xfId="18" applyNumberFormat="1" applyFont="1" applyFill="1" applyBorder="1" applyAlignment="1">
      <alignment horizontal="right" vertical="center" wrapText="1"/>
    </xf>
    <xf numFmtId="0" fontId="22" fillId="3" borderId="0" xfId="0" applyFont="1" applyFill="1" applyAlignment="1">
      <alignment wrapText="1"/>
    </xf>
    <xf numFmtId="0" fontId="7" fillId="3" borderId="0" xfId="0" applyFont="1" applyFill="1"/>
    <xf numFmtId="3" fontId="59" fillId="3" borderId="1" xfId="11" applyNumberFormat="1" applyFont="1" applyFill="1" applyBorder="1" applyAlignment="1">
      <alignment horizontal="center" vertical="center"/>
    </xf>
    <xf numFmtId="3" fontId="59" fillId="3" borderId="1" xfId="11" applyNumberFormat="1" applyFont="1" applyFill="1" applyBorder="1" applyAlignment="1">
      <alignment horizontal="justify" vertical="center"/>
    </xf>
    <xf numFmtId="49" fontId="7" fillId="3" borderId="0" xfId="0" applyNumberFormat="1" applyFont="1" applyFill="1" applyAlignment="1">
      <alignment horizontal="right"/>
    </xf>
    <xf numFmtId="3" fontId="4" fillId="3" borderId="10" xfId="11" applyNumberFormat="1" applyFont="1" applyFill="1" applyBorder="1" applyAlignment="1">
      <alignment horizontal="center" vertical="center" wrapText="1"/>
    </xf>
    <xf numFmtId="0" fontId="4" fillId="3" borderId="1" xfId="11" applyFont="1" applyFill="1" applyBorder="1" applyAlignment="1">
      <alignment horizontal="center" vertical="center" wrapText="1"/>
    </xf>
    <xf numFmtId="0" fontId="4" fillId="3" borderId="1" xfId="18" applyFont="1" applyFill="1" applyBorder="1" applyAlignment="1">
      <alignment horizontal="justify" vertical="center"/>
    </xf>
    <xf numFmtId="3" fontId="8" fillId="3" borderId="1" xfId="0" applyNumberFormat="1" applyFont="1" applyFill="1" applyBorder="1" applyAlignment="1">
      <alignment vertical="center"/>
    </xf>
    <xf numFmtId="3" fontId="3" fillId="3" borderId="7" xfId="0" applyNumberFormat="1" applyFont="1" applyFill="1" applyBorder="1" applyAlignment="1">
      <alignment horizontal="center" vertical="center"/>
    </xf>
    <xf numFmtId="3" fontId="3" fillId="3" borderId="7" xfId="0" applyNumberFormat="1" applyFont="1" applyFill="1" applyBorder="1" applyAlignment="1">
      <alignment horizontal="justify" vertical="center" wrapText="1"/>
    </xf>
    <xf numFmtId="3" fontId="4" fillId="3" borderId="2" xfId="11" applyNumberFormat="1" applyFont="1" applyFill="1" applyBorder="1" applyAlignment="1">
      <alignment horizontal="center" vertical="center"/>
    </xf>
    <xf numFmtId="3" fontId="4" fillId="3" borderId="2" xfId="11" applyNumberFormat="1" applyFont="1" applyFill="1" applyBorder="1" applyAlignment="1">
      <alignment horizontal="justify" vertical="center"/>
    </xf>
    <xf numFmtId="3" fontId="22" fillId="3" borderId="0" xfId="0" applyNumberFormat="1" applyFont="1" applyFill="1"/>
    <xf numFmtId="0" fontId="59" fillId="3" borderId="1" xfId="0" applyFont="1" applyFill="1" applyBorder="1" applyAlignment="1">
      <alignment vertical="center"/>
    </xf>
    <xf numFmtId="0" fontId="3" fillId="3" borderId="1" xfId="0" applyFont="1" applyFill="1" applyBorder="1" applyAlignment="1">
      <alignment vertical="center"/>
    </xf>
    <xf numFmtId="3" fontId="4" fillId="3" borderId="2" xfId="0" applyNumberFormat="1" applyFont="1" applyFill="1" applyBorder="1" applyAlignment="1">
      <alignment vertical="center"/>
    </xf>
    <xf numFmtId="3" fontId="6" fillId="3" borderId="2" xfId="0" applyNumberFormat="1" applyFont="1" applyFill="1" applyBorder="1" applyAlignment="1">
      <alignment vertical="center"/>
    </xf>
    <xf numFmtId="3" fontId="6" fillId="3" borderId="2" xfId="0" applyNumberFormat="1" applyFont="1" applyFill="1" applyBorder="1" applyAlignment="1">
      <alignment vertical="center" wrapText="1"/>
    </xf>
    <xf numFmtId="0" fontId="67" fillId="3" borderId="0" xfId="0" applyFont="1" applyFill="1"/>
    <xf numFmtId="0" fontId="67" fillId="3" borderId="0" xfId="0" applyFont="1" applyFill="1" applyAlignment="1">
      <alignment wrapText="1"/>
    </xf>
    <xf numFmtId="0" fontId="34" fillId="3" borderId="0" xfId="0" applyFont="1" applyFill="1"/>
    <xf numFmtId="0" fontId="22" fillId="3" borderId="0" xfId="0" applyFont="1" applyFill="1" applyAlignment="1">
      <alignment vertical="center"/>
    </xf>
    <xf numFmtId="3" fontId="7" fillId="3" borderId="0" xfId="0" applyNumberFormat="1" applyFont="1" applyFill="1" applyAlignment="1">
      <alignment horizontal="right" vertical="center"/>
    </xf>
    <xf numFmtId="3" fontId="4" fillId="3" borderId="5" xfId="0" applyNumberFormat="1" applyFont="1" applyFill="1" applyBorder="1" applyAlignment="1">
      <alignment vertical="center"/>
    </xf>
    <xf numFmtId="0" fontId="4" fillId="3" borderId="3" xfId="11" applyFont="1" applyFill="1" applyBorder="1" applyAlignment="1">
      <alignment horizontal="center" vertical="center" wrapText="1"/>
    </xf>
    <xf numFmtId="0" fontId="4" fillId="3" borderId="3" xfId="11" applyFont="1" applyFill="1" applyBorder="1" applyAlignment="1">
      <alignment horizontal="justify" vertical="center"/>
    </xf>
    <xf numFmtId="3" fontId="4" fillId="3" borderId="3" xfId="0" applyNumberFormat="1" applyFont="1" applyFill="1" applyBorder="1" applyAlignment="1">
      <alignment vertical="center"/>
    </xf>
    <xf numFmtId="0" fontId="39" fillId="3" borderId="1" xfId="0" applyFont="1" applyFill="1" applyBorder="1" applyAlignment="1">
      <alignment vertical="center"/>
    </xf>
    <xf numFmtId="3" fontId="39" fillId="3" borderId="7" xfId="0" applyNumberFormat="1" applyFont="1" applyFill="1" applyBorder="1" applyAlignment="1">
      <alignment vertical="center"/>
    </xf>
    <xf numFmtId="0" fontId="3" fillId="3" borderId="7" xfId="0" applyFont="1" applyFill="1" applyBorder="1" applyAlignment="1">
      <alignment vertical="center"/>
    </xf>
    <xf numFmtId="3" fontId="4" fillId="3" borderId="4" xfId="11" applyNumberFormat="1" applyFont="1" applyFill="1" applyBorder="1" applyAlignment="1">
      <alignment horizontal="center" vertical="center"/>
    </xf>
    <xf numFmtId="3" fontId="4" fillId="3" borderId="4" xfId="11" applyNumberFormat="1" applyFont="1" applyFill="1" applyBorder="1" applyAlignment="1">
      <alignment horizontal="justify" vertical="center"/>
    </xf>
    <xf numFmtId="0" fontId="3" fillId="3" borderId="4" xfId="0" applyFont="1" applyFill="1" applyBorder="1" applyAlignment="1">
      <alignment vertical="center"/>
    </xf>
    <xf numFmtId="3" fontId="4" fillId="3" borderId="4" xfId="0" applyNumberFormat="1" applyFont="1" applyFill="1" applyBorder="1" applyAlignment="1">
      <alignment vertical="center"/>
    </xf>
    <xf numFmtId="3" fontId="4" fillId="3" borderId="1" xfId="11" applyNumberFormat="1" applyFont="1" applyFill="1" applyBorder="1" applyAlignment="1">
      <alignment horizontal="left" vertical="center" wrapText="1"/>
    </xf>
    <xf numFmtId="0" fontId="3" fillId="3" borderId="1" xfId="18" applyFont="1" applyFill="1" applyBorder="1" applyAlignment="1">
      <alignment horizontal="justify" vertical="center"/>
    </xf>
    <xf numFmtId="0" fontId="22" fillId="3" borderId="1" xfId="0" applyFont="1" applyFill="1" applyBorder="1" applyAlignment="1">
      <alignment vertical="center"/>
    </xf>
    <xf numFmtId="0" fontId="16" fillId="11" borderId="1" xfId="11" applyFont="1" applyFill="1" applyBorder="1" applyAlignment="1">
      <alignment horizontal="center" vertical="center" wrapText="1"/>
    </xf>
    <xf numFmtId="0" fontId="16" fillId="11" borderId="1" xfId="18" applyFont="1" applyFill="1" applyBorder="1" applyAlignment="1">
      <alignment horizontal="justify" vertical="center"/>
    </xf>
    <xf numFmtId="0" fontId="67" fillId="11" borderId="0" xfId="0" applyFont="1" applyFill="1"/>
    <xf numFmtId="3" fontId="16" fillId="11" borderId="1" xfId="0" applyNumberFormat="1" applyFont="1" applyFill="1" applyBorder="1" applyAlignment="1">
      <alignment vertical="center"/>
    </xf>
    <xf numFmtId="3" fontId="56" fillId="11" borderId="1" xfId="0" applyNumberFormat="1" applyFont="1" applyFill="1" applyBorder="1" applyAlignment="1">
      <alignment vertical="center"/>
    </xf>
    <xf numFmtId="0" fontId="68" fillId="11" borderId="1" xfId="0" applyFont="1" applyFill="1" applyBorder="1" applyAlignment="1">
      <alignment vertical="center"/>
    </xf>
    <xf numFmtId="3" fontId="56" fillId="11" borderId="5" xfId="0" applyNumberFormat="1" applyFont="1" applyFill="1" applyBorder="1" applyAlignment="1">
      <alignment horizontal="center" vertical="center"/>
    </xf>
    <xf numFmtId="0" fontId="56" fillId="11" borderId="5" xfId="0" applyFont="1" applyFill="1" applyBorder="1" applyAlignment="1">
      <alignment vertical="center" wrapText="1"/>
    </xf>
    <xf numFmtId="0" fontId="67" fillId="11" borderId="5" xfId="0" applyFont="1" applyFill="1" applyBorder="1"/>
    <xf numFmtId="3" fontId="56" fillId="11" borderId="5" xfId="0" applyNumberFormat="1" applyFont="1" applyFill="1" applyBorder="1" applyAlignment="1">
      <alignment vertical="center"/>
    </xf>
    <xf numFmtId="0" fontId="68" fillId="11" borderId="5" xfId="0" applyFont="1" applyFill="1" applyBorder="1" applyAlignment="1">
      <alignment vertical="center"/>
    </xf>
    <xf numFmtId="0" fontId="16" fillId="11" borderId="9" xfId="11" applyFont="1" applyFill="1" applyBorder="1" applyAlignment="1">
      <alignment horizontal="center" vertical="center" wrapText="1"/>
    </xf>
    <xf numFmtId="0" fontId="16" fillId="11" borderId="9" xfId="11" applyFont="1" applyFill="1" applyBorder="1" applyAlignment="1">
      <alignment horizontal="left" vertical="center" wrapText="1"/>
    </xf>
    <xf numFmtId="3" fontId="16" fillId="11" borderId="9" xfId="0" applyNumberFormat="1" applyFont="1" applyFill="1" applyBorder="1" applyAlignment="1">
      <alignment vertical="center"/>
    </xf>
    <xf numFmtId="3" fontId="68" fillId="11" borderId="9" xfId="0" applyNumberFormat="1" applyFont="1" applyFill="1" applyBorder="1" applyAlignment="1">
      <alignment vertical="center" wrapText="1"/>
    </xf>
    <xf numFmtId="3" fontId="63" fillId="3" borderId="5" xfId="0" applyNumberFormat="1" applyFont="1" applyFill="1" applyBorder="1" applyAlignment="1">
      <alignment horizontal="center" vertical="center" wrapText="1"/>
    </xf>
    <xf numFmtId="3" fontId="94" fillId="3" borderId="0" xfId="0" applyNumberFormat="1" applyFont="1" applyFill="1"/>
    <xf numFmtId="167" fontId="4" fillId="3" borderId="1" xfId="0" applyNumberFormat="1" applyFont="1" applyFill="1" applyBorder="1" applyAlignment="1">
      <alignment vertical="center"/>
    </xf>
    <xf numFmtId="0" fontId="91" fillId="0" borderId="0" xfId="0" applyFont="1" applyAlignment="1">
      <alignment horizontal="center" vertical="center" wrapText="1"/>
    </xf>
    <xf numFmtId="174" fontId="8" fillId="0" borderId="1" xfId="24" applyNumberFormat="1" applyFont="1" applyBorder="1" applyAlignment="1">
      <alignment vertical="center"/>
    </xf>
    <xf numFmtId="174" fontId="8" fillId="4" borderId="1" xfId="24" applyNumberFormat="1" applyFont="1" applyFill="1" applyBorder="1" applyAlignment="1">
      <alignment vertical="center"/>
    </xf>
    <xf numFmtId="3" fontId="6" fillId="0" borderId="1" xfId="0" applyNumberFormat="1" applyFont="1" applyBorder="1" applyAlignment="1">
      <alignment horizontal="justify" vertical="center" wrapText="1"/>
    </xf>
    <xf numFmtId="3" fontId="8" fillId="4" borderId="1" xfId="24" applyNumberFormat="1" applyFont="1" applyFill="1" applyBorder="1" applyAlignment="1">
      <alignment vertical="center"/>
    </xf>
    <xf numFmtId="0" fontId="95" fillId="0" borderId="0" xfId="0" applyFont="1" applyAlignment="1">
      <alignment horizontal="center" vertical="center" wrapText="1"/>
    </xf>
    <xf numFmtId="0" fontId="95" fillId="0" borderId="0" xfId="0" applyFont="1" applyAlignment="1">
      <alignment horizontal="center" vertical="center"/>
    </xf>
    <xf numFmtId="175" fontId="96" fillId="0" borderId="1" xfId="24" applyNumberFormat="1" applyFont="1" applyBorder="1" applyAlignment="1">
      <alignment vertical="center"/>
    </xf>
    <xf numFmtId="170" fontId="23" fillId="0" borderId="0" xfId="0" applyNumberFormat="1" applyFont="1"/>
    <xf numFmtId="167" fontId="3" fillId="3" borderId="1" xfId="2" applyNumberFormat="1" applyFont="1" applyFill="1" applyBorder="1" applyAlignment="1">
      <alignment vertical="center"/>
    </xf>
    <xf numFmtId="3" fontId="35" fillId="0" borderId="0" xfId="0" applyNumberFormat="1" applyFont="1"/>
    <xf numFmtId="14" fontId="6" fillId="3" borderId="1" xfId="0" applyNumberFormat="1" applyFont="1" applyFill="1" applyBorder="1" applyAlignment="1">
      <alignment horizontal="center" vertical="center"/>
    </xf>
    <xf numFmtId="3" fontId="6" fillId="3" borderId="0" xfId="0" applyNumberFormat="1" applyFont="1" applyFill="1" applyAlignment="1">
      <alignment horizontal="center" vertical="center" wrapText="1"/>
    </xf>
    <xf numFmtId="3" fontId="79" fillId="3" borderId="4" xfId="0" applyNumberFormat="1" applyFont="1" applyFill="1" applyBorder="1" applyAlignment="1">
      <alignment vertical="center" wrapText="1"/>
    </xf>
    <xf numFmtId="14" fontId="79" fillId="3" borderId="4" xfId="0" applyNumberFormat="1" applyFont="1" applyFill="1" applyBorder="1" applyAlignment="1">
      <alignment vertical="center"/>
    </xf>
    <xf numFmtId="3" fontId="97" fillId="3" borderId="1" xfId="11" applyNumberFormat="1" applyFont="1" applyFill="1" applyBorder="1" applyAlignment="1">
      <alignment horizontal="center" vertical="center" wrapText="1"/>
    </xf>
    <xf numFmtId="3" fontId="97" fillId="3" borderId="1" xfId="0" applyNumberFormat="1" applyFont="1" applyFill="1" applyBorder="1" applyAlignment="1">
      <alignment horizontal="center" vertical="center"/>
    </xf>
    <xf numFmtId="3" fontId="97" fillId="3" borderId="1" xfId="0" applyNumberFormat="1" applyFont="1" applyFill="1" applyBorder="1" applyAlignment="1">
      <alignment horizontal="center" vertical="center" wrapText="1"/>
    </xf>
    <xf numFmtId="14" fontId="97" fillId="3" borderId="1" xfId="11" applyNumberFormat="1" applyFont="1" applyFill="1" applyBorder="1" applyAlignment="1">
      <alignment horizontal="center" vertical="center"/>
    </xf>
    <xf numFmtId="0" fontId="98" fillId="0" borderId="13" xfId="0" applyFont="1" applyBorder="1"/>
    <xf numFmtId="3" fontId="97" fillId="3" borderId="1" xfId="0" applyNumberFormat="1" applyFont="1" applyFill="1" applyBorder="1" applyAlignment="1">
      <alignment horizontal="left" vertical="center" wrapText="1"/>
    </xf>
    <xf numFmtId="3" fontId="97" fillId="3" borderId="1" xfId="0" applyNumberFormat="1" applyFont="1" applyFill="1" applyBorder="1" applyAlignment="1">
      <alignment vertical="center"/>
    </xf>
    <xf numFmtId="3" fontId="97" fillId="0" borderId="1" xfId="0" applyNumberFormat="1" applyFont="1" applyBorder="1" applyAlignment="1">
      <alignment horizontal="center" vertical="center" wrapText="1"/>
    </xf>
    <xf numFmtId="3" fontId="97" fillId="3" borderId="0" xfId="0" applyNumberFormat="1" applyFont="1" applyFill="1"/>
    <xf numFmtId="3" fontId="97" fillId="3" borderId="6" xfId="0" applyNumberFormat="1" applyFont="1" applyFill="1" applyBorder="1" applyAlignment="1">
      <alignment vertical="center"/>
    </xf>
    <xf numFmtId="14" fontId="97" fillId="3" borderId="6" xfId="0" applyNumberFormat="1" applyFont="1" applyFill="1" applyBorder="1" applyAlignment="1">
      <alignment vertical="center"/>
    </xf>
    <xf numFmtId="3" fontId="97" fillId="3" borderId="4" xfId="0" applyNumberFormat="1" applyFont="1" applyFill="1" applyBorder="1" applyAlignment="1">
      <alignment horizontal="left" vertical="center" wrapText="1"/>
    </xf>
    <xf numFmtId="0" fontId="0" fillId="0" borderId="0" xfId="0" applyAlignment="1">
      <alignment horizontal="left" wrapText="1"/>
    </xf>
    <xf numFmtId="0" fontId="1" fillId="0" borderId="0" xfId="0" applyFont="1" applyAlignment="1">
      <alignment horizontal="left" wrapText="1"/>
    </xf>
    <xf numFmtId="167" fontId="43" fillId="3" borderId="5" xfId="27" applyNumberFormat="1" applyFont="1" applyFill="1" applyBorder="1" applyAlignment="1">
      <alignment horizontal="right" vertical="center" wrapText="1"/>
    </xf>
    <xf numFmtId="0" fontId="47" fillId="3" borderId="5" xfId="0" applyFont="1" applyFill="1" applyBorder="1" applyAlignment="1">
      <alignment horizontal="center"/>
    </xf>
    <xf numFmtId="0" fontId="0" fillId="3" borderId="0" xfId="0" applyFill="1"/>
    <xf numFmtId="0" fontId="47" fillId="3" borderId="5" xfId="0" applyFont="1" applyFill="1" applyBorder="1" applyAlignment="1">
      <alignment horizontal="left"/>
    </xf>
    <xf numFmtId="167" fontId="47" fillId="3" borderId="5" xfId="0" applyNumberFormat="1" applyFont="1" applyFill="1" applyBorder="1" applyAlignment="1">
      <alignment horizontal="center"/>
    </xf>
    <xf numFmtId="3" fontId="43" fillId="3" borderId="5" xfId="26" applyNumberFormat="1" applyFont="1" applyFill="1" applyBorder="1" applyAlignment="1">
      <alignment horizontal="center" vertical="center" wrapText="1"/>
    </xf>
    <xf numFmtId="3" fontId="43" fillId="3" borderId="5" xfId="26" applyNumberFormat="1" applyFont="1" applyFill="1" applyBorder="1" applyAlignment="1">
      <alignment horizontal="left" vertical="center" wrapText="1"/>
    </xf>
    <xf numFmtId="3" fontId="47" fillId="3" borderId="5" xfId="26" applyNumberFormat="1" applyFont="1" applyFill="1" applyBorder="1" applyAlignment="1">
      <alignment horizontal="left" vertical="center" wrapText="1"/>
    </xf>
    <xf numFmtId="167" fontId="47" fillId="3" borderId="5" xfId="27" applyNumberFormat="1" applyFont="1" applyFill="1" applyBorder="1" applyAlignment="1">
      <alignment horizontal="right" vertical="center" wrapText="1"/>
    </xf>
    <xf numFmtId="0" fontId="47" fillId="3" borderId="5" xfId="26" applyFont="1" applyFill="1" applyBorder="1" applyAlignment="1">
      <alignment horizontal="left" vertical="center" wrapText="1"/>
    </xf>
    <xf numFmtId="0" fontId="43" fillId="13" borderId="5" xfId="0" applyFont="1" applyFill="1" applyBorder="1" applyAlignment="1">
      <alignment horizontal="center" vertical="center"/>
    </xf>
    <xf numFmtId="0" fontId="43" fillId="13" borderId="5" xfId="0" applyFont="1" applyFill="1" applyBorder="1" applyAlignment="1">
      <alignment horizontal="left" wrapText="1"/>
    </xf>
    <xf numFmtId="170" fontId="43" fillId="13" borderId="5" xfId="0" applyNumberFormat="1" applyFont="1" applyFill="1" applyBorder="1" applyAlignment="1">
      <alignment horizontal="center"/>
    </xf>
    <xf numFmtId="0" fontId="0" fillId="13" borderId="0" xfId="0" applyFill="1"/>
    <xf numFmtId="0" fontId="43" fillId="13" borderId="5" xfId="0" applyFont="1" applyFill="1" applyBorder="1" applyAlignment="1">
      <alignment horizontal="left"/>
    </xf>
    <xf numFmtId="167" fontId="43" fillId="13" borderId="5" xfId="27" applyNumberFormat="1" applyFont="1" applyFill="1" applyBorder="1" applyAlignment="1">
      <alignment horizontal="right" vertical="center" wrapText="1"/>
    </xf>
    <xf numFmtId="3" fontId="13" fillId="13" borderId="0" xfId="0" applyNumberFormat="1" applyFont="1" applyFill="1" applyAlignment="1">
      <alignment horizontal="center"/>
    </xf>
    <xf numFmtId="3" fontId="43" fillId="13" borderId="5" xfId="0" applyNumberFormat="1" applyFont="1" applyFill="1" applyBorder="1" applyAlignment="1">
      <alignment horizontal="center" vertical="center"/>
    </xf>
    <xf numFmtId="3" fontId="43" fillId="13" borderId="5" xfId="0" applyNumberFormat="1" applyFont="1" applyFill="1" applyBorder="1" applyAlignment="1">
      <alignment horizontal="left" wrapText="1"/>
    </xf>
    <xf numFmtId="3" fontId="43" fillId="13" borderId="5" xfId="0" applyNumberFormat="1" applyFont="1" applyFill="1" applyBorder="1" applyAlignment="1">
      <alignment horizontal="right" vertical="center"/>
    </xf>
    <xf numFmtId="3" fontId="4" fillId="13" borderId="0" xfId="0" applyNumberFormat="1" applyFont="1" applyFill="1" applyAlignment="1">
      <alignment horizontal="center"/>
    </xf>
    <xf numFmtId="0" fontId="43" fillId="13" borderId="5" xfId="26" applyFont="1" applyFill="1" applyBorder="1" applyAlignment="1">
      <alignment horizontal="center" vertical="center" wrapText="1"/>
    </xf>
    <xf numFmtId="3" fontId="13" fillId="14" borderId="0" xfId="0" applyNumberFormat="1" applyFont="1" applyFill="1" applyAlignment="1">
      <alignment horizontal="left"/>
    </xf>
    <xf numFmtId="3" fontId="13" fillId="14" borderId="0" xfId="0" applyNumberFormat="1" applyFont="1" applyFill="1" applyAlignment="1">
      <alignment horizontal="center"/>
    </xf>
    <xf numFmtId="0" fontId="0" fillId="14" borderId="0" xfId="0" applyFill="1"/>
    <xf numFmtId="3" fontId="43" fillId="14" borderId="0" xfId="0" applyNumberFormat="1" applyFont="1" applyFill="1" applyAlignment="1">
      <alignment horizontal="center"/>
    </xf>
    <xf numFmtId="168" fontId="3" fillId="13" borderId="0" xfId="0" applyNumberFormat="1" applyFont="1" applyFill="1" applyAlignment="1">
      <alignment horizontal="left"/>
    </xf>
    <xf numFmtId="168" fontId="3" fillId="3" borderId="0" xfId="0" applyNumberFormat="1" applyFont="1" applyFill="1" applyAlignment="1">
      <alignment horizontal="left"/>
    </xf>
    <xf numFmtId="3" fontId="6" fillId="13" borderId="0" xfId="0" applyNumberFormat="1" applyFont="1" applyFill="1" applyAlignment="1">
      <alignment horizontal="left"/>
    </xf>
    <xf numFmtId="0" fontId="58" fillId="3" borderId="5" xfId="15" applyFont="1" applyFill="1" applyBorder="1" applyAlignment="1">
      <alignment horizontal="center"/>
    </xf>
    <xf numFmtId="0" fontId="58" fillId="3" borderId="5" xfId="15" applyFont="1" applyFill="1" applyBorder="1" applyAlignment="1">
      <alignment horizontal="center" vertical="center"/>
    </xf>
    <xf numFmtId="0" fontId="58" fillId="3" borderId="5" xfId="15" applyFont="1" applyFill="1" applyBorder="1" applyAlignment="1">
      <alignment vertical="center"/>
    </xf>
    <xf numFmtId="0" fontId="58" fillId="3" borderId="5" xfId="15" applyFont="1" applyFill="1" applyBorder="1" applyAlignment="1">
      <alignment horizontal="center" vertical="center" wrapText="1"/>
    </xf>
    <xf numFmtId="3" fontId="58" fillId="3" borderId="5" xfId="15" applyNumberFormat="1" applyFont="1" applyFill="1" applyBorder="1" applyAlignment="1">
      <alignment horizontal="center" vertical="center" wrapText="1"/>
    </xf>
    <xf numFmtId="0" fontId="63" fillId="3" borderId="5" xfId="15" applyFont="1" applyFill="1" applyBorder="1" applyAlignment="1">
      <alignment wrapText="1"/>
    </xf>
    <xf numFmtId="0" fontId="0" fillId="0" borderId="0" xfId="0" applyAlignment="1">
      <alignment horizontal="center" wrapText="1"/>
    </xf>
    <xf numFmtId="3" fontId="7" fillId="3" borderId="1" xfId="0" applyNumberFormat="1" applyFont="1" applyFill="1" applyBorder="1" applyAlignment="1">
      <alignment horizontal="right" vertical="center" wrapText="1"/>
    </xf>
    <xf numFmtId="3" fontId="7" fillId="3" borderId="0" xfId="0" applyNumberFormat="1" applyFont="1" applyFill="1" applyAlignment="1">
      <alignment horizontal="right" vertical="center" wrapText="1"/>
    </xf>
    <xf numFmtId="0" fontId="1" fillId="0" borderId="0" xfId="0" applyFont="1"/>
    <xf numFmtId="3" fontId="3" fillId="15" borderId="1" xfId="0" applyNumberFormat="1" applyFont="1" applyFill="1" applyBorder="1" applyAlignment="1">
      <alignment vertical="center"/>
    </xf>
    <xf numFmtId="3" fontId="8" fillId="12" borderId="1" xfId="0" applyNumberFormat="1" applyFont="1" applyFill="1" applyBorder="1" applyAlignment="1">
      <alignment horizontal="right" vertical="center" wrapText="1"/>
    </xf>
    <xf numFmtId="3" fontId="7" fillId="12" borderId="1" xfId="0" applyNumberFormat="1" applyFont="1" applyFill="1" applyBorder="1" applyAlignment="1">
      <alignment horizontal="right" vertical="center" wrapText="1"/>
    </xf>
    <xf numFmtId="3" fontId="3" fillId="12" borderId="1" xfId="0" applyNumberFormat="1" applyFont="1" applyFill="1" applyBorder="1" applyAlignment="1">
      <alignment vertical="center"/>
    </xf>
    <xf numFmtId="3" fontId="8" fillId="13" borderId="1" xfId="0" applyNumberFormat="1" applyFont="1" applyFill="1" applyBorder="1" applyAlignment="1">
      <alignment vertical="center"/>
    </xf>
    <xf numFmtId="3" fontId="7" fillId="13" borderId="1" xfId="0" applyNumberFormat="1" applyFont="1" applyFill="1" applyBorder="1" applyAlignment="1">
      <alignment horizontal="right" vertical="center" wrapText="1"/>
    </xf>
    <xf numFmtId="3" fontId="8" fillId="13" borderId="1" xfId="0" applyNumberFormat="1" applyFont="1" applyFill="1" applyBorder="1" applyAlignment="1">
      <alignment horizontal="right" vertical="center" wrapText="1"/>
    </xf>
    <xf numFmtId="3" fontId="3" fillId="16" borderId="1" xfId="0" applyNumberFormat="1" applyFont="1" applyFill="1" applyBorder="1" applyAlignment="1">
      <alignment vertical="center"/>
    </xf>
    <xf numFmtId="3" fontId="8" fillId="16" borderId="1" xfId="0" applyNumberFormat="1" applyFont="1" applyFill="1" applyBorder="1" applyAlignment="1">
      <alignment horizontal="justify" vertical="center" wrapText="1"/>
    </xf>
    <xf numFmtId="3" fontId="8" fillId="12" borderId="1" xfId="0" applyNumberFormat="1" applyFont="1" applyFill="1" applyBorder="1" applyAlignment="1">
      <alignment horizontal="justify" vertical="center" wrapText="1"/>
    </xf>
    <xf numFmtId="3" fontId="7" fillId="12" borderId="1" xfId="0" applyNumberFormat="1" applyFont="1" applyFill="1" applyBorder="1" applyAlignment="1">
      <alignment horizontal="justify" vertical="center" wrapText="1"/>
    </xf>
    <xf numFmtId="3" fontId="8" fillId="17" borderId="1" xfId="0" applyNumberFormat="1" applyFont="1" applyFill="1" applyBorder="1" applyAlignment="1">
      <alignment horizontal="right" vertical="center" wrapText="1"/>
    </xf>
    <xf numFmtId="3" fontId="8" fillId="13" borderId="1" xfId="0" applyNumberFormat="1" applyFont="1" applyFill="1" applyBorder="1" applyAlignment="1">
      <alignment horizontal="justify" vertical="center" wrapText="1"/>
    </xf>
    <xf numFmtId="3" fontId="7" fillId="13" borderId="1" xfId="0" applyNumberFormat="1" applyFont="1" applyFill="1" applyBorder="1" applyAlignment="1">
      <alignment horizontal="justify" vertical="center" wrapText="1"/>
    </xf>
    <xf numFmtId="3" fontId="35" fillId="0" borderId="5" xfId="0" applyNumberFormat="1" applyFont="1" applyBorder="1"/>
    <xf numFmtId="0" fontId="35" fillId="0" borderId="5" xfId="0" applyFont="1" applyBorder="1"/>
    <xf numFmtId="3" fontId="0" fillId="0" borderId="5" xfId="0" applyNumberFormat="1" applyBorder="1"/>
    <xf numFmtId="3" fontId="1" fillId="0" borderId="5" xfId="0" applyNumberFormat="1" applyFont="1" applyBorder="1"/>
    <xf numFmtId="3" fontId="7" fillId="12" borderId="0" xfId="0" applyNumberFormat="1" applyFont="1" applyFill="1" applyAlignment="1">
      <alignment horizontal="justify" vertical="center" wrapText="1"/>
    </xf>
    <xf numFmtId="3" fontId="7" fillId="12" borderId="0" xfId="0" applyNumberFormat="1" applyFont="1" applyFill="1" applyAlignment="1">
      <alignment horizontal="right" vertical="center" wrapText="1"/>
    </xf>
    <xf numFmtId="3" fontId="3" fillId="12" borderId="0" xfId="0" applyNumberFormat="1" applyFont="1" applyFill="1" applyAlignment="1">
      <alignment vertical="center"/>
    </xf>
    <xf numFmtId="0" fontId="1" fillId="0" borderId="0" xfId="0" applyFont="1" applyAlignment="1">
      <alignment wrapText="1"/>
    </xf>
    <xf numFmtId="0" fontId="1" fillId="0" borderId="0" xfId="0" applyFont="1" applyAlignment="1">
      <alignment vertical="center" wrapText="1"/>
    </xf>
    <xf numFmtId="0" fontId="1" fillId="0" borderId="0" xfId="0" applyFont="1" applyAlignment="1">
      <alignment horizontal="center" vertical="center" wrapText="1"/>
    </xf>
    <xf numFmtId="3" fontId="99" fillId="0" borderId="0" xfId="0" applyNumberFormat="1" applyFont="1" applyAlignment="1">
      <alignment wrapText="1"/>
    </xf>
    <xf numFmtId="0" fontId="99" fillId="0" borderId="0" xfId="0" applyFont="1" applyAlignment="1">
      <alignment wrapText="1"/>
    </xf>
    <xf numFmtId="0" fontId="100" fillId="0" borderId="0" xfId="0" applyFont="1" applyAlignment="1">
      <alignment horizontal="center"/>
    </xf>
    <xf numFmtId="0" fontId="100" fillId="0" borderId="0" xfId="0" applyFont="1"/>
    <xf numFmtId="3" fontId="100" fillId="0" borderId="5" xfId="0" applyNumberFormat="1" applyFont="1" applyBorder="1"/>
    <xf numFmtId="0" fontId="100" fillId="0" borderId="5" xfId="0" applyFont="1" applyBorder="1"/>
    <xf numFmtId="0" fontId="101" fillId="0" borderId="0" xfId="0" applyFont="1" applyAlignment="1">
      <alignment wrapText="1"/>
    </xf>
    <xf numFmtId="0" fontId="100" fillId="0" borderId="0" xfId="0" applyFont="1" applyAlignment="1">
      <alignment horizontal="center" vertical="center" wrapText="1"/>
    </xf>
    <xf numFmtId="0" fontId="1" fillId="13" borderId="0" xfId="0" applyFont="1" applyFill="1" applyAlignment="1">
      <alignment vertical="center" wrapText="1"/>
    </xf>
    <xf numFmtId="3" fontId="35" fillId="13" borderId="5" xfId="0" applyNumberFormat="1" applyFont="1" applyFill="1" applyBorder="1"/>
    <xf numFmtId="0" fontId="0" fillId="13" borderId="5" xfId="0" applyFill="1" applyBorder="1"/>
    <xf numFmtId="3" fontId="100" fillId="13" borderId="5" xfId="0" applyNumberFormat="1" applyFont="1" applyFill="1" applyBorder="1"/>
    <xf numFmtId="0" fontId="100" fillId="13" borderId="5" xfId="0" applyFont="1" applyFill="1" applyBorder="1"/>
    <xf numFmtId="3" fontId="1" fillId="13" borderId="5" xfId="0" applyNumberFormat="1" applyFont="1" applyFill="1" applyBorder="1"/>
    <xf numFmtId="3" fontId="0" fillId="13" borderId="5" xfId="0" applyNumberFormat="1" applyFill="1" applyBorder="1"/>
    <xf numFmtId="0" fontId="35" fillId="13" borderId="5" xfId="0" applyFont="1" applyFill="1" applyBorder="1"/>
    <xf numFmtId="3" fontId="0" fillId="0" borderId="5" xfId="0" applyNumberFormat="1" applyBorder="1" applyAlignment="1">
      <alignment wrapText="1"/>
    </xf>
    <xf numFmtId="0" fontId="6" fillId="3" borderId="5" xfId="12" applyFill="1" applyBorder="1" applyAlignment="1">
      <alignment horizontal="left" vertical="center" wrapText="1"/>
    </xf>
    <xf numFmtId="3" fontId="79" fillId="3" borderId="4" xfId="0" applyNumberFormat="1" applyFont="1" applyFill="1" applyBorder="1" applyAlignment="1">
      <alignment horizontal="right" vertical="center"/>
    </xf>
    <xf numFmtId="3" fontId="90" fillId="3" borderId="4" xfId="0" applyNumberFormat="1" applyFont="1" applyFill="1" applyBorder="1" applyAlignment="1">
      <alignment horizontal="right" vertical="center"/>
    </xf>
    <xf numFmtId="3" fontId="91" fillId="3" borderId="4" xfId="0" applyNumberFormat="1" applyFont="1" applyFill="1" applyBorder="1" applyAlignment="1">
      <alignment horizontal="right" vertical="center"/>
    </xf>
    <xf numFmtId="169" fontId="90" fillId="3" borderId="4" xfId="0" applyNumberFormat="1" applyFont="1" applyFill="1" applyBorder="1" applyAlignment="1">
      <alignment horizontal="right" vertical="center"/>
    </xf>
    <xf numFmtId="3" fontId="90" fillId="3" borderId="1" xfId="0" applyNumberFormat="1" applyFont="1" applyFill="1" applyBorder="1" applyAlignment="1">
      <alignment horizontal="right"/>
    </xf>
    <xf numFmtId="0" fontId="6" fillId="3" borderId="1" xfId="12" applyFill="1" applyBorder="1" applyAlignment="1">
      <alignment horizontal="center" vertical="center" wrapText="1"/>
    </xf>
    <xf numFmtId="14" fontId="6" fillId="3" borderId="1" xfId="12" applyNumberFormat="1" applyFill="1" applyBorder="1" applyAlignment="1">
      <alignment horizontal="center" vertical="center" wrapText="1"/>
    </xf>
    <xf numFmtId="3" fontId="90" fillId="3" borderId="6" xfId="0" applyNumberFormat="1" applyFont="1" applyFill="1" applyBorder="1" applyAlignment="1">
      <alignment horizontal="right" vertical="center"/>
    </xf>
    <xf numFmtId="3" fontId="6" fillId="3" borderId="6" xfId="0" applyNumberFormat="1" applyFont="1" applyFill="1" applyBorder="1" applyAlignment="1">
      <alignment horizontal="center" vertical="center"/>
    </xf>
    <xf numFmtId="3" fontId="85" fillId="3" borderId="5" xfId="18" applyNumberFormat="1" applyFont="1" applyFill="1" applyBorder="1" applyAlignment="1">
      <alignment horizontal="center" vertical="center" wrapText="1"/>
    </xf>
    <xf numFmtId="3" fontId="104" fillId="3" borderId="0" xfId="0" applyNumberFormat="1" applyFont="1" applyFill="1" applyAlignment="1">
      <alignment horizontal="center"/>
    </xf>
    <xf numFmtId="3" fontId="105" fillId="3" borderId="0" xfId="0" applyNumberFormat="1" applyFont="1" applyFill="1" applyAlignment="1">
      <alignment horizontal="center"/>
    </xf>
    <xf numFmtId="3" fontId="90" fillId="3" borderId="4" xfId="0" applyNumberFormat="1" applyFont="1" applyFill="1" applyBorder="1" applyAlignment="1">
      <alignment vertical="center"/>
    </xf>
    <xf numFmtId="3" fontId="91" fillId="3" borderId="4" xfId="0" applyNumberFormat="1" applyFont="1" applyFill="1" applyBorder="1" applyAlignment="1">
      <alignment vertical="center"/>
    </xf>
    <xf numFmtId="3" fontId="93" fillId="3" borderId="0" xfId="0" applyNumberFormat="1" applyFont="1" applyFill="1" applyAlignment="1">
      <alignment horizontal="center"/>
    </xf>
    <xf numFmtId="3" fontId="106" fillId="0" borderId="5" xfId="10" applyNumberFormat="1" applyFont="1" applyBorder="1" applyAlignment="1">
      <alignment horizontal="center" vertical="center" wrapText="1"/>
    </xf>
    <xf numFmtId="3" fontId="109" fillId="10" borderId="1" xfId="0" applyNumberFormat="1" applyFont="1" applyFill="1" applyBorder="1" applyAlignment="1">
      <alignment horizontal="right" vertical="center" wrapText="1"/>
    </xf>
    <xf numFmtId="0" fontId="110" fillId="0" borderId="1" xfId="17" applyFont="1" applyBorder="1" applyAlignment="1">
      <alignment horizontal="left" vertical="center" wrapText="1"/>
    </xf>
    <xf numFmtId="0" fontId="110" fillId="0" borderId="1" xfId="17" applyFont="1" applyBorder="1" applyAlignment="1">
      <alignment horizontal="center" vertical="center" wrapText="1"/>
    </xf>
    <xf numFmtId="0" fontId="107" fillId="0" borderId="0" xfId="0" applyFont="1" applyAlignment="1">
      <alignment horizontal="center" vertical="center" wrapText="1"/>
    </xf>
    <xf numFmtId="3" fontId="109" fillId="0" borderId="0" xfId="10" applyNumberFormat="1" applyFont="1" applyAlignment="1">
      <alignment horizontal="center" vertical="center" wrapText="1"/>
    </xf>
    <xf numFmtId="3" fontId="108" fillId="0" borderId="0" xfId="10" applyNumberFormat="1" applyFont="1" applyAlignment="1">
      <alignment horizontal="center" vertical="center" wrapText="1"/>
    </xf>
    <xf numFmtId="3" fontId="106" fillId="0" borderId="1" xfId="10" applyNumberFormat="1" applyFont="1" applyBorder="1" applyAlignment="1">
      <alignment horizontal="center" vertical="center" wrapText="1"/>
    </xf>
    <xf numFmtId="0" fontId="109" fillId="0" borderId="0" xfId="0" applyFont="1" applyAlignment="1">
      <alignment horizontal="center" vertical="center" wrapText="1"/>
    </xf>
    <xf numFmtId="0" fontId="107" fillId="0" borderId="5" xfId="0" applyFont="1" applyBorder="1" applyAlignment="1">
      <alignment horizontal="center" vertical="center" wrapText="1"/>
    </xf>
    <xf numFmtId="3" fontId="3" fillId="0" borderId="0" xfId="10" applyNumberFormat="1" applyFont="1" applyAlignment="1">
      <alignment horizontal="center" vertical="center" wrapText="1"/>
    </xf>
    <xf numFmtId="0" fontId="103" fillId="0" borderId="0" xfId="0" applyFont="1" applyAlignment="1">
      <alignment horizontal="center" vertical="center" wrapText="1"/>
    </xf>
    <xf numFmtId="3" fontId="106" fillId="0" borderId="1" xfId="10" applyNumberFormat="1" applyFont="1" applyBorder="1" applyAlignment="1">
      <alignment horizontal="left" vertical="center" wrapText="1"/>
    </xf>
    <xf numFmtId="3" fontId="106" fillId="0" borderId="5" xfId="10" applyNumberFormat="1" applyFont="1" applyBorder="1" applyAlignment="1">
      <alignment horizontal="left" vertical="center" wrapText="1"/>
    </xf>
    <xf numFmtId="3" fontId="106" fillId="0" borderId="1" xfId="10" applyNumberFormat="1" applyFont="1" applyBorder="1" applyAlignment="1">
      <alignment horizontal="right" vertical="center" wrapText="1"/>
    </xf>
    <xf numFmtId="3" fontId="106" fillId="0" borderId="5" xfId="10" applyNumberFormat="1" applyFont="1" applyBorder="1" applyAlignment="1">
      <alignment horizontal="right" vertical="center" wrapText="1"/>
    </xf>
    <xf numFmtId="3" fontId="109" fillId="0" borderId="1" xfId="10" quotePrefix="1" applyNumberFormat="1" applyFont="1" applyBorder="1" applyAlignment="1">
      <alignment horizontal="center" vertical="center" wrapText="1"/>
    </xf>
    <xf numFmtId="3" fontId="111" fillId="0" borderId="1" xfId="10" applyNumberFormat="1" applyFont="1" applyBorder="1" applyAlignment="1">
      <alignment horizontal="center" vertical="center" wrapText="1"/>
    </xf>
    <xf numFmtId="0" fontId="112" fillId="0" borderId="1" xfId="17" applyFont="1" applyBorder="1" applyAlignment="1">
      <alignment horizontal="left" vertical="center" wrapText="1"/>
    </xf>
    <xf numFmtId="3" fontId="111" fillId="10" borderId="1" xfId="0" applyNumberFormat="1" applyFont="1" applyFill="1" applyBorder="1" applyAlignment="1">
      <alignment horizontal="right" vertical="center" wrapText="1"/>
    </xf>
    <xf numFmtId="3" fontId="113" fillId="2" borderId="1" xfId="10" applyNumberFormat="1" applyFont="1" applyFill="1" applyBorder="1" applyAlignment="1">
      <alignment horizontal="center" vertical="center" wrapText="1"/>
    </xf>
    <xf numFmtId="3" fontId="113" fillId="10" borderId="1" xfId="0" applyNumberFormat="1" applyFont="1" applyFill="1" applyBorder="1" applyAlignment="1">
      <alignment horizontal="right" vertical="center" wrapText="1"/>
    </xf>
    <xf numFmtId="0" fontId="114" fillId="0" borderId="1" xfId="0" applyFont="1" applyBorder="1" applyAlignment="1">
      <alignment horizontal="center" vertical="center" wrapText="1"/>
    </xf>
    <xf numFmtId="3" fontId="106" fillId="0" borderId="3" xfId="10" applyNumberFormat="1" applyFont="1" applyBorder="1" applyAlignment="1">
      <alignment horizontal="center" vertical="center" wrapText="1"/>
    </xf>
    <xf numFmtId="3" fontId="106" fillId="0" borderId="3" xfId="10" applyNumberFormat="1" applyFont="1" applyBorder="1" applyAlignment="1">
      <alignment horizontal="left" vertical="center" wrapText="1"/>
    </xf>
    <xf numFmtId="3" fontId="106" fillId="0" borderId="3" xfId="10" applyNumberFormat="1" applyFont="1" applyBorder="1" applyAlignment="1">
      <alignment horizontal="right" vertical="center" wrapText="1"/>
    </xf>
    <xf numFmtId="0" fontId="112" fillId="0" borderId="1" xfId="17" applyFont="1" applyBorder="1" applyAlignment="1">
      <alignment horizontal="center" vertical="center" wrapText="1"/>
    </xf>
    <xf numFmtId="3" fontId="108" fillId="0" borderId="9" xfId="10" applyNumberFormat="1" applyFont="1" applyBorder="1" applyAlignment="1">
      <alignment horizontal="center" vertical="center" wrapText="1"/>
    </xf>
    <xf numFmtId="3" fontId="116" fillId="0" borderId="3" xfId="10" applyNumberFormat="1" applyFont="1" applyBorder="1" applyAlignment="1">
      <alignment horizontal="center" vertical="center" wrapText="1"/>
    </xf>
    <xf numFmtId="3" fontId="116" fillId="0" borderId="3" xfId="10" applyNumberFormat="1" applyFont="1" applyBorder="1" applyAlignment="1">
      <alignment horizontal="left" vertical="center" wrapText="1"/>
    </xf>
    <xf numFmtId="3" fontId="116" fillId="0" borderId="3" xfId="10" applyNumberFormat="1" applyFont="1" applyBorder="1" applyAlignment="1">
      <alignment horizontal="right" vertical="center" wrapText="1"/>
    </xf>
    <xf numFmtId="3" fontId="116" fillId="0" borderId="1" xfId="10" applyNumberFormat="1" applyFont="1" applyBorder="1" applyAlignment="1">
      <alignment horizontal="left" vertical="center" wrapText="1"/>
    </xf>
    <xf numFmtId="3" fontId="116" fillId="0" borderId="1" xfId="10" applyNumberFormat="1" applyFont="1" applyBorder="1" applyAlignment="1">
      <alignment horizontal="right" vertical="center" wrapText="1"/>
    </xf>
    <xf numFmtId="3" fontId="116" fillId="10" borderId="1" xfId="0" applyNumberFormat="1" applyFont="1" applyFill="1" applyBorder="1" applyAlignment="1">
      <alignment horizontal="right" vertical="center" wrapText="1"/>
    </xf>
    <xf numFmtId="3" fontId="116" fillId="0" borderId="1" xfId="10" applyNumberFormat="1" applyFont="1" applyBorder="1" applyAlignment="1">
      <alignment horizontal="center" vertical="center" wrapText="1"/>
    </xf>
    <xf numFmtId="0" fontId="115" fillId="0" borderId="2" xfId="17" quotePrefix="1" applyFont="1" applyBorder="1" applyAlignment="1">
      <alignment horizontal="left" vertical="center" wrapText="1"/>
    </xf>
    <xf numFmtId="3" fontId="116" fillId="10" borderId="2" xfId="0" applyNumberFormat="1" applyFont="1" applyFill="1" applyBorder="1" applyAlignment="1">
      <alignment horizontal="right" vertical="center" wrapText="1"/>
    </xf>
    <xf numFmtId="3" fontId="108" fillId="0" borderId="5" xfId="10" applyNumberFormat="1" applyFont="1" applyBorder="1" applyAlignment="1">
      <alignment horizontal="center" vertical="center" wrapText="1"/>
    </xf>
    <xf numFmtId="3" fontId="111" fillId="0" borderId="1" xfId="10" quotePrefix="1" applyNumberFormat="1" applyFont="1" applyBorder="1" applyAlignment="1">
      <alignment horizontal="center" vertical="center" wrapText="1"/>
    </xf>
    <xf numFmtId="3" fontId="116" fillId="0" borderId="1" xfId="10" quotePrefix="1" applyNumberFormat="1" applyFont="1" applyBorder="1" applyAlignment="1">
      <alignment horizontal="center" vertical="center" wrapText="1"/>
    </xf>
    <xf numFmtId="0" fontId="115" fillId="0" borderId="1" xfId="17" applyFont="1" applyBorder="1" applyAlignment="1">
      <alignment horizontal="center" vertical="center" wrapText="1"/>
    </xf>
    <xf numFmtId="0" fontId="115" fillId="0" borderId="1" xfId="17" applyFont="1" applyBorder="1" applyAlignment="1">
      <alignment horizontal="left" vertical="center" wrapText="1"/>
    </xf>
    <xf numFmtId="3" fontId="109" fillId="0" borderId="0" xfId="0" applyNumberFormat="1" applyFont="1" applyAlignment="1">
      <alignment horizontal="center" vertical="center" wrapText="1"/>
    </xf>
    <xf numFmtId="0" fontId="110" fillId="0" borderId="3" xfId="17" applyFont="1" applyBorder="1" applyAlignment="1">
      <alignment vertical="center" wrapText="1"/>
    </xf>
    <xf numFmtId="0" fontId="110" fillId="0" borderId="1" xfId="17" applyFont="1" applyBorder="1" applyAlignment="1">
      <alignment vertical="center" wrapText="1"/>
    </xf>
    <xf numFmtId="3" fontId="116" fillId="0" borderId="2" xfId="10" applyNumberFormat="1" applyFont="1" applyBorder="1" applyAlignment="1">
      <alignment horizontal="center" vertical="center" wrapText="1"/>
    </xf>
    <xf numFmtId="3" fontId="116" fillId="0" borderId="2" xfId="10" applyNumberFormat="1" applyFont="1" applyBorder="1" applyAlignment="1">
      <alignment horizontal="left" vertical="center" wrapText="1"/>
    </xf>
    <xf numFmtId="3" fontId="116" fillId="0" borderId="2" xfId="10" applyNumberFormat="1" applyFont="1" applyBorder="1" applyAlignment="1">
      <alignment horizontal="right" vertical="center" wrapText="1"/>
    </xf>
    <xf numFmtId="0" fontId="110" fillId="0" borderId="2" xfId="17" applyFont="1" applyBorder="1" applyAlignment="1">
      <alignment horizontal="center" vertical="center" wrapText="1"/>
    </xf>
    <xf numFmtId="0" fontId="59" fillId="0" borderId="0" xfId="0" applyFont="1" applyAlignment="1">
      <alignment horizontal="center" vertical="center" wrapText="1"/>
    </xf>
    <xf numFmtId="0" fontId="115" fillId="0" borderId="1" xfId="17" quotePrefix="1" applyFont="1" applyBorder="1" applyAlignment="1">
      <alignment horizontal="left" vertical="center" wrapText="1"/>
    </xf>
    <xf numFmtId="3" fontId="107" fillId="0" borderId="0" xfId="0" applyNumberFormat="1" applyFont="1" applyAlignment="1">
      <alignment horizontal="center" vertical="center" wrapText="1"/>
    </xf>
    <xf numFmtId="3" fontId="109" fillId="0" borderId="2" xfId="10" quotePrefix="1" applyNumberFormat="1" applyFont="1" applyBorder="1" applyAlignment="1">
      <alignment horizontal="center" vertical="center" wrapText="1"/>
    </xf>
    <xf numFmtId="3" fontId="117" fillId="0" borderId="9" xfId="10" applyNumberFormat="1" applyFont="1" applyBorder="1" applyAlignment="1">
      <alignment horizontal="center" vertical="center" wrapText="1"/>
    </xf>
    <xf numFmtId="3" fontId="117" fillId="0" borderId="9" xfId="10" applyNumberFormat="1" applyFont="1" applyBorder="1" applyAlignment="1">
      <alignment horizontal="right" vertical="center" wrapText="1"/>
    </xf>
    <xf numFmtId="0" fontId="115" fillId="0" borderId="1" xfId="17" applyFont="1" applyBorder="1" applyAlignment="1">
      <alignment horizontal="center" vertical="center" wrapText="1"/>
    </xf>
    <xf numFmtId="0" fontId="115" fillId="0" borderId="1" xfId="17" applyFont="1" applyBorder="1" applyAlignment="1">
      <alignment horizontal="left" vertical="center" wrapText="1"/>
    </xf>
    <xf numFmtId="3" fontId="117" fillId="0" borderId="1" xfId="10" quotePrefix="1" applyNumberFormat="1" applyFont="1" applyBorder="1" applyAlignment="1">
      <alignment horizontal="center" vertical="center" wrapText="1"/>
    </xf>
    <xf numFmtId="0" fontId="118" fillId="0" borderId="1" xfId="17" quotePrefix="1" applyFont="1" applyBorder="1" applyAlignment="1">
      <alignment horizontal="left" vertical="center" wrapText="1"/>
    </xf>
    <xf numFmtId="3" fontId="117" fillId="10" borderId="1" xfId="0" applyNumberFormat="1" applyFont="1" applyFill="1" applyBorder="1" applyAlignment="1">
      <alignment horizontal="right" vertical="center" wrapText="1"/>
    </xf>
    <xf numFmtId="3" fontId="117" fillId="0" borderId="1" xfId="10" applyNumberFormat="1" applyFont="1" applyBorder="1" applyAlignment="1">
      <alignment horizontal="center" vertical="center" wrapText="1"/>
    </xf>
    <xf numFmtId="3" fontId="117" fillId="0" borderId="1" xfId="10" applyNumberFormat="1" applyFont="1" applyBorder="1" applyAlignment="1">
      <alignment horizontal="left" vertical="center" wrapText="1"/>
    </xf>
    <xf numFmtId="3" fontId="117" fillId="0" borderId="1" xfId="10" applyNumberFormat="1" applyFont="1" applyBorder="1" applyAlignment="1">
      <alignment horizontal="right" vertical="center" wrapText="1"/>
    </xf>
    <xf numFmtId="4" fontId="109" fillId="10" borderId="1" xfId="0" applyNumberFormat="1" applyFont="1" applyFill="1" applyBorder="1" applyAlignment="1">
      <alignment horizontal="right" vertical="center" wrapText="1"/>
    </xf>
    <xf numFmtId="4" fontId="117" fillId="10" borderId="1" xfId="0" applyNumberFormat="1" applyFont="1" applyFill="1" applyBorder="1" applyAlignment="1">
      <alignment horizontal="right" vertical="center" wrapText="1"/>
    </xf>
    <xf numFmtId="4" fontId="109" fillId="10" borderId="2" xfId="0" applyNumberFormat="1" applyFont="1" applyFill="1" applyBorder="1" applyAlignment="1">
      <alignment horizontal="right" vertical="center" wrapText="1"/>
    </xf>
    <xf numFmtId="0" fontId="110" fillId="0" borderId="1" xfId="17" applyFont="1" applyBorder="1" applyAlignment="1">
      <alignment horizontal="right" vertical="center" wrapText="1"/>
    </xf>
    <xf numFmtId="0" fontId="118" fillId="0" borderId="1" xfId="17" applyFont="1" applyBorder="1" applyAlignment="1">
      <alignment horizontal="right" vertical="center" wrapText="1"/>
    </xf>
    <xf numFmtId="0" fontId="115" fillId="0" borderId="2" xfId="17" applyFont="1" applyBorder="1" applyAlignment="1">
      <alignment horizontal="right" vertical="center" wrapText="1"/>
    </xf>
    <xf numFmtId="0" fontId="118" fillId="0" borderId="1" xfId="17" applyFont="1" applyBorder="1" applyAlignment="1">
      <alignment horizontal="left" vertical="center" wrapText="1"/>
    </xf>
    <xf numFmtId="0" fontId="108" fillId="0" borderId="9" xfId="10" applyNumberFormat="1" applyFont="1" applyBorder="1" applyAlignment="1">
      <alignment horizontal="center" vertical="center" wrapText="1"/>
    </xf>
    <xf numFmtId="3" fontId="109" fillId="10" borderId="2" xfId="0" applyNumberFormat="1" applyFont="1" applyFill="1" applyBorder="1" applyAlignment="1">
      <alignment horizontal="right" vertical="center" wrapText="1"/>
    </xf>
    <xf numFmtId="3" fontId="119" fillId="0" borderId="1" xfId="10" quotePrefix="1" applyNumberFormat="1" applyFont="1" applyFill="1" applyBorder="1" applyAlignment="1">
      <alignment horizontal="center" vertical="center" wrapText="1"/>
    </xf>
    <xf numFmtId="0" fontId="119" fillId="0" borderId="1" xfId="17" applyFont="1" applyFill="1" applyBorder="1" applyAlignment="1">
      <alignment horizontal="left" vertical="center" wrapText="1"/>
    </xf>
    <xf numFmtId="3" fontId="119" fillId="0" borderId="1" xfId="0" applyNumberFormat="1" applyFont="1" applyFill="1" applyBorder="1" applyAlignment="1">
      <alignment horizontal="right" vertical="center" wrapText="1"/>
    </xf>
    <xf numFmtId="4" fontId="119" fillId="0" borderId="1" xfId="0" applyNumberFormat="1" applyFont="1" applyFill="1" applyBorder="1" applyAlignment="1">
      <alignment horizontal="right" vertical="center" wrapText="1"/>
    </xf>
    <xf numFmtId="0" fontId="119" fillId="0" borderId="1" xfId="17" applyFont="1" applyFill="1" applyBorder="1" applyAlignment="1">
      <alignment horizontal="center" vertical="center" wrapText="1"/>
    </xf>
    <xf numFmtId="3" fontId="109" fillId="0" borderId="1" xfId="10" quotePrefix="1" applyNumberFormat="1" applyFont="1" applyFill="1" applyBorder="1" applyAlignment="1">
      <alignment horizontal="center" vertical="center" wrapText="1"/>
    </xf>
    <xf numFmtId="0" fontId="115" fillId="0" borderId="1" xfId="17" applyFont="1" applyFill="1" applyBorder="1" applyAlignment="1">
      <alignment horizontal="left" vertical="center" wrapText="1"/>
    </xf>
    <xf numFmtId="3" fontId="116" fillId="0" borderId="1" xfId="0" applyNumberFormat="1" applyFont="1" applyFill="1" applyBorder="1" applyAlignment="1">
      <alignment horizontal="right" vertical="center" wrapText="1"/>
    </xf>
    <xf numFmtId="3" fontId="109" fillId="0" borderId="1" xfId="0" applyNumberFormat="1" applyFont="1" applyFill="1" applyBorder="1" applyAlignment="1">
      <alignment horizontal="right" vertical="center" wrapText="1"/>
    </xf>
    <xf numFmtId="4" fontId="109" fillId="0" borderId="1" xfId="0" applyNumberFormat="1" applyFont="1" applyFill="1" applyBorder="1" applyAlignment="1">
      <alignment horizontal="right" vertical="center" wrapText="1"/>
    </xf>
    <xf numFmtId="0" fontId="115" fillId="0" borderId="1" xfId="17" applyFont="1" applyFill="1" applyBorder="1" applyAlignment="1">
      <alignment horizontal="center" vertical="center" wrapText="1"/>
    </xf>
    <xf numFmtId="0" fontId="119" fillId="0" borderId="1" xfId="17" quotePrefix="1" applyFont="1" applyFill="1" applyBorder="1" applyAlignment="1">
      <alignment horizontal="left" vertical="center" wrapText="1"/>
    </xf>
    <xf numFmtId="0" fontId="118" fillId="0" borderId="1" xfId="17" applyFont="1" applyBorder="1" applyAlignment="1">
      <alignment horizontal="center" vertical="center" wrapText="1"/>
    </xf>
    <xf numFmtId="3" fontId="34" fillId="0" borderId="0" xfId="20" applyNumberFormat="1" applyFont="1" applyAlignment="1">
      <alignment horizontal="center"/>
    </xf>
    <xf numFmtId="3" fontId="24" fillId="0" borderId="0" xfId="20" applyNumberFormat="1" applyFont="1" applyAlignment="1">
      <alignment horizontal="center"/>
    </xf>
    <xf numFmtId="3" fontId="25" fillId="0" borderId="0" xfId="20" applyNumberFormat="1" applyFont="1" applyAlignment="1">
      <alignment horizontal="center"/>
    </xf>
    <xf numFmtId="49" fontId="8" fillId="0" borderId="5" xfId="20" applyNumberFormat="1" applyFont="1" applyBorder="1" applyAlignment="1">
      <alignment horizontal="center" vertical="center" wrapText="1"/>
    </xf>
    <xf numFmtId="49" fontId="26" fillId="0" borderId="5" xfId="20" applyNumberFormat="1" applyFont="1" applyBorder="1" applyAlignment="1">
      <alignment horizontal="center" vertical="center" wrapText="1"/>
    </xf>
    <xf numFmtId="3" fontId="8" fillId="0" borderId="5" xfId="20" applyNumberFormat="1" applyFont="1" applyBorder="1" applyAlignment="1">
      <alignment horizontal="center" vertical="center" wrapText="1"/>
    </xf>
    <xf numFmtId="3" fontId="26" fillId="0" borderId="5" xfId="20" applyNumberFormat="1" applyFont="1" applyBorder="1" applyAlignment="1">
      <alignment horizontal="center" vertical="center" wrapText="1"/>
    </xf>
    <xf numFmtId="3" fontId="29" fillId="3" borderId="3" xfId="0" applyNumberFormat="1" applyFont="1" applyFill="1" applyBorder="1" applyAlignment="1">
      <alignment horizontal="center" vertical="center" wrapText="1"/>
    </xf>
    <xf numFmtId="3" fontId="29" fillId="3" borderId="7" xfId="0" applyNumberFormat="1" applyFont="1" applyFill="1" applyBorder="1" applyAlignment="1">
      <alignment horizontal="center" vertical="center" wrapText="1"/>
    </xf>
    <xf numFmtId="3" fontId="29" fillId="3" borderId="9" xfId="0" applyNumberFormat="1" applyFont="1" applyFill="1" applyBorder="1" applyAlignment="1">
      <alignment horizontal="center" vertical="center" wrapText="1"/>
    </xf>
    <xf numFmtId="3" fontId="29" fillId="3" borderId="6" xfId="0" applyNumberFormat="1" applyFont="1" applyFill="1" applyBorder="1" applyAlignment="1">
      <alignment horizontal="center" vertical="center" wrapText="1"/>
    </xf>
    <xf numFmtId="3" fontId="10" fillId="3" borderId="0" xfId="0" applyNumberFormat="1" applyFont="1" applyFill="1" applyAlignment="1">
      <alignment horizontal="center" vertical="center" wrapText="1"/>
    </xf>
    <xf numFmtId="3" fontId="28" fillId="3" borderId="8" xfId="0" applyNumberFormat="1" applyFont="1" applyFill="1" applyBorder="1" applyAlignment="1">
      <alignment horizontal="center"/>
    </xf>
    <xf numFmtId="49" fontId="21" fillId="3" borderId="3" xfId="0" applyNumberFormat="1" applyFont="1" applyFill="1" applyBorder="1" applyAlignment="1">
      <alignment horizontal="center" vertical="center" wrapText="1"/>
    </xf>
    <xf numFmtId="49" fontId="29" fillId="3" borderId="7" xfId="0" applyNumberFormat="1" applyFont="1" applyFill="1" applyBorder="1" applyAlignment="1">
      <alignment horizontal="center" vertical="center" wrapText="1"/>
    </xf>
    <xf numFmtId="0" fontId="34" fillId="0" borderId="0" xfId="0" applyFont="1" applyAlignment="1">
      <alignment horizontal="center"/>
    </xf>
    <xf numFmtId="0" fontId="35" fillId="0" borderId="0" xfId="0" applyFont="1" applyAlignment="1">
      <alignment horizontal="center"/>
    </xf>
    <xf numFmtId="3" fontId="15" fillId="3" borderId="7" xfId="0" applyNumberFormat="1" applyFont="1" applyFill="1" applyBorder="1" applyAlignment="1">
      <alignment horizontal="center" vertical="center" wrapText="1"/>
    </xf>
    <xf numFmtId="3" fontId="15" fillId="3" borderId="6" xfId="0" applyNumberFormat="1" applyFont="1" applyFill="1" applyBorder="1" applyAlignment="1">
      <alignment horizontal="center" vertical="center" wrapText="1"/>
    </xf>
    <xf numFmtId="3" fontId="15" fillId="3" borderId="4" xfId="0" applyNumberFormat="1" applyFont="1" applyFill="1" applyBorder="1" applyAlignment="1">
      <alignment horizontal="center" vertical="center" wrapText="1"/>
    </xf>
    <xf numFmtId="3" fontId="15" fillId="3" borderId="1" xfId="0" applyNumberFormat="1" applyFont="1" applyFill="1" applyBorder="1" applyAlignment="1">
      <alignment horizontal="center" vertical="center" wrapText="1"/>
    </xf>
    <xf numFmtId="0" fontId="5" fillId="3" borderId="0" xfId="0" applyFont="1" applyFill="1" applyAlignment="1">
      <alignment horizontal="center" vertical="center"/>
    </xf>
    <xf numFmtId="0" fontId="41" fillId="3" borderId="0" xfId="0" applyFont="1" applyFill="1" applyAlignment="1">
      <alignment horizontal="center" vertical="center"/>
    </xf>
    <xf numFmtId="0" fontId="41" fillId="3" borderId="8" xfId="0" applyFont="1" applyFill="1" applyBorder="1" applyAlignment="1">
      <alignment horizontal="center" vertical="center"/>
    </xf>
    <xf numFmtId="0" fontId="18" fillId="3" borderId="5" xfId="0" applyFont="1" applyFill="1" applyBorder="1" applyAlignment="1">
      <alignment horizontal="center" vertical="center" wrapText="1"/>
    </xf>
    <xf numFmtId="0" fontId="18" fillId="3" borderId="9" xfId="0" applyFont="1" applyFill="1" applyBorder="1" applyAlignment="1">
      <alignment horizontal="center" vertical="center" wrapText="1"/>
    </xf>
    <xf numFmtId="0" fontId="18" fillId="3" borderId="10" xfId="0" applyFont="1" applyFill="1" applyBorder="1" applyAlignment="1">
      <alignment horizontal="center" vertical="center" wrapText="1"/>
    </xf>
    <xf numFmtId="3" fontId="36" fillId="3" borderId="5" xfId="0" applyNumberFormat="1" applyFont="1" applyFill="1" applyBorder="1" applyAlignment="1">
      <alignment horizontal="center" vertical="center" wrapText="1"/>
    </xf>
    <xf numFmtId="0" fontId="4" fillId="3" borderId="0" xfId="0" applyFont="1" applyFill="1" applyAlignment="1">
      <alignment horizontal="center" vertical="center"/>
    </xf>
    <xf numFmtId="0" fontId="39" fillId="3" borderId="8" xfId="0" applyFont="1" applyFill="1" applyBorder="1" applyAlignment="1">
      <alignment horizontal="right"/>
    </xf>
    <xf numFmtId="0" fontId="4" fillId="3" borderId="9" xfId="0" applyFont="1" applyFill="1" applyBorder="1" applyAlignment="1">
      <alignment horizontal="center" vertical="center" wrapText="1"/>
    </xf>
    <xf numFmtId="0" fontId="4" fillId="3" borderId="10" xfId="0" applyFont="1" applyFill="1" applyBorder="1" applyAlignment="1">
      <alignment horizontal="center" vertical="center" wrapText="1"/>
    </xf>
    <xf numFmtId="0" fontId="4" fillId="3" borderId="20" xfId="0" applyFont="1" applyFill="1" applyBorder="1" applyAlignment="1">
      <alignment horizontal="center" vertical="center" wrapText="1"/>
    </xf>
    <xf numFmtId="0" fontId="4" fillId="3" borderId="21" xfId="0" applyFont="1" applyFill="1" applyBorder="1" applyAlignment="1">
      <alignment horizontal="center" vertical="center" wrapText="1"/>
    </xf>
    <xf numFmtId="3" fontId="4" fillId="3" borderId="9" xfId="0" applyNumberFormat="1" applyFont="1" applyFill="1" applyBorder="1" applyAlignment="1">
      <alignment horizontal="center" vertical="center" wrapText="1"/>
    </xf>
    <xf numFmtId="3" fontId="4" fillId="3" borderId="10" xfId="0" applyNumberFormat="1" applyFont="1" applyFill="1" applyBorder="1" applyAlignment="1">
      <alignment horizontal="center" vertical="center" wrapText="1"/>
    </xf>
    <xf numFmtId="0" fontId="4" fillId="3" borderId="18" xfId="0" applyFont="1" applyFill="1" applyBorder="1" applyAlignment="1">
      <alignment horizontal="center" vertical="center" wrapText="1"/>
    </xf>
    <xf numFmtId="0" fontId="4" fillId="3" borderId="19" xfId="0" applyFont="1" applyFill="1" applyBorder="1" applyAlignment="1">
      <alignment horizontal="center" vertical="center" wrapText="1"/>
    </xf>
    <xf numFmtId="0" fontId="8" fillId="3" borderId="0" xfId="0" applyFont="1" applyFill="1" applyAlignment="1">
      <alignment horizontal="center" wrapText="1"/>
    </xf>
    <xf numFmtId="0" fontId="4" fillId="3" borderId="5" xfId="11" applyFont="1" applyFill="1" applyBorder="1" applyAlignment="1">
      <alignment horizontal="center" vertical="center" wrapText="1"/>
    </xf>
    <xf numFmtId="0" fontId="4" fillId="3" borderId="5" xfId="11" applyFont="1" applyFill="1" applyBorder="1" applyAlignment="1">
      <alignment horizontal="center" vertical="center"/>
    </xf>
    <xf numFmtId="0" fontId="4" fillId="3" borderId="9" xfId="11" applyFont="1" applyFill="1" applyBorder="1" applyAlignment="1">
      <alignment horizontal="center" vertical="center" wrapText="1"/>
    </xf>
    <xf numFmtId="0" fontId="4" fillId="3" borderId="10" xfId="11" applyFont="1" applyFill="1" applyBorder="1" applyAlignment="1">
      <alignment horizontal="center" vertical="center" wrapText="1"/>
    </xf>
    <xf numFmtId="3" fontId="7" fillId="3" borderId="0" xfId="0" applyNumberFormat="1" applyFont="1" applyFill="1" applyAlignment="1">
      <alignment horizontal="center" vertical="center"/>
    </xf>
    <xf numFmtId="3" fontId="108" fillId="0" borderId="0" xfId="25" applyNumberFormat="1" applyFont="1" applyAlignment="1">
      <alignment horizontal="center" vertical="center" wrapText="1"/>
    </xf>
    <xf numFmtId="3" fontId="5" fillId="0" borderId="0" xfId="10" applyNumberFormat="1" applyFont="1" applyAlignment="1">
      <alignment horizontal="center" vertical="center" wrapText="1"/>
    </xf>
    <xf numFmtId="0" fontId="115" fillId="0" borderId="1" xfId="17" applyFont="1" applyBorder="1" applyAlignment="1">
      <alignment horizontal="center" vertical="center" wrapText="1"/>
    </xf>
    <xf numFmtId="0" fontId="115" fillId="0" borderId="2" xfId="17" applyFont="1" applyBorder="1" applyAlignment="1">
      <alignment horizontal="center" vertical="center" wrapText="1"/>
    </xf>
    <xf numFmtId="0" fontId="115" fillId="0" borderId="1" xfId="17" applyFont="1" applyBorder="1" applyAlignment="1">
      <alignment horizontal="left" vertical="center" wrapText="1"/>
    </xf>
    <xf numFmtId="0" fontId="115" fillId="0" borderId="2" xfId="17" applyFont="1" applyBorder="1" applyAlignment="1">
      <alignment horizontal="left" vertical="center" wrapText="1"/>
    </xf>
    <xf numFmtId="3" fontId="106" fillId="0" borderId="0" xfId="10" applyNumberFormat="1" applyFont="1" applyAlignment="1">
      <alignment horizontal="center" vertical="center" wrapText="1"/>
    </xf>
    <xf numFmtId="3" fontId="55" fillId="3" borderId="9" xfId="0" applyNumberFormat="1" applyFont="1" applyFill="1" applyBorder="1" applyAlignment="1">
      <alignment horizontal="center" vertical="center" wrapText="1"/>
    </xf>
    <xf numFmtId="3" fontId="55" fillId="3" borderId="10" xfId="0" applyNumberFormat="1" applyFont="1" applyFill="1" applyBorder="1" applyAlignment="1">
      <alignment horizontal="center" vertical="center" wrapText="1"/>
    </xf>
    <xf numFmtId="0" fontId="5" fillId="3" borderId="0" xfId="0" applyFont="1" applyFill="1" applyAlignment="1">
      <alignment horizontal="center"/>
    </xf>
    <xf numFmtId="3" fontId="55" fillId="3" borderId="9" xfId="0" applyNumberFormat="1" applyFont="1" applyFill="1" applyBorder="1" applyAlignment="1">
      <alignment horizontal="center" vertical="center"/>
    </xf>
    <xf numFmtId="3" fontId="55" fillId="3" borderId="10" xfId="0" applyNumberFormat="1" applyFont="1" applyFill="1" applyBorder="1" applyAlignment="1">
      <alignment horizontal="center" vertical="center"/>
    </xf>
    <xf numFmtId="167" fontId="55" fillId="3" borderId="9" xfId="0" applyNumberFormat="1" applyFont="1" applyFill="1" applyBorder="1" applyAlignment="1">
      <alignment horizontal="center" vertical="center" wrapText="1"/>
    </xf>
    <xf numFmtId="167" fontId="55" fillId="3" borderId="10" xfId="0" applyNumberFormat="1" applyFont="1" applyFill="1" applyBorder="1" applyAlignment="1">
      <alignment horizontal="center" vertical="center" wrapText="1"/>
    </xf>
    <xf numFmtId="0" fontId="55" fillId="3" borderId="22" xfId="0" applyFont="1" applyFill="1" applyBorder="1" applyAlignment="1">
      <alignment horizontal="center" vertical="center" wrapText="1"/>
    </xf>
    <xf numFmtId="0" fontId="55" fillId="3" borderId="21" xfId="0" applyFont="1" applyFill="1" applyBorder="1" applyAlignment="1">
      <alignment horizontal="center" vertical="center" wrapText="1"/>
    </xf>
    <xf numFmtId="0" fontId="55" fillId="3" borderId="20" xfId="0" applyFont="1" applyFill="1" applyBorder="1" applyAlignment="1">
      <alignment horizontal="center" vertical="center"/>
    </xf>
    <xf numFmtId="0" fontId="55" fillId="3" borderId="21" xfId="0" applyFont="1" applyFill="1" applyBorder="1" applyAlignment="1">
      <alignment horizontal="center" vertical="center"/>
    </xf>
    <xf numFmtId="3" fontId="8" fillId="3" borderId="17" xfId="0" applyNumberFormat="1" applyFont="1" applyFill="1" applyBorder="1" applyAlignment="1">
      <alignment horizontal="center" vertical="center"/>
    </xf>
    <xf numFmtId="3" fontId="8" fillId="3" borderId="23" xfId="0" applyNumberFormat="1" applyFont="1" applyFill="1" applyBorder="1" applyAlignment="1">
      <alignment horizontal="center" vertical="center"/>
    </xf>
    <xf numFmtId="3" fontId="8" fillId="3" borderId="24" xfId="0" applyNumberFormat="1" applyFont="1" applyFill="1" applyBorder="1" applyAlignment="1">
      <alignment horizontal="center" vertical="center"/>
    </xf>
    <xf numFmtId="0" fontId="6" fillId="3" borderId="7" xfId="0" applyFont="1" applyFill="1" applyBorder="1" applyAlignment="1">
      <alignment horizontal="center" vertical="center" wrapText="1"/>
    </xf>
    <xf numFmtId="0" fontId="6" fillId="3" borderId="4" xfId="0" applyFont="1" applyFill="1" applyBorder="1" applyAlignment="1">
      <alignment horizontal="center" vertical="center" wrapText="1"/>
    </xf>
    <xf numFmtId="3" fontId="34" fillId="3" borderId="0" xfId="0" applyNumberFormat="1" applyFont="1" applyFill="1" applyAlignment="1">
      <alignment horizontal="center" vertical="center" wrapText="1"/>
    </xf>
    <xf numFmtId="3" fontId="7" fillId="3" borderId="8" xfId="0" applyNumberFormat="1" applyFont="1" applyFill="1" applyBorder="1" applyAlignment="1">
      <alignment horizontal="right"/>
    </xf>
    <xf numFmtId="3" fontId="8" fillId="3" borderId="3" xfId="0" applyNumberFormat="1" applyFont="1" applyFill="1" applyBorder="1" applyAlignment="1">
      <alignment horizontal="center" vertical="center"/>
    </xf>
    <xf numFmtId="3" fontId="8" fillId="3" borderId="1" xfId="0" applyNumberFormat="1" applyFont="1" applyFill="1" applyBorder="1" applyAlignment="1">
      <alignment horizontal="center" vertical="center"/>
    </xf>
    <xf numFmtId="3" fontId="8" fillId="3" borderId="9" xfId="0" applyNumberFormat="1" applyFont="1" applyFill="1" applyBorder="1" applyAlignment="1">
      <alignment horizontal="center" vertical="center" wrapText="1"/>
    </xf>
    <xf numFmtId="3" fontId="8" fillId="3" borderId="4" xfId="0" applyNumberFormat="1" applyFont="1" applyFill="1" applyBorder="1" applyAlignment="1">
      <alignment horizontal="center" vertical="center" wrapText="1"/>
    </xf>
    <xf numFmtId="14" fontId="8" fillId="3" borderId="9" xfId="0" applyNumberFormat="1" applyFont="1" applyFill="1" applyBorder="1" applyAlignment="1">
      <alignment horizontal="center" vertical="center" wrapText="1"/>
    </xf>
    <xf numFmtId="14" fontId="8" fillId="3" borderId="4" xfId="0" applyNumberFormat="1" applyFont="1" applyFill="1" applyBorder="1" applyAlignment="1">
      <alignment horizontal="center" vertical="center" wrapText="1"/>
    </xf>
    <xf numFmtId="3" fontId="8" fillId="3" borderId="3" xfId="0" applyNumberFormat="1" applyFont="1" applyFill="1" applyBorder="1" applyAlignment="1">
      <alignment horizontal="center" vertical="center" wrapText="1"/>
    </xf>
    <xf numFmtId="3" fontId="8" fillId="3" borderId="1" xfId="0" applyNumberFormat="1" applyFont="1" applyFill="1" applyBorder="1" applyAlignment="1">
      <alignment horizontal="center" vertical="center" wrapText="1"/>
    </xf>
    <xf numFmtId="4" fontId="8" fillId="3" borderId="3" xfId="0" applyNumberFormat="1" applyFont="1" applyFill="1" applyBorder="1" applyAlignment="1">
      <alignment horizontal="center" vertical="center" wrapText="1"/>
    </xf>
    <xf numFmtId="4" fontId="8" fillId="3" borderId="1" xfId="0" applyNumberFormat="1" applyFont="1" applyFill="1" applyBorder="1" applyAlignment="1">
      <alignment horizontal="center" vertical="center" wrapText="1"/>
    </xf>
    <xf numFmtId="3" fontId="102" fillId="0" borderId="9" xfId="28" applyNumberFormat="1" applyFont="1" applyBorder="1" applyAlignment="1">
      <alignment horizontal="left" vertical="center" wrapText="1"/>
    </xf>
    <xf numFmtId="3" fontId="102" fillId="0" borderId="6" xfId="28" applyNumberFormat="1" applyFont="1" applyBorder="1" applyAlignment="1">
      <alignment horizontal="left" vertical="center" wrapText="1"/>
    </xf>
    <xf numFmtId="3" fontId="1" fillId="13" borderId="5" xfId="0" applyNumberFormat="1" applyFont="1" applyFill="1" applyBorder="1" applyAlignment="1">
      <alignment horizontal="right" vertical="center"/>
    </xf>
    <xf numFmtId="0" fontId="0" fillId="13" borderId="5" xfId="0" applyFill="1" applyBorder="1" applyAlignment="1">
      <alignment horizontal="right" vertical="center"/>
    </xf>
    <xf numFmtId="3" fontId="0" fillId="0" borderId="5" xfId="0" applyNumberFormat="1" applyBorder="1" applyAlignment="1">
      <alignment horizontal="right" vertical="center"/>
    </xf>
    <xf numFmtId="0" fontId="0" fillId="0" borderId="5" xfId="0" applyBorder="1" applyAlignment="1">
      <alignment horizontal="right" vertical="center"/>
    </xf>
    <xf numFmtId="0" fontId="0" fillId="13" borderId="9" xfId="0" applyFill="1" applyBorder="1" applyAlignment="1">
      <alignment horizontal="right" vertical="center"/>
    </xf>
    <xf numFmtId="0" fontId="0" fillId="13" borderId="10" xfId="0" applyFill="1" applyBorder="1" applyAlignment="1">
      <alignment horizontal="right" vertical="center"/>
    </xf>
    <xf numFmtId="3" fontId="0" fillId="0" borderId="9" xfId="0" applyNumberFormat="1" applyBorder="1" applyAlignment="1">
      <alignment horizontal="right" vertical="center"/>
    </xf>
    <xf numFmtId="0" fontId="0" fillId="0" borderId="10" xfId="0" applyBorder="1" applyAlignment="1">
      <alignment horizontal="right" vertical="center"/>
    </xf>
    <xf numFmtId="3" fontId="0" fillId="13" borderId="9" xfId="0" applyNumberFormat="1" applyFill="1" applyBorder="1" applyAlignment="1">
      <alignment horizontal="right" vertical="center"/>
    </xf>
    <xf numFmtId="0" fontId="1" fillId="0" borderId="12" xfId="0" applyFont="1" applyBorder="1" applyAlignment="1">
      <alignment horizontal="center"/>
    </xf>
    <xf numFmtId="3" fontId="0" fillId="13" borderId="5" xfId="0" applyNumberFormat="1" applyFill="1" applyBorder="1" applyAlignment="1">
      <alignment horizontal="right" vertical="center"/>
    </xf>
    <xf numFmtId="0" fontId="1" fillId="13" borderId="8" xfId="0" applyFont="1" applyFill="1" applyBorder="1" applyAlignment="1">
      <alignment horizontal="center" vertical="center" wrapText="1"/>
    </xf>
    <xf numFmtId="3" fontId="117" fillId="0" borderId="4" xfId="10" applyNumberFormat="1" applyFont="1" applyBorder="1" applyAlignment="1">
      <alignment horizontal="center" vertical="center" wrapText="1"/>
    </xf>
    <xf numFmtId="3" fontId="117" fillId="0" borderId="4" xfId="10" applyNumberFormat="1" applyFont="1" applyBorder="1" applyAlignment="1">
      <alignment horizontal="left" vertical="center" wrapText="1"/>
    </xf>
    <xf numFmtId="3" fontId="117" fillId="0" borderId="4" xfId="10" applyNumberFormat="1" applyFont="1" applyBorder="1" applyAlignment="1">
      <alignment horizontal="right" vertical="center" wrapText="1"/>
    </xf>
    <xf numFmtId="4" fontId="117" fillId="10" borderId="4" xfId="0" applyNumberFormat="1" applyFont="1" applyFill="1" applyBorder="1" applyAlignment="1">
      <alignment horizontal="right" vertical="center" wrapText="1"/>
    </xf>
    <xf numFmtId="3" fontId="117" fillId="0" borderId="5" xfId="10" applyNumberFormat="1" applyFont="1" applyBorder="1" applyAlignment="1">
      <alignment horizontal="right" vertical="center" wrapText="1"/>
    </xf>
    <xf numFmtId="4" fontId="117" fillId="10" borderId="5" xfId="0" applyNumberFormat="1" applyFont="1" applyFill="1" applyBorder="1" applyAlignment="1">
      <alignment horizontal="right" vertical="center" wrapText="1"/>
    </xf>
  </cellXfs>
  <cellStyles count="41">
    <cellStyle name="Bình thường" xfId="0" builtinId="0"/>
    <cellStyle name="Bình thường 2" xfId="1"/>
    <cellStyle name="Comma [0] 2" xfId="30"/>
    <cellStyle name="Comma [0] 2 2 3" xfId="27"/>
    <cellStyle name="Comma 12" xfId="39"/>
    <cellStyle name="Comma 2" xfId="3"/>
    <cellStyle name="Comma 2 2" xfId="34"/>
    <cellStyle name="Comma 3" xfId="4"/>
    <cellStyle name="Comma 3 2" xfId="36"/>
    <cellStyle name="Comma 4" xfId="5"/>
    <cellStyle name="Comma 4 2" xfId="6"/>
    <cellStyle name="Comma 4 3" xfId="35"/>
    <cellStyle name="Comma 5" xfId="7"/>
    <cellStyle name="Comma 6" xfId="8"/>
    <cellStyle name="Comma 7" xfId="29"/>
    <cellStyle name="Comma 8" xfId="33"/>
    <cellStyle name="Comma 9" xfId="40"/>
    <cellStyle name="Dấu_phảy" xfId="2" builtinId="3"/>
    <cellStyle name="Normal 10" xfId="9"/>
    <cellStyle name="Normal 11" xfId="26"/>
    <cellStyle name="Normal 12" xfId="10"/>
    <cellStyle name="Normal 2" xfId="11"/>
    <cellStyle name="Normal 2 2" xfId="12"/>
    <cellStyle name="Normal 2 2 2 2" xfId="13"/>
    <cellStyle name="Normal 2 3" xfId="14"/>
    <cellStyle name="Normal 2 4" xfId="15"/>
    <cellStyle name="Normal 2 5" xfId="38"/>
    <cellStyle name="Normal 3" xfId="16"/>
    <cellStyle name="Normal 3 2" xfId="32"/>
    <cellStyle name="Normal 3 3" xfId="37"/>
    <cellStyle name="Normal 4" xfId="17"/>
    <cellStyle name="Normal 5" xfId="18"/>
    <cellStyle name="Normal 5 2" xfId="19"/>
    <cellStyle name="Normal 6" xfId="20"/>
    <cellStyle name="Normal 7" xfId="21"/>
    <cellStyle name="Normal 8" xfId="22"/>
    <cellStyle name="Normal 9" xfId="23"/>
    <cellStyle name="Normal_060331 Bieu tinh chi thuong xuyen NSDP 2007 theo DM bc TTg" xfId="24"/>
    <cellStyle name="Normal_Bieu mau (CV )" xfId="28"/>
    <cellStyle name="Normal_Bieu TH so thu nam 2007 Cac don vi va toan nganh" xfId="25"/>
    <cellStyle name="Percent 2" xfId="3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4.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3.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7.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2.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1.xml"/><Relationship Id="rId28" Type="http://schemas.openxmlformats.org/officeDocument/2006/relationships/externalLink" Target="externalLinks/externalLink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5.xml"/><Relationship Id="rId30" Type="http://schemas.openxmlformats.org/officeDocument/2006/relationships/externalLink" Target="externalLinks/externalLink8.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hienstc\Downloads\BC%20ngu&#7891;n%20t&#7881;nh%20&#273;i&#7873;u%20h&#224;nh%20&#273;&#7871;n%20ng&#224;y%2020%2011%20201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QLNS\H&#7890;NG%20NG&#7884;C\C&#212;NG%20V&#258;N%20KH&#193;C\2023\DC%20TTTKC\bi&#234;u%20DC%20TTTKC%20lan%202%20(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QLNS\H&#7890;NG%20NG&#7884;C\T&#7900;%20TR&#204;NH\2023\TTTKC\&#272;i&#7873;u%20ch&#7881;nh%20TTTKC\&#272;i&#7873;u%20ch&#7881;nh%20PATTTKC%202022.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QLNS\THEO%20D&#213;I%20NGU&#7890;N\2022\Bieu-chi-tiet-kem-theo%20BC%20nguon%202022.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Admin/Documents/Zalo%20Received%20Files/1.%20NHAP%20TABMIS%202024%20(1).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Admin/Documents/Zalo%20Received%20Files/1.%20NHAP%20TABMIS%202024%20(2).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Admin/Downloads/3.%20&#272;&#7847;u%20t&#432;%20c&#244;ng%202023%20(2).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Users/Admin/Downloads/T5.%20d&#7921;%20th&#7843;o%20&#272;%20&#273;i&#7873;u%20ch&#7881;nh%20ch&#7881;nh%20NS&#272;P%202023%20(l&#7847;n%2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WƯT"/>
      <sheetName val="NS ĐP cho vay"/>
      <sheetName val="TH nguon"/>
      <sheetName val="Nguon TW"/>
      <sheetName val="Chi tiet bo sung KP"/>
      <sheetName val="QDTTC"/>
      <sheetName val="LK TƯ,ƯT NSTƯ"/>
      <sheetName val="Sheet1"/>
      <sheetName val="Sheet2"/>
      <sheetName val="Sheet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xz_5"/>
      <sheetName val="PL 01- TKC ĐT"/>
      <sheetName val="foxz"/>
      <sheetName val="foxz_2"/>
      <sheetName val="foxz_3"/>
      <sheetName val="foxz_4"/>
      <sheetName val="Sheet1"/>
      <sheetName val="PL 03-TMPA đc"/>
      <sheetName val="foxz_6"/>
      <sheetName val="foxz_7"/>
      <sheetName val="foxz_8"/>
      <sheetName val="PA dieu chinh tang, giam"/>
      <sheetName val="PL 02- hụt thu NS tỉnh"/>
      <sheetName val="Chi tiết PA TTTKC sau đc"/>
      <sheetName val="Sheet3"/>
      <sheetName val="foxz_9"/>
      <sheetName val="foxz_10"/>
      <sheetName val="foxz_11"/>
    </sheetNames>
    <sheetDataSet>
      <sheetData sheetId="0"/>
      <sheetData sheetId="1"/>
      <sheetData sheetId="2"/>
      <sheetData sheetId="3"/>
      <sheetData sheetId="4"/>
      <sheetData sheetId="5"/>
      <sheetData sheetId="6"/>
      <sheetData sheetId="7"/>
      <sheetData sheetId="8"/>
      <sheetData sheetId="9"/>
      <sheetData sheetId="10" refreshError="1"/>
      <sheetData sheetId="11"/>
      <sheetData sheetId="12"/>
      <sheetData sheetId="13">
        <row r="42">
          <cell r="AC42">
            <v>252087.47929400002</v>
          </cell>
        </row>
        <row r="43">
          <cell r="AC43">
            <v>2220</v>
          </cell>
        </row>
        <row r="44">
          <cell r="AC44">
            <v>1878</v>
          </cell>
        </row>
        <row r="46">
          <cell r="AC46">
            <v>2230</v>
          </cell>
        </row>
        <row r="47">
          <cell r="AC47">
            <v>15621</v>
          </cell>
        </row>
        <row r="49">
          <cell r="AC49">
            <v>230138.47929400002</v>
          </cell>
        </row>
        <row r="52">
          <cell r="AC52">
            <v>72797</v>
          </cell>
        </row>
      </sheetData>
      <sheetData sheetId="14"/>
      <sheetData sheetId="15"/>
      <sheetData sheetId="16"/>
      <sheetData sheetId="17"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xz"/>
      <sheetName val="PA TTTKC - đc"/>
      <sheetName val="PL 01- TKC ĐT"/>
      <sheetName val="PL 02- hụt thu NS tỉnh"/>
      <sheetName val="Sheet1"/>
      <sheetName val="PL"/>
    </sheetNames>
    <sheetDataSet>
      <sheetData sheetId="0"/>
      <sheetData sheetId="1">
        <row r="46">
          <cell r="K46">
            <v>1474.686338</v>
          </cell>
        </row>
        <row r="47">
          <cell r="K47">
            <v>11991.3</v>
          </cell>
        </row>
      </sheetData>
      <sheetData sheetId="2"/>
      <sheetData sheetId="3"/>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B 30-6"/>
      <sheetName val="Pb 19-11 (2)"/>
      <sheetName val="Nguon DP"/>
      <sheetName val="foxz"/>
      <sheetName val="foxz_2"/>
      <sheetName val="01"/>
      <sheetName val="02"/>
      <sheetName val="Chi tiết phân bổ"/>
      <sheetName val="Sheet1"/>
    </sheetNames>
    <sheetDataSet>
      <sheetData sheetId="0"/>
      <sheetData sheetId="1"/>
      <sheetData sheetId="2"/>
      <sheetData sheetId="3"/>
      <sheetData sheetId="4" refreshError="1"/>
      <sheetData sheetId="5"/>
      <sheetData sheetId="6">
        <row r="5">
          <cell r="C5" t="str">
            <v>ĐVT: Triệu đồng</v>
          </cell>
        </row>
      </sheetData>
      <sheetData sheetId="7"/>
      <sheetData sheetId="8"/>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ạm ứng"/>
      <sheetName val="foxz"/>
      <sheetName val="foxz_2"/>
      <sheetName val="foxz_3"/>
      <sheetName val="foxz_4"/>
      <sheetName val="foxz_5"/>
      <sheetName val="foxz_6"/>
      <sheetName val="foxz_7"/>
      <sheetName val="foxz_8"/>
      <sheetName val="foxz_9"/>
      <sheetName val="foxz_10"/>
      <sheetName val="foxz_11"/>
      <sheetName val="foxz_12"/>
      <sheetName val="SGV"/>
      <sheetName val="Dữ liệu chung"/>
      <sheetName val="DTĐT TX- CẤP TỈNH"/>
      <sheetName val="DTĐN- CẤP HUYỆN"/>
      <sheetName val="DTĐN- NHẬP LCT"/>
      <sheetName val="Vốn ĐT - PBO trog năm"/>
      <sheetName val="C0- ĐT"/>
      <sheetName val="DTĐN - Vốn ĐT"/>
      <sheetName val="Theo dõi "/>
      <sheetName val="T1"/>
      <sheetName val="T2"/>
      <sheetName val="T3"/>
      <sheetName val="T4"/>
      <sheetName val="T5"/>
      <sheetName val="T6"/>
      <sheetName val="T7"/>
      <sheetName val="T8"/>
      <sheetName val="T9"/>
      <sheetName val="T10"/>
      <sheetName val="T11"/>
      <sheetName val="T12"/>
      <sheetName val="ĐC"/>
      <sheetName val="ĐC dự toá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ow r="4">
          <cell r="S4">
            <v>0</v>
          </cell>
          <cell r="T4">
            <v>0</v>
          </cell>
        </row>
        <row r="5">
          <cell r="A5" t="str">
            <v>TT</v>
          </cell>
          <cell r="B5" t="str">
            <v>Nội dung</v>
          </cell>
          <cell r="C5" t="str">
            <v>Viết tắt</v>
          </cell>
          <cell r="D5" t="str">
            <v>Cấp NS</v>
          </cell>
          <cell r="E5" t="str">
            <v>QĐ</v>
          </cell>
          <cell r="F5" t="str">
            <v>Ngày</v>
          </cell>
          <cell r="G5" t="str">
            <v>Mã quỹ</v>
          </cell>
          <cell r="H5" t="str">
            <v>TK</v>
          </cell>
          <cell r="I5" t="str">
            <v>Cấp NS</v>
          </cell>
          <cell r="J5" t="str">
            <v>Mã ĐVQHNS</v>
          </cell>
          <cell r="K5" t="str">
            <v>Mã chương</v>
          </cell>
          <cell r="L5" t="str">
            <v>Mã loại, khoản</v>
          </cell>
          <cell r="M5" t="str">
            <v>Mã CTMT, CTDA</v>
          </cell>
          <cell r="N5" t="str">
            <v>Mã KBNN</v>
          </cell>
          <cell r="O5" t="str">
            <v>Mã nguồn</v>
          </cell>
          <cell r="P5" t="str">
            <v>Mã DP</v>
          </cell>
          <cell r="Q5" t="str">
            <v>Nợ</v>
          </cell>
          <cell r="R5" t="str">
            <v>Có</v>
          </cell>
          <cell r="S5" t="str">
            <v>ID</v>
          </cell>
          <cell r="T5" t="str">
            <v>Mã Dossier</v>
          </cell>
        </row>
        <row r="6">
          <cell r="A6" t="str">
            <v>T11</v>
          </cell>
          <cell r="B6" t="str">
            <v>Giao dự toán 2024 cho Bộ Chỉ huy QS tỉnh thực hiện nv</v>
          </cell>
          <cell r="C6">
            <v>0</v>
          </cell>
          <cell r="D6" t="str">
            <v>Cấp 0</v>
          </cell>
          <cell r="E6">
            <v>2338</v>
          </cell>
          <cell r="F6">
            <v>45270</v>
          </cell>
          <cell r="G6" t="str">
            <v>01</v>
          </cell>
          <cell r="H6">
            <v>9111</v>
          </cell>
          <cell r="I6">
            <v>0</v>
          </cell>
          <cell r="J6">
            <v>0</v>
          </cell>
          <cell r="K6">
            <v>0</v>
          </cell>
          <cell r="L6">
            <v>0</v>
          </cell>
          <cell r="M6">
            <v>0</v>
          </cell>
          <cell r="N6">
            <v>2311</v>
          </cell>
          <cell r="O6">
            <v>0</v>
          </cell>
          <cell r="P6">
            <v>0</v>
          </cell>
          <cell r="Q6">
            <v>0</v>
          </cell>
          <cell r="R6">
            <v>27354000000</v>
          </cell>
          <cell r="S6">
            <v>0</v>
          </cell>
          <cell r="T6">
            <v>0</v>
          </cell>
        </row>
        <row r="7">
          <cell r="A7">
            <v>1</v>
          </cell>
          <cell r="B7" t="str">
            <v>Bộ Chỉ huy QS tỉnh</v>
          </cell>
          <cell r="C7">
            <v>0</v>
          </cell>
          <cell r="D7" t="str">
            <v>Cấp 0</v>
          </cell>
          <cell r="E7">
            <v>2338</v>
          </cell>
          <cell r="F7">
            <v>45270</v>
          </cell>
          <cell r="G7" t="str">
            <v>01</v>
          </cell>
          <cell r="H7">
            <v>9213</v>
          </cell>
          <cell r="I7">
            <v>2</v>
          </cell>
          <cell r="J7">
            <v>2997906</v>
          </cell>
          <cell r="K7">
            <v>999</v>
          </cell>
          <cell r="L7" t="str">
            <v>280</v>
          </cell>
          <cell r="M7" t="str">
            <v>00510</v>
          </cell>
          <cell r="N7">
            <v>2311</v>
          </cell>
          <cell r="O7">
            <v>29</v>
          </cell>
          <cell r="P7">
            <v>100</v>
          </cell>
          <cell r="Q7">
            <v>24000000</v>
          </cell>
          <cell r="R7">
            <v>0</v>
          </cell>
          <cell r="S7">
            <v>0</v>
          </cell>
          <cell r="T7">
            <v>0</v>
          </cell>
        </row>
        <row r="8">
          <cell r="A8">
            <v>0</v>
          </cell>
          <cell r="B8">
            <v>0</v>
          </cell>
          <cell r="C8">
            <v>0</v>
          </cell>
          <cell r="D8" t="str">
            <v>Cấp 0</v>
          </cell>
          <cell r="E8">
            <v>2338</v>
          </cell>
          <cell r="F8">
            <v>45270</v>
          </cell>
          <cell r="G8" t="str">
            <v>01</v>
          </cell>
          <cell r="H8">
            <v>9213</v>
          </cell>
          <cell r="I8">
            <v>2</v>
          </cell>
          <cell r="J8">
            <v>2997906</v>
          </cell>
          <cell r="K8">
            <v>999</v>
          </cell>
          <cell r="L8" t="str">
            <v>280</v>
          </cell>
          <cell r="M8" t="str">
            <v>00510</v>
          </cell>
          <cell r="N8">
            <v>2311</v>
          </cell>
          <cell r="O8">
            <v>29</v>
          </cell>
          <cell r="P8">
            <v>200</v>
          </cell>
          <cell r="Q8">
            <v>1000000</v>
          </cell>
          <cell r="R8">
            <v>0</v>
          </cell>
          <cell r="S8">
            <v>0</v>
          </cell>
          <cell r="T8">
            <v>0</v>
          </cell>
        </row>
        <row r="9">
          <cell r="A9">
            <v>0</v>
          </cell>
          <cell r="B9">
            <v>0</v>
          </cell>
          <cell r="C9">
            <v>0</v>
          </cell>
          <cell r="D9" t="str">
            <v>Cấp 0</v>
          </cell>
          <cell r="E9">
            <v>2338</v>
          </cell>
          <cell r="F9">
            <v>45270</v>
          </cell>
          <cell r="G9" t="str">
            <v>01</v>
          </cell>
          <cell r="H9">
            <v>9213</v>
          </cell>
          <cell r="I9">
            <v>2</v>
          </cell>
          <cell r="J9">
            <v>2997906</v>
          </cell>
          <cell r="K9">
            <v>999</v>
          </cell>
          <cell r="L9" t="str">
            <v>340</v>
          </cell>
          <cell r="M9" t="str">
            <v>00490</v>
          </cell>
          <cell r="N9">
            <v>2311</v>
          </cell>
          <cell r="O9">
            <v>29</v>
          </cell>
          <cell r="P9">
            <v>100</v>
          </cell>
          <cell r="Q9">
            <v>14000000</v>
          </cell>
          <cell r="R9">
            <v>0</v>
          </cell>
          <cell r="S9">
            <v>0</v>
          </cell>
          <cell r="T9">
            <v>0</v>
          </cell>
        </row>
        <row r="10">
          <cell r="A10">
            <v>0</v>
          </cell>
          <cell r="B10">
            <v>0</v>
          </cell>
          <cell r="C10">
            <v>0</v>
          </cell>
          <cell r="D10" t="str">
            <v>Cấp 0</v>
          </cell>
          <cell r="E10">
            <v>2338</v>
          </cell>
          <cell r="F10">
            <v>45270</v>
          </cell>
          <cell r="G10" t="str">
            <v>01</v>
          </cell>
          <cell r="H10">
            <v>9213</v>
          </cell>
          <cell r="I10">
            <v>2</v>
          </cell>
          <cell r="J10">
            <v>2997906</v>
          </cell>
          <cell r="K10">
            <v>999</v>
          </cell>
          <cell r="L10" t="str">
            <v>340</v>
          </cell>
          <cell r="M10" t="str">
            <v>00490</v>
          </cell>
          <cell r="N10">
            <v>2311</v>
          </cell>
          <cell r="O10">
            <v>29</v>
          </cell>
          <cell r="P10">
            <v>200</v>
          </cell>
          <cell r="Q10">
            <v>1000000</v>
          </cell>
          <cell r="R10">
            <v>0</v>
          </cell>
          <cell r="S10">
            <v>0</v>
          </cell>
          <cell r="T10">
            <v>0</v>
          </cell>
        </row>
        <row r="11">
          <cell r="A11">
            <v>0</v>
          </cell>
          <cell r="B11">
            <v>0</v>
          </cell>
          <cell r="C11">
            <v>0</v>
          </cell>
          <cell r="D11" t="str">
            <v>Cấp 0</v>
          </cell>
          <cell r="E11">
            <v>2338</v>
          </cell>
          <cell r="F11">
            <v>45270</v>
          </cell>
          <cell r="G11" t="str">
            <v>01</v>
          </cell>
          <cell r="H11">
            <v>9213</v>
          </cell>
          <cell r="I11">
            <v>2</v>
          </cell>
          <cell r="J11">
            <v>2997906</v>
          </cell>
          <cell r="K11">
            <v>999</v>
          </cell>
          <cell r="L11" t="str">
            <v>010</v>
          </cell>
          <cell r="M11">
            <v>99999</v>
          </cell>
          <cell r="N11">
            <v>2311</v>
          </cell>
          <cell r="O11">
            <v>29</v>
          </cell>
          <cell r="P11">
            <v>200</v>
          </cell>
          <cell r="Q11">
            <v>27314000000</v>
          </cell>
          <cell r="R11">
            <v>0</v>
          </cell>
          <cell r="S11">
            <v>0</v>
          </cell>
          <cell r="T11">
            <v>0</v>
          </cell>
        </row>
        <row r="12">
          <cell r="A12">
            <v>2</v>
          </cell>
          <cell r="B12" t="str">
            <v>Bộ Chỉ huy QS tỉnh</v>
          </cell>
          <cell r="C12">
            <v>0</v>
          </cell>
          <cell r="D12" t="str">
            <v>Cấp 1</v>
          </cell>
          <cell r="E12">
            <v>2338</v>
          </cell>
          <cell r="F12">
            <v>45270</v>
          </cell>
          <cell r="G12" t="str">
            <v>01</v>
          </cell>
          <cell r="H12">
            <v>9253</v>
          </cell>
          <cell r="I12">
            <v>2</v>
          </cell>
          <cell r="J12">
            <v>1053630</v>
          </cell>
          <cell r="K12">
            <v>560</v>
          </cell>
          <cell r="L12" t="str">
            <v>010</v>
          </cell>
          <cell r="M12" t="str">
            <v>00510</v>
          </cell>
          <cell r="N12">
            <v>2311</v>
          </cell>
          <cell r="O12">
            <v>29</v>
          </cell>
          <cell r="P12">
            <v>100</v>
          </cell>
          <cell r="Q12">
            <v>24000000</v>
          </cell>
          <cell r="R12">
            <v>0</v>
          </cell>
          <cell r="S12">
            <v>0</v>
          </cell>
          <cell r="T12" t="str">
            <v>06A01A2012A471</v>
          </cell>
        </row>
        <row r="13">
          <cell r="A13">
            <v>0</v>
          </cell>
          <cell r="B13">
            <v>0</v>
          </cell>
          <cell r="C13">
            <v>0</v>
          </cell>
          <cell r="D13" t="str">
            <v>Cấp 1</v>
          </cell>
          <cell r="E13">
            <v>2338</v>
          </cell>
          <cell r="F13">
            <v>45270</v>
          </cell>
          <cell r="G13" t="str">
            <v>01</v>
          </cell>
          <cell r="H13">
            <v>9253</v>
          </cell>
          <cell r="I13">
            <v>2</v>
          </cell>
          <cell r="J13">
            <v>1053630</v>
          </cell>
          <cell r="K13">
            <v>560</v>
          </cell>
          <cell r="L13" t="str">
            <v>010</v>
          </cell>
          <cell r="M13" t="str">
            <v>00510</v>
          </cell>
          <cell r="N13">
            <v>2311</v>
          </cell>
          <cell r="O13">
            <v>29</v>
          </cell>
          <cell r="P13">
            <v>200</v>
          </cell>
          <cell r="Q13">
            <v>1000000</v>
          </cell>
          <cell r="R13">
            <v>0</v>
          </cell>
          <cell r="S13">
            <v>0</v>
          </cell>
          <cell r="T13">
            <v>0</v>
          </cell>
        </row>
        <row r="14">
          <cell r="A14">
            <v>0</v>
          </cell>
          <cell r="B14">
            <v>0</v>
          </cell>
          <cell r="C14">
            <v>0</v>
          </cell>
          <cell r="D14" t="str">
            <v>Cấp 1</v>
          </cell>
          <cell r="E14">
            <v>2338</v>
          </cell>
          <cell r="F14">
            <v>45270</v>
          </cell>
          <cell r="G14" t="str">
            <v>01</v>
          </cell>
          <cell r="H14">
            <v>9213</v>
          </cell>
          <cell r="I14">
            <v>2</v>
          </cell>
          <cell r="J14">
            <v>2997906</v>
          </cell>
          <cell r="K14">
            <v>999</v>
          </cell>
          <cell r="L14" t="str">
            <v>280</v>
          </cell>
          <cell r="M14" t="str">
            <v>00490</v>
          </cell>
          <cell r="N14">
            <v>2311</v>
          </cell>
          <cell r="O14">
            <v>29</v>
          </cell>
          <cell r="P14">
            <v>100</v>
          </cell>
          <cell r="Q14">
            <v>14000000</v>
          </cell>
          <cell r="R14">
            <v>0</v>
          </cell>
          <cell r="S14">
            <v>0</v>
          </cell>
          <cell r="T14">
            <v>0</v>
          </cell>
        </row>
        <row r="15">
          <cell r="A15">
            <v>0</v>
          </cell>
          <cell r="B15">
            <v>0</v>
          </cell>
          <cell r="C15">
            <v>0</v>
          </cell>
          <cell r="D15" t="str">
            <v>Cấp 1</v>
          </cell>
          <cell r="E15">
            <v>2338</v>
          </cell>
          <cell r="F15">
            <v>45270</v>
          </cell>
          <cell r="G15" t="str">
            <v>01</v>
          </cell>
          <cell r="H15">
            <v>9213</v>
          </cell>
          <cell r="I15">
            <v>2</v>
          </cell>
          <cell r="J15">
            <v>2997906</v>
          </cell>
          <cell r="K15">
            <v>999</v>
          </cell>
          <cell r="L15" t="str">
            <v>280</v>
          </cell>
          <cell r="M15" t="str">
            <v>00490</v>
          </cell>
          <cell r="N15">
            <v>2311</v>
          </cell>
          <cell r="O15">
            <v>29</v>
          </cell>
          <cell r="P15">
            <v>200</v>
          </cell>
          <cell r="Q15">
            <v>1000000</v>
          </cell>
          <cell r="R15">
            <v>0</v>
          </cell>
          <cell r="S15">
            <v>0</v>
          </cell>
          <cell r="T15">
            <v>0</v>
          </cell>
        </row>
        <row r="16">
          <cell r="A16">
            <v>0</v>
          </cell>
          <cell r="B16">
            <v>0</v>
          </cell>
          <cell r="C16">
            <v>0</v>
          </cell>
          <cell r="D16" t="str">
            <v>Cấp 1</v>
          </cell>
          <cell r="E16">
            <v>2338</v>
          </cell>
          <cell r="F16">
            <v>45270</v>
          </cell>
          <cell r="G16" t="str">
            <v>01</v>
          </cell>
          <cell r="H16">
            <v>9253</v>
          </cell>
          <cell r="I16">
            <v>2</v>
          </cell>
          <cell r="J16">
            <v>1053630</v>
          </cell>
          <cell r="K16">
            <v>560</v>
          </cell>
          <cell r="L16" t="str">
            <v>010</v>
          </cell>
          <cell r="M16">
            <v>99999</v>
          </cell>
          <cell r="N16">
            <v>2311</v>
          </cell>
          <cell r="O16">
            <v>29</v>
          </cell>
          <cell r="P16">
            <v>200</v>
          </cell>
          <cell r="Q16">
            <v>27314000000</v>
          </cell>
          <cell r="R16">
            <v>0</v>
          </cell>
          <cell r="S16">
            <v>0</v>
          </cell>
          <cell r="T16">
            <v>0</v>
          </cell>
        </row>
        <row r="17">
          <cell r="A17">
            <v>3</v>
          </cell>
          <cell r="B17" t="str">
            <v>Bộ Chỉ huy QS tỉnh</v>
          </cell>
          <cell r="C17">
            <v>0</v>
          </cell>
          <cell r="D17" t="str">
            <v>Cấp 4</v>
          </cell>
          <cell r="E17">
            <v>2338</v>
          </cell>
          <cell r="F17">
            <v>45270</v>
          </cell>
          <cell r="G17" t="str">
            <v>01</v>
          </cell>
          <cell r="H17">
            <v>9527</v>
          </cell>
          <cell r="I17">
            <v>2</v>
          </cell>
          <cell r="J17">
            <v>1053630</v>
          </cell>
          <cell r="K17">
            <v>560</v>
          </cell>
          <cell r="L17" t="str">
            <v>011</v>
          </cell>
          <cell r="M17" t="str">
            <v>00510</v>
          </cell>
          <cell r="N17">
            <v>2311</v>
          </cell>
          <cell r="O17">
            <v>12</v>
          </cell>
          <cell r="P17">
            <v>100</v>
          </cell>
          <cell r="Q17">
            <v>24000000</v>
          </cell>
          <cell r="R17">
            <v>0</v>
          </cell>
          <cell r="S17">
            <v>0</v>
          </cell>
          <cell r="T17" t="str">
            <v>06A14A2012A443</v>
          </cell>
        </row>
        <row r="18">
          <cell r="A18">
            <v>0</v>
          </cell>
          <cell r="B18">
            <v>0</v>
          </cell>
          <cell r="C18">
            <v>0</v>
          </cell>
          <cell r="D18" t="str">
            <v>Cấp 4</v>
          </cell>
          <cell r="E18">
            <v>2338</v>
          </cell>
          <cell r="F18">
            <v>45270</v>
          </cell>
          <cell r="G18" t="str">
            <v>01</v>
          </cell>
          <cell r="H18">
            <v>9527</v>
          </cell>
          <cell r="I18">
            <v>2</v>
          </cell>
          <cell r="J18">
            <v>1053630</v>
          </cell>
          <cell r="K18">
            <v>560</v>
          </cell>
          <cell r="L18" t="str">
            <v>011</v>
          </cell>
          <cell r="M18" t="str">
            <v>00510</v>
          </cell>
          <cell r="N18">
            <v>2311</v>
          </cell>
          <cell r="O18">
            <v>12</v>
          </cell>
          <cell r="P18">
            <v>200</v>
          </cell>
          <cell r="Q18">
            <v>1000000</v>
          </cell>
          <cell r="R18">
            <v>0</v>
          </cell>
          <cell r="S18">
            <v>0</v>
          </cell>
          <cell r="T18">
            <v>0</v>
          </cell>
        </row>
        <row r="19">
          <cell r="A19">
            <v>0</v>
          </cell>
          <cell r="B19">
            <v>0</v>
          </cell>
          <cell r="C19">
            <v>0</v>
          </cell>
          <cell r="D19" t="str">
            <v>Cấp 4</v>
          </cell>
          <cell r="E19">
            <v>2338</v>
          </cell>
          <cell r="F19">
            <v>45270</v>
          </cell>
          <cell r="G19" t="str">
            <v>01</v>
          </cell>
          <cell r="H19">
            <v>9253</v>
          </cell>
          <cell r="I19">
            <v>2</v>
          </cell>
          <cell r="J19">
            <v>1053630</v>
          </cell>
          <cell r="K19">
            <v>560</v>
          </cell>
          <cell r="L19" t="str">
            <v>010</v>
          </cell>
          <cell r="M19" t="str">
            <v>00510</v>
          </cell>
          <cell r="N19">
            <v>2311</v>
          </cell>
          <cell r="O19">
            <v>29</v>
          </cell>
          <cell r="P19">
            <v>200</v>
          </cell>
          <cell r="Q19">
            <v>14000000</v>
          </cell>
          <cell r="R19">
            <v>0</v>
          </cell>
          <cell r="S19">
            <v>0</v>
          </cell>
          <cell r="T19">
            <v>0</v>
          </cell>
        </row>
        <row r="20">
          <cell r="A20">
            <v>0</v>
          </cell>
          <cell r="B20">
            <v>0</v>
          </cell>
          <cell r="C20">
            <v>0</v>
          </cell>
          <cell r="D20" t="str">
            <v>Cấp 4</v>
          </cell>
          <cell r="E20">
            <v>2338</v>
          </cell>
          <cell r="F20">
            <v>45270</v>
          </cell>
          <cell r="G20" t="str">
            <v>01</v>
          </cell>
          <cell r="H20">
            <v>9213</v>
          </cell>
          <cell r="I20">
            <v>2</v>
          </cell>
          <cell r="J20">
            <v>2997906</v>
          </cell>
          <cell r="K20">
            <v>999</v>
          </cell>
          <cell r="L20" t="str">
            <v>280</v>
          </cell>
          <cell r="M20" t="str">
            <v>00490</v>
          </cell>
          <cell r="N20">
            <v>2311</v>
          </cell>
          <cell r="O20">
            <v>29</v>
          </cell>
          <cell r="P20">
            <v>100</v>
          </cell>
          <cell r="Q20">
            <v>1000000</v>
          </cell>
          <cell r="R20">
            <v>0</v>
          </cell>
          <cell r="S20">
            <v>0</v>
          </cell>
          <cell r="T20">
            <v>0</v>
          </cell>
        </row>
        <row r="21">
          <cell r="A21">
            <v>0</v>
          </cell>
          <cell r="B21">
            <v>0</v>
          </cell>
          <cell r="C21">
            <v>0</v>
          </cell>
          <cell r="D21" t="str">
            <v>Cấp 4</v>
          </cell>
          <cell r="E21">
            <v>2338</v>
          </cell>
          <cell r="F21">
            <v>45270</v>
          </cell>
          <cell r="G21" t="str">
            <v>01</v>
          </cell>
          <cell r="H21">
            <v>9527</v>
          </cell>
          <cell r="I21">
            <v>2</v>
          </cell>
          <cell r="J21">
            <v>1053630</v>
          </cell>
          <cell r="K21">
            <v>560</v>
          </cell>
          <cell r="L21" t="str">
            <v>011</v>
          </cell>
          <cell r="M21" t="str">
            <v>00000</v>
          </cell>
          <cell r="N21">
            <v>2311</v>
          </cell>
          <cell r="O21">
            <v>12</v>
          </cell>
          <cell r="P21">
            <v>200</v>
          </cell>
          <cell r="Q21">
            <v>27314000000</v>
          </cell>
          <cell r="R21">
            <v>0</v>
          </cell>
          <cell r="S21">
            <v>0</v>
          </cell>
          <cell r="T21">
            <v>0</v>
          </cell>
        </row>
        <row r="22">
          <cell r="A22" t="str">
            <v>T12</v>
          </cell>
          <cell r="B22" t="str">
            <v>Giao dự toán 2024 cho Công an tỉnh thực hiện nhiệm vụ</v>
          </cell>
          <cell r="C22">
            <v>0</v>
          </cell>
          <cell r="D22">
            <v>0</v>
          </cell>
          <cell r="E22">
            <v>2338</v>
          </cell>
          <cell r="F22">
            <v>45270</v>
          </cell>
          <cell r="G22">
            <v>0</v>
          </cell>
          <cell r="H22">
            <v>9111</v>
          </cell>
          <cell r="I22">
            <v>0</v>
          </cell>
          <cell r="J22">
            <v>0</v>
          </cell>
          <cell r="K22">
            <v>0</v>
          </cell>
          <cell r="L22">
            <v>0</v>
          </cell>
          <cell r="M22">
            <v>0</v>
          </cell>
          <cell r="N22">
            <v>2311</v>
          </cell>
          <cell r="O22">
            <v>0</v>
          </cell>
          <cell r="P22">
            <v>0</v>
          </cell>
          <cell r="Q22">
            <v>0</v>
          </cell>
          <cell r="R22">
            <v>9431000000</v>
          </cell>
          <cell r="S22">
            <v>0</v>
          </cell>
          <cell r="T22">
            <v>0</v>
          </cell>
        </row>
        <row r="23">
          <cell r="A23">
            <v>1</v>
          </cell>
          <cell r="B23" t="str">
            <v>Tỉnh</v>
          </cell>
          <cell r="C23">
            <v>0</v>
          </cell>
          <cell r="D23" t="str">
            <v>Cấp 0</v>
          </cell>
          <cell r="E23">
            <v>2338</v>
          </cell>
          <cell r="F23">
            <v>45270</v>
          </cell>
          <cell r="G23" t="str">
            <v>01</v>
          </cell>
          <cell r="H23">
            <v>9213</v>
          </cell>
          <cell r="I23">
            <v>2</v>
          </cell>
          <cell r="J23">
            <v>2997906</v>
          </cell>
          <cell r="K23">
            <v>999</v>
          </cell>
          <cell r="L23" t="str">
            <v>040</v>
          </cell>
          <cell r="M23" t="str">
            <v>99999</v>
          </cell>
          <cell r="N23">
            <v>2311</v>
          </cell>
          <cell r="O23">
            <v>29</v>
          </cell>
          <cell r="P23">
            <v>200</v>
          </cell>
          <cell r="Q23">
            <v>8800000000</v>
          </cell>
          <cell r="R23">
            <v>0</v>
          </cell>
          <cell r="S23">
            <v>0</v>
          </cell>
          <cell r="T23">
            <v>0</v>
          </cell>
        </row>
        <row r="24">
          <cell r="A24">
            <v>0</v>
          </cell>
          <cell r="B24" t="str">
            <v>Công an tỉnh</v>
          </cell>
          <cell r="C24">
            <v>0</v>
          </cell>
          <cell r="D24" t="str">
            <v>Cấp 1</v>
          </cell>
          <cell r="E24">
            <v>2338</v>
          </cell>
          <cell r="F24">
            <v>45270</v>
          </cell>
          <cell r="G24" t="str">
            <v>01</v>
          </cell>
          <cell r="H24">
            <v>9253</v>
          </cell>
          <cell r="I24">
            <v>2</v>
          </cell>
          <cell r="J24">
            <v>1053629</v>
          </cell>
          <cell r="K24">
            <v>560</v>
          </cell>
          <cell r="L24" t="str">
            <v>040</v>
          </cell>
          <cell r="M24">
            <v>99999</v>
          </cell>
          <cell r="N24">
            <v>2311</v>
          </cell>
          <cell r="O24">
            <v>29</v>
          </cell>
          <cell r="P24">
            <v>200</v>
          </cell>
          <cell r="Q24">
            <v>8800000000</v>
          </cell>
          <cell r="R24">
            <v>0</v>
          </cell>
          <cell r="S24">
            <v>0</v>
          </cell>
          <cell r="T24">
            <v>0</v>
          </cell>
        </row>
        <row r="25">
          <cell r="A25">
            <v>0</v>
          </cell>
          <cell r="B25">
            <v>0</v>
          </cell>
          <cell r="C25">
            <v>0</v>
          </cell>
          <cell r="D25" t="str">
            <v>Cấp 4</v>
          </cell>
          <cell r="E25">
            <v>2338</v>
          </cell>
          <cell r="F25">
            <v>45270</v>
          </cell>
          <cell r="G25" t="str">
            <v>01</v>
          </cell>
          <cell r="H25">
            <v>9527</v>
          </cell>
          <cell r="I25">
            <v>2</v>
          </cell>
          <cell r="J25">
            <v>1053629</v>
          </cell>
          <cell r="K25">
            <v>560</v>
          </cell>
          <cell r="L25" t="str">
            <v>041</v>
          </cell>
          <cell r="M25" t="str">
            <v>00000</v>
          </cell>
          <cell r="N25">
            <v>2311</v>
          </cell>
          <cell r="O25">
            <v>12</v>
          </cell>
          <cell r="P25">
            <v>200</v>
          </cell>
          <cell r="Q25">
            <v>8800000000</v>
          </cell>
          <cell r="R25">
            <v>0</v>
          </cell>
          <cell r="S25">
            <v>0</v>
          </cell>
          <cell r="T25">
            <v>0</v>
          </cell>
        </row>
        <row r="26">
          <cell r="A26">
            <v>2</v>
          </cell>
          <cell r="B26" t="str">
            <v>Tỉnh</v>
          </cell>
          <cell r="C26">
            <v>0</v>
          </cell>
          <cell r="D26" t="str">
            <v>Cấp 0</v>
          </cell>
          <cell r="E26">
            <v>2338</v>
          </cell>
          <cell r="F26">
            <v>45270</v>
          </cell>
          <cell r="G26" t="str">
            <v>01</v>
          </cell>
          <cell r="H26">
            <v>9213</v>
          </cell>
          <cell r="I26">
            <v>2</v>
          </cell>
          <cell r="J26">
            <v>2997906</v>
          </cell>
          <cell r="K26">
            <v>999</v>
          </cell>
          <cell r="L26" t="str">
            <v>280</v>
          </cell>
          <cell r="M26" t="str">
            <v>00510</v>
          </cell>
          <cell r="N26">
            <v>2311</v>
          </cell>
          <cell r="O26">
            <v>29</v>
          </cell>
          <cell r="P26" t="str">
            <v>100</v>
          </cell>
          <cell r="Q26">
            <v>24000000</v>
          </cell>
          <cell r="R26">
            <v>0</v>
          </cell>
          <cell r="S26">
            <v>0</v>
          </cell>
          <cell r="T26">
            <v>0</v>
          </cell>
        </row>
        <row r="27">
          <cell r="A27">
            <v>0</v>
          </cell>
          <cell r="B27">
            <v>0</v>
          </cell>
          <cell r="C27">
            <v>0</v>
          </cell>
          <cell r="D27" t="str">
            <v>Cấp 0</v>
          </cell>
          <cell r="E27">
            <v>2338</v>
          </cell>
          <cell r="F27">
            <v>45270</v>
          </cell>
          <cell r="G27" t="str">
            <v>01</v>
          </cell>
          <cell r="H27">
            <v>9213</v>
          </cell>
          <cell r="I27">
            <v>2</v>
          </cell>
          <cell r="J27">
            <v>2997906</v>
          </cell>
          <cell r="K27">
            <v>999</v>
          </cell>
          <cell r="L27" t="str">
            <v>280</v>
          </cell>
          <cell r="M27" t="str">
            <v>00510</v>
          </cell>
          <cell r="N27">
            <v>2311</v>
          </cell>
          <cell r="O27">
            <v>29</v>
          </cell>
          <cell r="P27" t="str">
            <v>200</v>
          </cell>
          <cell r="Q27">
            <v>1000000</v>
          </cell>
          <cell r="R27">
            <v>0</v>
          </cell>
          <cell r="S27">
            <v>0</v>
          </cell>
          <cell r="T27">
            <v>0</v>
          </cell>
        </row>
        <row r="28">
          <cell r="A28">
            <v>0</v>
          </cell>
          <cell r="B28">
            <v>0</v>
          </cell>
          <cell r="C28">
            <v>0</v>
          </cell>
          <cell r="D28" t="str">
            <v>Cấp 0</v>
          </cell>
          <cell r="E28">
            <v>2338</v>
          </cell>
          <cell r="F28">
            <v>45270</v>
          </cell>
          <cell r="G28" t="str">
            <v>01</v>
          </cell>
          <cell r="H28">
            <v>9213</v>
          </cell>
          <cell r="I28">
            <v>2</v>
          </cell>
          <cell r="J28">
            <v>2997906</v>
          </cell>
          <cell r="K28">
            <v>999</v>
          </cell>
          <cell r="L28" t="str">
            <v>340</v>
          </cell>
          <cell r="M28" t="str">
            <v>00490</v>
          </cell>
          <cell r="N28">
            <v>2311</v>
          </cell>
          <cell r="O28">
            <v>29</v>
          </cell>
          <cell r="P28" t="str">
            <v>100</v>
          </cell>
          <cell r="Q28">
            <v>14000000</v>
          </cell>
          <cell r="R28">
            <v>0</v>
          </cell>
          <cell r="S28">
            <v>0</v>
          </cell>
          <cell r="T28">
            <v>0</v>
          </cell>
        </row>
        <row r="29">
          <cell r="A29">
            <v>0</v>
          </cell>
          <cell r="B29">
            <v>0</v>
          </cell>
          <cell r="C29">
            <v>0</v>
          </cell>
          <cell r="D29" t="str">
            <v>Cấp 0</v>
          </cell>
          <cell r="E29">
            <v>2338</v>
          </cell>
          <cell r="F29">
            <v>45270</v>
          </cell>
          <cell r="G29" t="str">
            <v>01</v>
          </cell>
          <cell r="H29">
            <v>9213</v>
          </cell>
          <cell r="I29">
            <v>2</v>
          </cell>
          <cell r="J29">
            <v>2997906</v>
          </cell>
          <cell r="K29">
            <v>999</v>
          </cell>
          <cell r="L29" t="str">
            <v>340</v>
          </cell>
          <cell r="M29" t="str">
            <v>00490</v>
          </cell>
          <cell r="N29">
            <v>2311</v>
          </cell>
          <cell r="O29">
            <v>29</v>
          </cell>
          <cell r="P29" t="str">
            <v>200</v>
          </cell>
          <cell r="Q29">
            <v>1000000</v>
          </cell>
          <cell r="R29">
            <v>0</v>
          </cell>
          <cell r="S29">
            <v>0</v>
          </cell>
          <cell r="T29">
            <v>0</v>
          </cell>
        </row>
        <row r="30">
          <cell r="A30">
            <v>0</v>
          </cell>
          <cell r="B30">
            <v>0</v>
          </cell>
          <cell r="C30">
            <v>0</v>
          </cell>
          <cell r="D30" t="str">
            <v>Cấp 0</v>
          </cell>
          <cell r="E30">
            <v>2338</v>
          </cell>
          <cell r="F30">
            <v>45270</v>
          </cell>
          <cell r="G30" t="str">
            <v>01</v>
          </cell>
          <cell r="H30">
            <v>9213</v>
          </cell>
          <cell r="I30">
            <v>2</v>
          </cell>
          <cell r="J30">
            <v>2997906</v>
          </cell>
          <cell r="K30">
            <v>999</v>
          </cell>
          <cell r="L30" t="str">
            <v>010</v>
          </cell>
          <cell r="M30" t="str">
            <v>00490</v>
          </cell>
          <cell r="N30">
            <v>2311</v>
          </cell>
          <cell r="O30">
            <v>29</v>
          </cell>
          <cell r="P30" t="str">
            <v>100</v>
          </cell>
          <cell r="Q30">
            <v>563000000</v>
          </cell>
          <cell r="R30">
            <v>0</v>
          </cell>
          <cell r="S30">
            <v>0</v>
          </cell>
          <cell r="T30">
            <v>0</v>
          </cell>
        </row>
        <row r="31">
          <cell r="A31">
            <v>0</v>
          </cell>
          <cell r="B31">
            <v>0</v>
          </cell>
          <cell r="C31">
            <v>0</v>
          </cell>
          <cell r="D31" t="str">
            <v>Cấp 0</v>
          </cell>
          <cell r="E31">
            <v>2338</v>
          </cell>
          <cell r="F31">
            <v>45270</v>
          </cell>
          <cell r="G31" t="str">
            <v>01</v>
          </cell>
          <cell r="H31">
            <v>9213</v>
          </cell>
          <cell r="I31">
            <v>2</v>
          </cell>
          <cell r="J31">
            <v>2997906</v>
          </cell>
          <cell r="K31">
            <v>999</v>
          </cell>
          <cell r="L31" t="str">
            <v>010</v>
          </cell>
          <cell r="M31" t="str">
            <v>00490</v>
          </cell>
          <cell r="N31">
            <v>2311</v>
          </cell>
          <cell r="O31">
            <v>29</v>
          </cell>
          <cell r="P31" t="str">
            <v>200</v>
          </cell>
          <cell r="Q31">
            <v>28000000</v>
          </cell>
          <cell r="R31">
            <v>0</v>
          </cell>
          <cell r="S31">
            <v>0</v>
          </cell>
          <cell r="T31">
            <v>0</v>
          </cell>
        </row>
        <row r="32">
          <cell r="A32">
            <v>0</v>
          </cell>
          <cell r="B32" t="str">
            <v>Công an tỉnh</v>
          </cell>
          <cell r="C32">
            <v>0</v>
          </cell>
          <cell r="D32" t="str">
            <v>Cấp 1</v>
          </cell>
          <cell r="E32">
            <v>2338</v>
          </cell>
          <cell r="F32">
            <v>45270</v>
          </cell>
          <cell r="G32" t="str">
            <v>01</v>
          </cell>
          <cell r="H32">
            <v>9253</v>
          </cell>
          <cell r="I32">
            <v>2</v>
          </cell>
          <cell r="J32">
            <v>1053629</v>
          </cell>
          <cell r="K32">
            <v>560</v>
          </cell>
          <cell r="L32" t="str">
            <v>040</v>
          </cell>
          <cell r="M32" t="str">
            <v>00510</v>
          </cell>
          <cell r="N32">
            <v>2311</v>
          </cell>
          <cell r="O32">
            <v>29</v>
          </cell>
          <cell r="P32">
            <v>100</v>
          </cell>
          <cell r="Q32">
            <v>24000000</v>
          </cell>
          <cell r="R32">
            <v>0</v>
          </cell>
          <cell r="S32">
            <v>0</v>
          </cell>
          <cell r="T32" t="str">
            <v>06A01A2012A472</v>
          </cell>
        </row>
        <row r="33">
          <cell r="A33">
            <v>0</v>
          </cell>
          <cell r="B33">
            <v>0</v>
          </cell>
          <cell r="C33">
            <v>0</v>
          </cell>
          <cell r="D33" t="str">
            <v>Cấp 1</v>
          </cell>
          <cell r="E33">
            <v>2338</v>
          </cell>
          <cell r="F33">
            <v>45270</v>
          </cell>
          <cell r="G33" t="str">
            <v>01</v>
          </cell>
          <cell r="H33">
            <v>9253</v>
          </cell>
          <cell r="I33">
            <v>2</v>
          </cell>
          <cell r="J33">
            <v>1053629</v>
          </cell>
          <cell r="K33">
            <v>560</v>
          </cell>
          <cell r="L33" t="str">
            <v>040</v>
          </cell>
          <cell r="M33" t="str">
            <v>00510</v>
          </cell>
          <cell r="N33">
            <v>2311</v>
          </cell>
          <cell r="O33">
            <v>29</v>
          </cell>
          <cell r="P33">
            <v>200</v>
          </cell>
          <cell r="Q33">
            <v>1000000</v>
          </cell>
          <cell r="R33">
            <v>0</v>
          </cell>
          <cell r="S33">
            <v>0</v>
          </cell>
          <cell r="T33">
            <v>0</v>
          </cell>
          <cell r="U33" t="str">
            <v>06A01A2012A473: PB lại</v>
          </cell>
          <cell r="V33">
            <v>0</v>
          </cell>
        </row>
        <row r="34">
          <cell r="A34">
            <v>0</v>
          </cell>
          <cell r="B34">
            <v>0</v>
          </cell>
          <cell r="C34">
            <v>0</v>
          </cell>
          <cell r="D34" t="str">
            <v>Cấp 1</v>
          </cell>
          <cell r="E34">
            <v>2338</v>
          </cell>
          <cell r="F34">
            <v>45270</v>
          </cell>
          <cell r="G34" t="str">
            <v>01</v>
          </cell>
          <cell r="H34">
            <v>9253</v>
          </cell>
          <cell r="I34">
            <v>2</v>
          </cell>
          <cell r="J34">
            <v>1053629</v>
          </cell>
          <cell r="K34">
            <v>560</v>
          </cell>
          <cell r="L34" t="str">
            <v>040</v>
          </cell>
          <cell r="M34" t="str">
            <v>00490</v>
          </cell>
          <cell r="N34">
            <v>2311</v>
          </cell>
          <cell r="O34">
            <v>29</v>
          </cell>
          <cell r="P34">
            <v>100</v>
          </cell>
          <cell r="Q34">
            <v>577000000</v>
          </cell>
          <cell r="R34">
            <v>0</v>
          </cell>
          <cell r="S34">
            <v>0</v>
          </cell>
          <cell r="T34">
            <v>0</v>
          </cell>
        </row>
        <row r="35">
          <cell r="A35">
            <v>0</v>
          </cell>
          <cell r="B35">
            <v>0</v>
          </cell>
          <cell r="C35">
            <v>0</v>
          </cell>
          <cell r="D35" t="str">
            <v>Cấp 1</v>
          </cell>
          <cell r="E35">
            <v>2338</v>
          </cell>
          <cell r="F35">
            <v>45270</v>
          </cell>
          <cell r="G35" t="str">
            <v>01</v>
          </cell>
          <cell r="H35">
            <v>9253</v>
          </cell>
          <cell r="I35">
            <v>2</v>
          </cell>
          <cell r="J35">
            <v>1053629</v>
          </cell>
          <cell r="K35">
            <v>560</v>
          </cell>
          <cell r="L35" t="str">
            <v>040</v>
          </cell>
          <cell r="M35" t="str">
            <v>00490</v>
          </cell>
          <cell r="N35">
            <v>2311</v>
          </cell>
          <cell r="O35">
            <v>29</v>
          </cell>
          <cell r="P35">
            <v>200</v>
          </cell>
          <cell r="Q35">
            <v>29000000</v>
          </cell>
          <cell r="R35">
            <v>0</v>
          </cell>
          <cell r="S35">
            <v>0</v>
          </cell>
          <cell r="T35">
            <v>0</v>
          </cell>
          <cell r="U35" t="str">
            <v>06A10A2012A24: Rút DT C1-C0 do lỗi trùng lặp tk</v>
          </cell>
          <cell r="V35">
            <v>0</v>
          </cell>
          <cell r="W35">
            <v>0</v>
          </cell>
          <cell r="X35">
            <v>0</v>
          </cell>
        </row>
        <row r="36">
          <cell r="A36">
            <v>0</v>
          </cell>
          <cell r="B36" t="str">
            <v>Công an tỉnh</v>
          </cell>
          <cell r="C36">
            <v>0</v>
          </cell>
          <cell r="D36" t="str">
            <v>Cấp 4</v>
          </cell>
          <cell r="E36">
            <v>2338</v>
          </cell>
          <cell r="F36">
            <v>45270</v>
          </cell>
          <cell r="G36" t="str">
            <v>01</v>
          </cell>
          <cell r="H36">
            <v>9527</v>
          </cell>
          <cell r="I36">
            <v>2</v>
          </cell>
          <cell r="J36">
            <v>1053629</v>
          </cell>
          <cell r="K36">
            <v>560</v>
          </cell>
          <cell r="L36" t="str">
            <v>041</v>
          </cell>
          <cell r="M36" t="str">
            <v>00521</v>
          </cell>
          <cell r="N36">
            <v>2311</v>
          </cell>
          <cell r="O36">
            <v>12</v>
          </cell>
          <cell r="P36">
            <v>100</v>
          </cell>
          <cell r="Q36">
            <v>24000000</v>
          </cell>
          <cell r="R36">
            <v>0</v>
          </cell>
          <cell r="S36">
            <v>0</v>
          </cell>
          <cell r="T36" t="str">
            <v>06A14A2012A444</v>
          </cell>
          <cell r="U36">
            <v>0</v>
          </cell>
        </row>
        <row r="37">
          <cell r="A37">
            <v>0</v>
          </cell>
          <cell r="B37">
            <v>0</v>
          </cell>
          <cell r="C37">
            <v>0</v>
          </cell>
          <cell r="D37" t="str">
            <v>Cấp 4</v>
          </cell>
          <cell r="E37">
            <v>2338</v>
          </cell>
          <cell r="F37">
            <v>45270</v>
          </cell>
          <cell r="G37" t="str">
            <v>01</v>
          </cell>
          <cell r="H37">
            <v>9527</v>
          </cell>
          <cell r="I37">
            <v>2</v>
          </cell>
          <cell r="J37">
            <v>1053629</v>
          </cell>
          <cell r="K37">
            <v>560</v>
          </cell>
          <cell r="L37" t="str">
            <v>041</v>
          </cell>
          <cell r="M37" t="str">
            <v>00521</v>
          </cell>
          <cell r="N37">
            <v>2311</v>
          </cell>
          <cell r="O37">
            <v>12</v>
          </cell>
          <cell r="P37">
            <v>200</v>
          </cell>
          <cell r="Q37">
            <v>1000000</v>
          </cell>
          <cell r="R37">
            <v>0</v>
          </cell>
          <cell r="S37">
            <v>0</v>
          </cell>
          <cell r="T37">
            <v>0</v>
          </cell>
          <cell r="U37" t="str">
            <v>06A14A2012A445</v>
          </cell>
        </row>
        <row r="38">
          <cell r="A38">
            <v>0</v>
          </cell>
          <cell r="B38">
            <v>0</v>
          </cell>
          <cell r="C38">
            <v>0</v>
          </cell>
          <cell r="D38" t="str">
            <v>Cấp 4</v>
          </cell>
          <cell r="E38">
            <v>2338</v>
          </cell>
          <cell r="F38">
            <v>45270</v>
          </cell>
          <cell r="G38" t="str">
            <v>01</v>
          </cell>
          <cell r="H38">
            <v>9527</v>
          </cell>
          <cell r="I38">
            <v>2</v>
          </cell>
          <cell r="J38">
            <v>1053629</v>
          </cell>
          <cell r="K38">
            <v>560</v>
          </cell>
          <cell r="L38" t="str">
            <v>041</v>
          </cell>
          <cell r="M38" t="str">
            <v>00501</v>
          </cell>
          <cell r="N38">
            <v>2311</v>
          </cell>
          <cell r="O38">
            <v>12</v>
          </cell>
          <cell r="P38">
            <v>100</v>
          </cell>
          <cell r="Q38">
            <v>577000000</v>
          </cell>
          <cell r="R38">
            <v>0</v>
          </cell>
          <cell r="S38">
            <v>0</v>
          </cell>
          <cell r="T38">
            <v>0</v>
          </cell>
          <cell r="U38" t="str">
            <v>06A14A2012A446</v>
          </cell>
        </row>
        <row r="39">
          <cell r="A39">
            <v>0</v>
          </cell>
          <cell r="B39">
            <v>0</v>
          </cell>
          <cell r="C39">
            <v>0</v>
          </cell>
          <cell r="D39" t="str">
            <v>Cấp 4</v>
          </cell>
          <cell r="E39">
            <v>2338</v>
          </cell>
          <cell r="F39">
            <v>45270</v>
          </cell>
          <cell r="G39" t="str">
            <v>01</v>
          </cell>
          <cell r="H39">
            <v>9527</v>
          </cell>
          <cell r="I39">
            <v>2</v>
          </cell>
          <cell r="J39">
            <v>1053629</v>
          </cell>
          <cell r="K39">
            <v>560</v>
          </cell>
          <cell r="L39" t="str">
            <v>041</v>
          </cell>
          <cell r="M39" t="str">
            <v>00501</v>
          </cell>
          <cell r="N39">
            <v>2311</v>
          </cell>
          <cell r="O39">
            <v>12</v>
          </cell>
          <cell r="P39">
            <v>200</v>
          </cell>
          <cell r="Q39">
            <v>29000000</v>
          </cell>
          <cell r="R39">
            <v>0</v>
          </cell>
          <cell r="S39">
            <v>0</v>
          </cell>
          <cell r="T39">
            <v>0</v>
          </cell>
          <cell r="U39">
            <v>0</v>
          </cell>
        </row>
        <row r="40">
          <cell r="A40" t="str">
            <v>T13</v>
          </cell>
          <cell r="B40" t="str">
            <v>Phân bổ kinh phí hỗ trợ khắc phục hậu quả thiên tai từ nguồn dự phòng ngân sách trung ương năm 2023</v>
          </cell>
          <cell r="C40">
            <v>0</v>
          </cell>
          <cell r="D40">
            <v>0</v>
          </cell>
          <cell r="E40">
            <v>92</v>
          </cell>
          <cell r="F40">
            <v>45308</v>
          </cell>
          <cell r="G40">
            <v>0</v>
          </cell>
          <cell r="H40">
            <v>0</v>
          </cell>
          <cell r="I40">
            <v>0</v>
          </cell>
          <cell r="J40">
            <v>0</v>
          </cell>
          <cell r="K40">
            <v>0</v>
          </cell>
          <cell r="L40">
            <v>0</v>
          </cell>
          <cell r="M40">
            <v>0</v>
          </cell>
          <cell r="N40">
            <v>0</v>
          </cell>
          <cell r="O40">
            <v>0</v>
          </cell>
          <cell r="P40">
            <v>0</v>
          </cell>
          <cell r="Q40">
            <v>0</v>
          </cell>
          <cell r="R40">
            <v>120000000000</v>
          </cell>
          <cell r="S40" t="str">
            <v>Chưa nhập do chưa xác định đc sẽ phân bổ cho các đv nào</v>
          </cell>
          <cell r="T40">
            <v>0</v>
          </cell>
        </row>
      </sheetData>
      <sheetData sheetId="23"/>
      <sheetData sheetId="24">
        <row r="4">
          <cell r="A4" t="str">
            <v>T31</v>
          </cell>
          <cell r="B4" t="str">
            <v>Phân bổ kinh phí tài trợ lập quy hoạch phân khu xây dựng Khu công nghiệp Chợ Mới 1 cho Ban Quản lý các Khu công nghiệp Bắc Kạn</v>
          </cell>
          <cell r="C4">
            <v>0</v>
          </cell>
          <cell r="D4">
            <v>0</v>
          </cell>
          <cell r="E4">
            <v>321</v>
          </cell>
          <cell r="F4">
            <v>45357</v>
          </cell>
          <cell r="G4" t="str">
            <v>01</v>
          </cell>
          <cell r="H4">
            <v>9111</v>
          </cell>
          <cell r="I4">
            <v>0</v>
          </cell>
          <cell r="J4">
            <v>0</v>
          </cell>
          <cell r="K4">
            <v>0</v>
          </cell>
          <cell r="L4">
            <v>0</v>
          </cell>
          <cell r="M4">
            <v>0</v>
          </cell>
          <cell r="N4">
            <v>2311</v>
          </cell>
          <cell r="O4">
            <v>0</v>
          </cell>
          <cell r="P4">
            <v>0</v>
          </cell>
          <cell r="Q4">
            <v>0</v>
          </cell>
          <cell r="R4">
            <v>190000000</v>
          </cell>
          <cell r="S4">
            <v>289716527</v>
          </cell>
          <cell r="T4">
            <v>0</v>
          </cell>
        </row>
        <row r="5">
          <cell r="A5">
            <v>0</v>
          </cell>
          <cell r="B5" t="str">
            <v xml:space="preserve">Tỉnh </v>
          </cell>
          <cell r="C5">
            <v>0</v>
          </cell>
          <cell r="D5" t="str">
            <v>Cấp 0</v>
          </cell>
          <cell r="E5">
            <v>321</v>
          </cell>
          <cell r="F5">
            <v>45357</v>
          </cell>
          <cell r="G5" t="str">
            <v>01</v>
          </cell>
          <cell r="H5">
            <v>9223</v>
          </cell>
          <cell r="I5">
            <v>2</v>
          </cell>
          <cell r="J5">
            <v>2997906</v>
          </cell>
          <cell r="K5">
            <v>999</v>
          </cell>
          <cell r="L5">
            <v>437</v>
          </cell>
          <cell r="M5">
            <v>99999</v>
          </cell>
          <cell r="N5">
            <v>2311</v>
          </cell>
          <cell r="O5">
            <v>29</v>
          </cell>
          <cell r="P5">
            <v>201</v>
          </cell>
          <cell r="Q5">
            <v>190000000</v>
          </cell>
          <cell r="R5">
            <v>0</v>
          </cell>
          <cell r="S5">
            <v>0</v>
          </cell>
          <cell r="T5" t="str">
            <v>06A40K2012K312</v>
          </cell>
          <cell r="U5">
            <v>0</v>
          </cell>
        </row>
        <row r="6">
          <cell r="A6">
            <v>1</v>
          </cell>
          <cell r="B6" t="e">
            <v>#N/A</v>
          </cell>
          <cell r="C6">
            <v>0</v>
          </cell>
          <cell r="D6">
            <v>0</v>
          </cell>
          <cell r="E6">
            <v>0</v>
          </cell>
          <cell r="F6">
            <v>0</v>
          </cell>
          <cell r="G6" t="str">
            <v>01</v>
          </cell>
          <cell r="H6">
            <v>9622</v>
          </cell>
          <cell r="I6">
            <v>2</v>
          </cell>
          <cell r="J6" t="e">
            <v>#N/A</v>
          </cell>
          <cell r="K6">
            <v>560</v>
          </cell>
          <cell r="L6">
            <v>432</v>
          </cell>
          <cell r="M6" t="str">
            <v>00510</v>
          </cell>
          <cell r="N6" t="e">
            <v>#N/A</v>
          </cell>
          <cell r="O6" t="str">
            <v>00</v>
          </cell>
          <cell r="P6">
            <v>201</v>
          </cell>
          <cell r="Q6">
            <v>0</v>
          </cell>
          <cell r="R6">
            <v>0</v>
          </cell>
          <cell r="S6">
            <v>0</v>
          </cell>
          <cell r="T6" t="str">
            <v>06A04K2012K1594</v>
          </cell>
        </row>
        <row r="7">
          <cell r="A7" t="str">
            <v>T32</v>
          </cell>
          <cell r="B7" t="str">
            <v>Cấp bổ sung kinh phí cho các đơn vị để thực hiện nhiệm vụ năm 2024</v>
          </cell>
          <cell r="C7">
            <v>0</v>
          </cell>
          <cell r="D7">
            <v>0</v>
          </cell>
          <cell r="E7">
            <v>362</v>
          </cell>
          <cell r="F7">
            <v>45362</v>
          </cell>
          <cell r="G7" t="str">
            <v>01</v>
          </cell>
          <cell r="H7">
            <v>9111</v>
          </cell>
          <cell r="I7">
            <v>0</v>
          </cell>
          <cell r="J7">
            <v>0</v>
          </cell>
          <cell r="K7">
            <v>0</v>
          </cell>
          <cell r="L7">
            <v>0</v>
          </cell>
          <cell r="M7">
            <v>0</v>
          </cell>
          <cell r="N7">
            <v>2311</v>
          </cell>
          <cell r="O7">
            <v>0</v>
          </cell>
          <cell r="P7">
            <v>0</v>
          </cell>
          <cell r="Q7">
            <v>0</v>
          </cell>
          <cell r="R7">
            <v>6333762000</v>
          </cell>
          <cell r="S7">
            <v>290388897</v>
          </cell>
          <cell r="T7">
            <v>0</v>
          </cell>
        </row>
        <row r="8">
          <cell r="A8">
            <v>0</v>
          </cell>
          <cell r="B8" t="str">
            <v xml:space="preserve">Tỉnh </v>
          </cell>
          <cell r="C8">
            <v>0</v>
          </cell>
          <cell r="D8" t="str">
            <v>Cấp 0</v>
          </cell>
          <cell r="E8">
            <v>362</v>
          </cell>
          <cell r="F8">
            <v>45362</v>
          </cell>
          <cell r="G8" t="str">
            <v>01</v>
          </cell>
          <cell r="H8">
            <v>9233</v>
          </cell>
          <cell r="I8">
            <v>2</v>
          </cell>
          <cell r="J8">
            <v>2997906</v>
          </cell>
          <cell r="K8">
            <v>999</v>
          </cell>
          <cell r="L8" t="str">
            <v>437</v>
          </cell>
          <cell r="M8" t="str">
            <v>00510</v>
          </cell>
          <cell r="N8">
            <v>2311</v>
          </cell>
          <cell r="O8">
            <v>29</v>
          </cell>
          <cell r="P8">
            <v>201</v>
          </cell>
          <cell r="Q8">
            <v>6333762000</v>
          </cell>
          <cell r="R8">
            <v>0</v>
          </cell>
          <cell r="S8">
            <v>0</v>
          </cell>
          <cell r="T8">
            <v>0</v>
          </cell>
        </row>
        <row r="9">
          <cell r="A9" t="str">
            <v>T33</v>
          </cell>
          <cell r="B9" t="str">
            <v>Cấp bổ sung kinh phí cho Công an tỉnh để tổ chức Hội thi nghiệp vụ chữa cháy và cứu nạn, cứu hộ "Tổ liên gia an toàn phòng cháy, chữa cháy" toàn quốc năm 2024</v>
          </cell>
          <cell r="C9">
            <v>0</v>
          </cell>
          <cell r="D9">
            <v>0</v>
          </cell>
          <cell r="E9">
            <v>457</v>
          </cell>
          <cell r="F9">
            <v>45373</v>
          </cell>
          <cell r="G9" t="str">
            <v>01</v>
          </cell>
          <cell r="H9">
            <v>9111</v>
          </cell>
          <cell r="I9">
            <v>0</v>
          </cell>
          <cell r="J9">
            <v>0</v>
          </cell>
          <cell r="K9">
            <v>0</v>
          </cell>
          <cell r="L9">
            <v>0</v>
          </cell>
          <cell r="M9">
            <v>0</v>
          </cell>
          <cell r="N9">
            <v>2311</v>
          </cell>
          <cell r="O9">
            <v>0</v>
          </cell>
          <cell r="P9">
            <v>0</v>
          </cell>
          <cell r="Q9">
            <v>0</v>
          </cell>
          <cell r="R9">
            <v>1682961200</v>
          </cell>
          <cell r="S9">
            <v>291378903</v>
          </cell>
          <cell r="T9">
            <v>0</v>
          </cell>
        </row>
        <row r="10">
          <cell r="A10">
            <v>0</v>
          </cell>
          <cell r="B10" t="str">
            <v xml:space="preserve">Tỉnh </v>
          </cell>
          <cell r="C10">
            <v>0</v>
          </cell>
          <cell r="D10" t="str">
            <v>Cấp 0</v>
          </cell>
          <cell r="E10">
            <v>457</v>
          </cell>
          <cell r="F10">
            <v>45373</v>
          </cell>
          <cell r="G10" t="str">
            <v>01</v>
          </cell>
          <cell r="H10">
            <v>9233</v>
          </cell>
          <cell r="I10">
            <v>2</v>
          </cell>
          <cell r="J10">
            <v>2997906</v>
          </cell>
          <cell r="K10">
            <v>999</v>
          </cell>
          <cell r="L10" t="str">
            <v>437</v>
          </cell>
          <cell r="M10">
            <v>99999</v>
          </cell>
          <cell r="N10">
            <v>2311</v>
          </cell>
          <cell r="O10">
            <v>29</v>
          </cell>
          <cell r="P10">
            <v>201</v>
          </cell>
          <cell r="Q10">
            <v>1682961200</v>
          </cell>
          <cell r="R10">
            <v>0</v>
          </cell>
          <cell r="S10">
            <v>0</v>
          </cell>
          <cell r="T10">
            <v>0</v>
          </cell>
        </row>
        <row r="11">
          <cell r="A11">
            <v>0</v>
          </cell>
          <cell r="B11" t="str">
            <v>Công an tỉnh</v>
          </cell>
          <cell r="C11">
            <v>0</v>
          </cell>
          <cell r="D11" t="str">
            <v>Cấp 1</v>
          </cell>
          <cell r="E11">
            <v>457</v>
          </cell>
          <cell r="F11">
            <v>45373</v>
          </cell>
          <cell r="G11" t="str">
            <v>01</v>
          </cell>
          <cell r="H11">
            <v>9253</v>
          </cell>
          <cell r="I11">
            <v>2</v>
          </cell>
          <cell r="J11">
            <v>1053629</v>
          </cell>
          <cell r="K11">
            <v>560</v>
          </cell>
          <cell r="L11" t="str">
            <v>040</v>
          </cell>
          <cell r="M11">
            <v>99999</v>
          </cell>
          <cell r="N11">
            <v>2311</v>
          </cell>
          <cell r="O11">
            <v>29</v>
          </cell>
          <cell r="P11">
            <v>201</v>
          </cell>
          <cell r="Q11">
            <v>1682961200</v>
          </cell>
          <cell r="R11">
            <v>0</v>
          </cell>
          <cell r="S11">
            <v>0</v>
          </cell>
          <cell r="T11" t="str">
            <v>06A01G2012G131</v>
          </cell>
        </row>
        <row r="12">
          <cell r="A12">
            <v>0</v>
          </cell>
          <cell r="B12">
            <v>0</v>
          </cell>
          <cell r="C12">
            <v>0</v>
          </cell>
          <cell r="D12" t="str">
            <v>Cấp 4</v>
          </cell>
          <cell r="E12">
            <v>457</v>
          </cell>
          <cell r="F12">
            <v>45373</v>
          </cell>
          <cell r="G12" t="str">
            <v>01</v>
          </cell>
          <cell r="H12">
            <v>9527</v>
          </cell>
          <cell r="I12">
            <v>2</v>
          </cell>
          <cell r="J12">
            <v>1053629</v>
          </cell>
          <cell r="K12">
            <v>560</v>
          </cell>
          <cell r="L12" t="str">
            <v>041</v>
          </cell>
          <cell r="M12" t="str">
            <v>00000</v>
          </cell>
          <cell r="N12">
            <v>2311</v>
          </cell>
          <cell r="O12">
            <v>12</v>
          </cell>
          <cell r="P12">
            <v>201</v>
          </cell>
          <cell r="Q12">
            <v>1682961200</v>
          </cell>
          <cell r="R12">
            <v>0</v>
          </cell>
          <cell r="S12">
            <v>0</v>
          </cell>
          <cell r="T12" t="str">
            <v>06A14G2012G116</v>
          </cell>
        </row>
      </sheetData>
      <sheetData sheetId="25">
        <row r="4">
          <cell r="A4" t="str">
            <v>T41</v>
          </cell>
          <cell r="B4" t="str">
            <v>Cấp hỗ trợ kinh phí cho Công an tỉnh để tổ chức Lễ kỷ niệm 50 năm Ngày truyền thống lực lượng Cảnh sát cơ động (15/4/1974-15/4/2024)</v>
          </cell>
          <cell r="C4">
            <v>0</v>
          </cell>
          <cell r="D4">
            <v>0</v>
          </cell>
          <cell r="E4">
            <v>545</v>
          </cell>
          <cell r="F4">
            <v>45383</v>
          </cell>
          <cell r="G4" t="str">
            <v>01</v>
          </cell>
          <cell r="H4">
            <v>9111</v>
          </cell>
          <cell r="I4">
            <v>0</v>
          </cell>
          <cell r="J4">
            <v>0</v>
          </cell>
          <cell r="K4">
            <v>0</v>
          </cell>
          <cell r="L4">
            <v>0</v>
          </cell>
          <cell r="M4">
            <v>0</v>
          </cell>
          <cell r="N4">
            <v>2311</v>
          </cell>
          <cell r="O4">
            <v>0</v>
          </cell>
          <cell r="P4">
            <v>0</v>
          </cell>
          <cell r="Q4">
            <v>0</v>
          </cell>
          <cell r="R4">
            <v>132796000</v>
          </cell>
          <cell r="S4">
            <v>292343821</v>
          </cell>
          <cell r="T4">
            <v>0</v>
          </cell>
        </row>
        <row r="5">
          <cell r="A5">
            <v>0</v>
          </cell>
          <cell r="B5" t="str">
            <v>Tỉnh</v>
          </cell>
          <cell r="C5">
            <v>0</v>
          </cell>
          <cell r="D5" t="str">
            <v>Cấp 0</v>
          </cell>
          <cell r="E5">
            <v>545</v>
          </cell>
          <cell r="F5">
            <v>45383</v>
          </cell>
          <cell r="G5" t="str">
            <v>01</v>
          </cell>
          <cell r="H5">
            <v>9223</v>
          </cell>
          <cell r="I5">
            <v>2</v>
          </cell>
          <cell r="J5">
            <v>2997906</v>
          </cell>
          <cell r="K5">
            <v>999</v>
          </cell>
          <cell r="L5">
            <v>437</v>
          </cell>
          <cell r="M5" t="str">
            <v>99999</v>
          </cell>
          <cell r="N5">
            <v>2311</v>
          </cell>
          <cell r="O5">
            <v>99</v>
          </cell>
          <cell r="P5">
            <v>201</v>
          </cell>
          <cell r="Q5">
            <v>132796000</v>
          </cell>
          <cell r="R5">
            <v>0</v>
          </cell>
          <cell r="S5">
            <v>0</v>
          </cell>
          <cell r="T5">
            <v>0</v>
          </cell>
        </row>
        <row r="6">
          <cell r="A6">
            <v>0</v>
          </cell>
          <cell r="B6" t="str">
            <v>Công an tỉnh</v>
          </cell>
          <cell r="C6">
            <v>0</v>
          </cell>
          <cell r="D6" t="str">
            <v>Cấp 1</v>
          </cell>
          <cell r="E6">
            <v>545</v>
          </cell>
          <cell r="F6">
            <v>45383</v>
          </cell>
          <cell r="G6" t="str">
            <v>01</v>
          </cell>
          <cell r="H6">
            <v>9253</v>
          </cell>
          <cell r="I6">
            <v>2</v>
          </cell>
          <cell r="J6">
            <v>1053629</v>
          </cell>
          <cell r="K6">
            <v>560</v>
          </cell>
          <cell r="L6" t="str">
            <v>040</v>
          </cell>
          <cell r="M6">
            <v>99999</v>
          </cell>
          <cell r="N6">
            <v>2311</v>
          </cell>
          <cell r="O6">
            <v>29</v>
          </cell>
          <cell r="P6">
            <v>201</v>
          </cell>
          <cell r="Q6">
            <v>132796000</v>
          </cell>
          <cell r="R6">
            <v>0</v>
          </cell>
          <cell r="S6">
            <v>0</v>
          </cell>
          <cell r="T6" t="str">
            <v>06A01G2012G132</v>
          </cell>
        </row>
        <row r="7">
          <cell r="A7">
            <v>0</v>
          </cell>
          <cell r="B7">
            <v>0</v>
          </cell>
          <cell r="C7">
            <v>0</v>
          </cell>
          <cell r="D7" t="str">
            <v>Cấp 4</v>
          </cell>
          <cell r="E7">
            <v>545</v>
          </cell>
          <cell r="F7">
            <v>45383</v>
          </cell>
          <cell r="G7" t="str">
            <v>01</v>
          </cell>
          <cell r="H7">
            <v>9527</v>
          </cell>
          <cell r="I7">
            <v>2</v>
          </cell>
          <cell r="J7">
            <v>1053629</v>
          </cell>
          <cell r="K7">
            <v>560</v>
          </cell>
          <cell r="L7" t="str">
            <v>041</v>
          </cell>
          <cell r="M7" t="str">
            <v>00000</v>
          </cell>
          <cell r="N7">
            <v>2311</v>
          </cell>
          <cell r="O7">
            <v>12</v>
          </cell>
          <cell r="P7">
            <v>201</v>
          </cell>
          <cell r="Q7">
            <v>132796000</v>
          </cell>
          <cell r="R7">
            <v>0</v>
          </cell>
          <cell r="S7">
            <v>0</v>
          </cell>
          <cell r="T7" t="str">
            <v>06A14G2012G117</v>
          </cell>
        </row>
        <row r="8">
          <cell r="A8" t="str">
            <v>T42</v>
          </cell>
          <cell r="B8" t="str">
            <v>Cấp kp cho các đơn vị, địa phương để thực hiện nhiệm vụ năm 2023</v>
          </cell>
          <cell r="C8">
            <v>0</v>
          </cell>
          <cell r="D8">
            <v>0</v>
          </cell>
          <cell r="E8">
            <v>547</v>
          </cell>
          <cell r="F8">
            <v>45383</v>
          </cell>
          <cell r="G8" t="str">
            <v>01</v>
          </cell>
          <cell r="H8">
            <v>9111</v>
          </cell>
          <cell r="I8">
            <v>0</v>
          </cell>
          <cell r="J8">
            <v>0</v>
          </cell>
          <cell r="K8">
            <v>0</v>
          </cell>
          <cell r="L8">
            <v>0</v>
          </cell>
          <cell r="M8">
            <v>0</v>
          </cell>
          <cell r="N8">
            <v>2311</v>
          </cell>
          <cell r="O8">
            <v>0</v>
          </cell>
          <cell r="P8">
            <v>0</v>
          </cell>
          <cell r="Q8">
            <v>0</v>
          </cell>
          <cell r="R8">
            <v>2869501000</v>
          </cell>
          <cell r="S8">
            <v>292343821</v>
          </cell>
          <cell r="T8">
            <v>0</v>
          </cell>
        </row>
        <row r="9">
          <cell r="A9">
            <v>0</v>
          </cell>
          <cell r="B9" t="str">
            <v>Tỉnh</v>
          </cell>
          <cell r="C9">
            <v>0</v>
          </cell>
          <cell r="D9" t="str">
            <v>Cấp 0</v>
          </cell>
          <cell r="E9">
            <v>547</v>
          </cell>
          <cell r="F9">
            <v>45383</v>
          </cell>
          <cell r="G9" t="str">
            <v>01</v>
          </cell>
          <cell r="H9">
            <v>9233</v>
          </cell>
          <cell r="I9">
            <v>2</v>
          </cell>
          <cell r="J9">
            <v>2997906</v>
          </cell>
          <cell r="K9">
            <v>999</v>
          </cell>
          <cell r="L9">
            <v>437</v>
          </cell>
          <cell r="M9">
            <v>99999</v>
          </cell>
          <cell r="N9">
            <v>2311</v>
          </cell>
          <cell r="O9">
            <v>29</v>
          </cell>
          <cell r="P9">
            <v>201</v>
          </cell>
          <cell r="Q9">
            <v>2869501000</v>
          </cell>
          <cell r="R9">
            <v>0</v>
          </cell>
          <cell r="S9">
            <v>0</v>
          </cell>
          <cell r="T9">
            <v>0</v>
          </cell>
        </row>
        <row r="10">
          <cell r="A10">
            <v>0</v>
          </cell>
          <cell r="B10" t="str">
            <v>Công ty Điện lực Bắc Kạn</v>
          </cell>
          <cell r="C10">
            <v>0</v>
          </cell>
          <cell r="D10" t="str">
            <v>Cấp 1</v>
          </cell>
          <cell r="E10">
            <v>547</v>
          </cell>
          <cell r="F10">
            <v>45383</v>
          </cell>
          <cell r="G10" t="str">
            <v>01</v>
          </cell>
          <cell r="H10">
            <v>9253</v>
          </cell>
          <cell r="I10">
            <v>2</v>
          </cell>
          <cell r="J10">
            <v>3017992</v>
          </cell>
          <cell r="K10">
            <v>599</v>
          </cell>
          <cell r="L10">
            <v>411</v>
          </cell>
          <cell r="M10">
            <v>99999</v>
          </cell>
          <cell r="N10">
            <v>2311</v>
          </cell>
          <cell r="O10">
            <v>29</v>
          </cell>
          <cell r="P10">
            <v>201</v>
          </cell>
          <cell r="Q10">
            <v>7091000</v>
          </cell>
          <cell r="R10">
            <v>0</v>
          </cell>
          <cell r="S10">
            <v>0</v>
          </cell>
          <cell r="T10" t="str">
            <v>06A01A2012A483</v>
          </cell>
        </row>
        <row r="11">
          <cell r="A11">
            <v>0</v>
          </cell>
          <cell r="B11">
            <v>0</v>
          </cell>
          <cell r="C11">
            <v>0</v>
          </cell>
          <cell r="D11" t="str">
            <v>Cấp 4</v>
          </cell>
          <cell r="E11">
            <v>547</v>
          </cell>
          <cell r="F11">
            <v>45383</v>
          </cell>
          <cell r="G11" t="str">
            <v>01</v>
          </cell>
          <cell r="H11">
            <v>9528</v>
          </cell>
          <cell r="I11">
            <v>2</v>
          </cell>
          <cell r="J11">
            <v>3017992</v>
          </cell>
          <cell r="K11">
            <v>599</v>
          </cell>
          <cell r="L11">
            <v>411</v>
          </cell>
          <cell r="M11">
            <v>99999</v>
          </cell>
          <cell r="N11">
            <v>2311</v>
          </cell>
          <cell r="O11">
            <v>12</v>
          </cell>
          <cell r="P11">
            <v>201</v>
          </cell>
          <cell r="Q11">
            <v>7091000</v>
          </cell>
          <cell r="R11">
            <v>0</v>
          </cell>
          <cell r="S11">
            <v>0</v>
          </cell>
          <cell r="T11">
            <v>0</v>
          </cell>
        </row>
        <row r="12">
          <cell r="A12" t="str">
            <v>T43</v>
          </cell>
          <cell r="B12" t="str">
            <v>Phân bổ và giao dự toán kinh phí sự nghiệp cho các đơn vị, địa phương thực hiện nhiệm vụ năm 2024 (bổ sung lần 1)</v>
          </cell>
          <cell r="C12">
            <v>0</v>
          </cell>
          <cell r="D12">
            <v>0</v>
          </cell>
          <cell r="E12">
            <v>599</v>
          </cell>
          <cell r="F12">
            <v>45391</v>
          </cell>
          <cell r="G12" t="str">
            <v>01</v>
          </cell>
          <cell r="H12">
            <v>9111</v>
          </cell>
          <cell r="I12">
            <v>0</v>
          </cell>
          <cell r="J12">
            <v>0</v>
          </cell>
          <cell r="K12">
            <v>0</v>
          </cell>
          <cell r="L12">
            <v>0</v>
          </cell>
          <cell r="M12">
            <v>0</v>
          </cell>
          <cell r="N12">
            <v>2311</v>
          </cell>
          <cell r="O12">
            <v>0</v>
          </cell>
          <cell r="P12">
            <v>0</v>
          </cell>
          <cell r="Q12">
            <v>0</v>
          </cell>
          <cell r="R12">
            <v>64564926169</v>
          </cell>
          <cell r="S12">
            <v>293714567</v>
          </cell>
          <cell r="T12">
            <v>0</v>
          </cell>
        </row>
        <row r="13">
          <cell r="A13" t="str">
            <v>I</v>
          </cell>
          <cell r="B13" t="str">
            <v>Kinh phí thực hiện nhiệm vụ chuyển đổi số mới năm 2024</v>
          </cell>
          <cell r="C13">
            <v>0</v>
          </cell>
          <cell r="D13">
            <v>0</v>
          </cell>
          <cell r="E13">
            <v>0</v>
          </cell>
          <cell r="F13">
            <v>0</v>
          </cell>
          <cell r="G13">
            <v>0</v>
          </cell>
          <cell r="H13">
            <v>0</v>
          </cell>
          <cell r="I13">
            <v>0</v>
          </cell>
          <cell r="J13">
            <v>0</v>
          </cell>
          <cell r="K13">
            <v>0</v>
          </cell>
          <cell r="L13">
            <v>0</v>
          </cell>
          <cell r="M13">
            <v>0</v>
          </cell>
          <cell r="N13">
            <v>0</v>
          </cell>
          <cell r="O13">
            <v>0</v>
          </cell>
          <cell r="P13">
            <v>0</v>
          </cell>
          <cell r="Q13">
            <v>16152400000</v>
          </cell>
          <cell r="R13">
            <v>0</v>
          </cell>
          <cell r="S13">
            <v>0</v>
          </cell>
          <cell r="T13">
            <v>0</v>
          </cell>
        </row>
        <row r="14">
          <cell r="A14">
            <v>0</v>
          </cell>
          <cell r="B14" t="str">
            <v>Tỉnh</v>
          </cell>
          <cell r="C14">
            <v>0</v>
          </cell>
          <cell r="D14" t="str">
            <v>Cấp 0</v>
          </cell>
          <cell r="E14">
            <v>599</v>
          </cell>
          <cell r="F14">
            <v>45391</v>
          </cell>
          <cell r="G14" t="str">
            <v>01</v>
          </cell>
          <cell r="H14">
            <v>9213</v>
          </cell>
          <cell r="I14">
            <v>2</v>
          </cell>
          <cell r="J14">
            <v>2997906</v>
          </cell>
          <cell r="K14">
            <v>999</v>
          </cell>
          <cell r="L14">
            <v>280</v>
          </cell>
          <cell r="M14" t="str">
            <v>99999</v>
          </cell>
          <cell r="N14">
            <v>2311</v>
          </cell>
          <cell r="O14">
            <v>29</v>
          </cell>
          <cell r="P14">
            <v>200</v>
          </cell>
          <cell r="Q14">
            <v>16152400000</v>
          </cell>
          <cell r="R14">
            <v>0</v>
          </cell>
          <cell r="S14">
            <v>0</v>
          </cell>
          <cell r="T14">
            <v>0</v>
          </cell>
        </row>
        <row r="15">
          <cell r="A15" t="str">
            <v>II</v>
          </cell>
          <cell r="B15" t="str">
            <v>Tỉnh (Kinh phí tổ chức lớp Bồi dưỡng kiến thức dành cho cán bộ quy hoạch Ủy viên Ban Chấp hành Đảng bộ tỉnh nhiệm kỳ 2025-2030)</v>
          </cell>
          <cell r="C15">
            <v>0</v>
          </cell>
          <cell r="D15" t="str">
            <v>Cấp 0</v>
          </cell>
          <cell r="E15">
            <v>599</v>
          </cell>
          <cell r="F15">
            <v>45391</v>
          </cell>
          <cell r="G15" t="str">
            <v>01</v>
          </cell>
          <cell r="H15">
            <v>9213</v>
          </cell>
          <cell r="I15">
            <v>2</v>
          </cell>
          <cell r="J15">
            <v>2997906</v>
          </cell>
          <cell r="K15">
            <v>999</v>
          </cell>
          <cell r="L15" t="str">
            <v>070</v>
          </cell>
          <cell r="M15" t="str">
            <v>99999</v>
          </cell>
          <cell r="N15">
            <v>2311</v>
          </cell>
          <cell r="O15">
            <v>29</v>
          </cell>
          <cell r="P15">
            <v>200</v>
          </cell>
          <cell r="Q15">
            <v>77740000</v>
          </cell>
          <cell r="R15">
            <v>0</v>
          </cell>
          <cell r="S15">
            <v>0</v>
          </cell>
          <cell r="T15">
            <v>0</v>
          </cell>
        </row>
        <row r="16">
          <cell r="A16" t="str">
            <v>III</v>
          </cell>
          <cell r="B16" t="str">
            <v xml:space="preserve">Kinh phí sự nghiệp thực hiện các CTMTQG </v>
          </cell>
          <cell r="C16">
            <v>0</v>
          </cell>
          <cell r="D16">
            <v>0</v>
          </cell>
          <cell r="E16">
            <v>0</v>
          </cell>
          <cell r="F16">
            <v>0</v>
          </cell>
          <cell r="G16">
            <v>0</v>
          </cell>
          <cell r="H16">
            <v>0</v>
          </cell>
          <cell r="I16">
            <v>0</v>
          </cell>
          <cell r="J16">
            <v>0</v>
          </cell>
          <cell r="K16">
            <v>0</v>
          </cell>
          <cell r="L16">
            <v>0</v>
          </cell>
          <cell r="M16">
            <v>0</v>
          </cell>
          <cell r="N16">
            <v>0</v>
          </cell>
          <cell r="O16">
            <v>0</v>
          </cell>
          <cell r="P16">
            <v>0</v>
          </cell>
          <cell r="Q16">
            <v>18968217169</v>
          </cell>
          <cell r="R16">
            <v>0</v>
          </cell>
          <cell r="S16">
            <v>0</v>
          </cell>
          <cell r="T16">
            <v>0</v>
          </cell>
        </row>
        <row r="17">
          <cell r="A17" t="str">
            <v>*</v>
          </cell>
          <cell r="B17" t="str">
            <v>Kinh phí sự nghiệp thực hiện CTMTQG giảm nghèo bền vững</v>
          </cell>
          <cell r="C17">
            <v>0</v>
          </cell>
          <cell r="D17">
            <v>0</v>
          </cell>
          <cell r="E17">
            <v>0</v>
          </cell>
          <cell r="F17">
            <v>0</v>
          </cell>
          <cell r="G17">
            <v>0</v>
          </cell>
          <cell r="H17">
            <v>0</v>
          </cell>
          <cell r="I17">
            <v>0</v>
          </cell>
          <cell r="J17">
            <v>0</v>
          </cell>
          <cell r="K17">
            <v>0</v>
          </cell>
          <cell r="L17">
            <v>0</v>
          </cell>
          <cell r="M17">
            <v>0</v>
          </cell>
          <cell r="N17">
            <v>0</v>
          </cell>
          <cell r="O17">
            <v>0</v>
          </cell>
          <cell r="P17">
            <v>0</v>
          </cell>
          <cell r="Q17">
            <v>1663391169</v>
          </cell>
          <cell r="R17">
            <v>0</v>
          </cell>
          <cell r="S17">
            <v>0</v>
          </cell>
          <cell r="T17">
            <v>0</v>
          </cell>
        </row>
        <row r="18">
          <cell r="A18">
            <v>0</v>
          </cell>
          <cell r="B18" t="str">
            <v>Tỉnh</v>
          </cell>
          <cell r="C18">
            <v>0</v>
          </cell>
          <cell r="D18" t="str">
            <v>Cấp 0</v>
          </cell>
          <cell r="E18">
            <v>599</v>
          </cell>
          <cell r="F18">
            <v>45391</v>
          </cell>
          <cell r="G18" t="str">
            <v>01</v>
          </cell>
          <cell r="H18">
            <v>9213</v>
          </cell>
          <cell r="I18">
            <v>2</v>
          </cell>
          <cell r="J18">
            <v>2997906</v>
          </cell>
          <cell r="K18">
            <v>999</v>
          </cell>
          <cell r="L18" t="str">
            <v>280</v>
          </cell>
          <cell r="M18" t="str">
            <v>00470</v>
          </cell>
          <cell r="N18">
            <v>2311</v>
          </cell>
          <cell r="O18">
            <v>29</v>
          </cell>
          <cell r="P18">
            <v>100</v>
          </cell>
          <cell r="Q18">
            <v>158900000</v>
          </cell>
          <cell r="R18">
            <v>0</v>
          </cell>
          <cell r="S18">
            <v>0</v>
          </cell>
          <cell r="T18" t="str">
            <v>Sở NN</v>
          </cell>
        </row>
        <row r="19">
          <cell r="A19">
            <v>0</v>
          </cell>
          <cell r="B19" t="str">
            <v>Huyện</v>
          </cell>
          <cell r="C19">
            <v>0</v>
          </cell>
          <cell r="D19" t="str">
            <v>Cấp 0</v>
          </cell>
          <cell r="E19">
            <v>599</v>
          </cell>
          <cell r="F19">
            <v>45391</v>
          </cell>
          <cell r="G19" t="str">
            <v>01</v>
          </cell>
          <cell r="H19">
            <v>9229</v>
          </cell>
          <cell r="I19">
            <v>2</v>
          </cell>
          <cell r="J19">
            <v>2997906</v>
          </cell>
          <cell r="K19">
            <v>999</v>
          </cell>
          <cell r="L19" t="str">
            <v>432</v>
          </cell>
          <cell r="M19" t="str">
            <v>00470</v>
          </cell>
          <cell r="N19">
            <v>2311</v>
          </cell>
          <cell r="O19">
            <v>99</v>
          </cell>
          <cell r="P19">
            <v>100</v>
          </cell>
          <cell r="Q19">
            <v>1504491169</v>
          </cell>
          <cell r="R19">
            <v>46263706169</v>
          </cell>
          <cell r="S19">
            <v>0</v>
          </cell>
          <cell r="T19">
            <v>46263706169</v>
          </cell>
          <cell r="U19">
            <v>18301220000</v>
          </cell>
        </row>
        <row r="20">
          <cell r="A20">
            <v>0</v>
          </cell>
          <cell r="B20" t="str">
            <v>Thành phố Bắc Kạn</v>
          </cell>
          <cell r="C20" t="str">
            <v>tp</v>
          </cell>
          <cell r="D20" t="str">
            <v>Cấp 4</v>
          </cell>
          <cell r="E20">
            <v>599</v>
          </cell>
          <cell r="F20">
            <v>45391</v>
          </cell>
          <cell r="G20" t="str">
            <v>01</v>
          </cell>
          <cell r="H20">
            <v>9622</v>
          </cell>
          <cell r="I20">
            <v>2</v>
          </cell>
          <cell r="J20">
            <v>2999058</v>
          </cell>
          <cell r="K20">
            <v>560</v>
          </cell>
          <cell r="L20">
            <v>432</v>
          </cell>
          <cell r="M20" t="str">
            <v>00470</v>
          </cell>
          <cell r="N20">
            <v>2311</v>
          </cell>
          <cell r="O20" t="str">
            <v>00</v>
          </cell>
          <cell r="P20">
            <v>100</v>
          </cell>
          <cell r="Q20">
            <v>94600000</v>
          </cell>
          <cell r="R20">
            <v>3067086000</v>
          </cell>
          <cell r="S20" t="str">
            <v>Nguồn 100+200+204</v>
          </cell>
          <cell r="T20" t="str">
            <v>06A04K2012K1596</v>
          </cell>
          <cell r="U20">
            <v>18301220000</v>
          </cell>
        </row>
        <row r="21">
          <cell r="A21">
            <v>0</v>
          </cell>
          <cell r="B21" t="str">
            <v>Pác Nặm</v>
          </cell>
          <cell r="C21" t="str">
            <v>pn</v>
          </cell>
          <cell r="D21" t="str">
            <v>Cấp 4</v>
          </cell>
          <cell r="E21">
            <v>599</v>
          </cell>
          <cell r="F21">
            <v>45391</v>
          </cell>
          <cell r="G21" t="str">
            <v>01</v>
          </cell>
          <cell r="H21">
            <v>9622</v>
          </cell>
          <cell r="I21">
            <v>2</v>
          </cell>
          <cell r="J21">
            <v>2999060</v>
          </cell>
          <cell r="K21">
            <v>560</v>
          </cell>
          <cell r="L21">
            <v>432</v>
          </cell>
          <cell r="M21" t="str">
            <v>00470</v>
          </cell>
          <cell r="N21">
            <v>2318</v>
          </cell>
          <cell r="O21" t="str">
            <v>00</v>
          </cell>
          <cell r="P21">
            <v>100</v>
          </cell>
          <cell r="Q21">
            <v>261600000</v>
          </cell>
          <cell r="R21">
            <v>5533591000</v>
          </cell>
          <cell r="S21" t="str">
            <v>Nguồn 100+200+204</v>
          </cell>
          <cell r="T21">
            <v>0</v>
          </cell>
          <cell r="U21">
            <v>0</v>
          </cell>
        </row>
        <row r="22">
          <cell r="A22">
            <v>0</v>
          </cell>
          <cell r="B22" t="str">
            <v>Ba Bể</v>
          </cell>
          <cell r="C22" t="str">
            <v>bb</v>
          </cell>
          <cell r="D22" t="str">
            <v>Cấp 4</v>
          </cell>
          <cell r="E22">
            <v>599</v>
          </cell>
          <cell r="F22">
            <v>45391</v>
          </cell>
          <cell r="G22" t="str">
            <v>01</v>
          </cell>
          <cell r="H22">
            <v>9622</v>
          </cell>
          <cell r="I22">
            <v>2</v>
          </cell>
          <cell r="J22">
            <v>2999061</v>
          </cell>
          <cell r="K22">
            <v>560</v>
          </cell>
          <cell r="L22">
            <v>432</v>
          </cell>
          <cell r="M22" t="str">
            <v>00470</v>
          </cell>
          <cell r="N22">
            <v>2313</v>
          </cell>
          <cell r="O22" t="str">
            <v>00</v>
          </cell>
          <cell r="P22">
            <v>100</v>
          </cell>
          <cell r="Q22">
            <v>204200000</v>
          </cell>
          <cell r="R22">
            <v>6009647000</v>
          </cell>
          <cell r="S22" t="str">
            <v>Nguồn 100+200+204</v>
          </cell>
          <cell r="T22">
            <v>0</v>
          </cell>
        </row>
        <row r="23">
          <cell r="A23">
            <v>0</v>
          </cell>
          <cell r="B23" t="str">
            <v>Ngân Sơn</v>
          </cell>
          <cell r="C23" t="str">
            <v>ns</v>
          </cell>
          <cell r="D23" t="str">
            <v>Cấp 4</v>
          </cell>
          <cell r="E23">
            <v>599</v>
          </cell>
          <cell r="F23">
            <v>45391</v>
          </cell>
          <cell r="G23" t="str">
            <v>01</v>
          </cell>
          <cell r="H23">
            <v>9622</v>
          </cell>
          <cell r="I23">
            <v>2</v>
          </cell>
          <cell r="J23">
            <v>2999062</v>
          </cell>
          <cell r="K23">
            <v>560</v>
          </cell>
          <cell r="L23">
            <v>432</v>
          </cell>
          <cell r="M23" t="str">
            <v>00470</v>
          </cell>
          <cell r="N23">
            <v>2312</v>
          </cell>
          <cell r="O23" t="str">
            <v>00</v>
          </cell>
          <cell r="P23">
            <v>100</v>
          </cell>
          <cell r="Q23">
            <v>246200000</v>
          </cell>
          <cell r="R23">
            <v>5539241000</v>
          </cell>
          <cell r="S23" t="str">
            <v>Nguồn 100+200+204</v>
          </cell>
          <cell r="T23">
            <v>0</v>
          </cell>
          <cell r="U23">
            <v>64564926169</v>
          </cell>
        </row>
        <row r="24">
          <cell r="A24">
            <v>0</v>
          </cell>
          <cell r="B24" t="str">
            <v>Bạch Thông</v>
          </cell>
          <cell r="C24" t="str">
            <v>bt</v>
          </cell>
          <cell r="D24" t="str">
            <v>Cấp 4</v>
          </cell>
          <cell r="E24">
            <v>599</v>
          </cell>
          <cell r="F24">
            <v>45391</v>
          </cell>
          <cell r="G24" t="str">
            <v>01</v>
          </cell>
          <cell r="H24">
            <v>9622</v>
          </cell>
          <cell r="I24">
            <v>2</v>
          </cell>
          <cell r="J24">
            <v>2999063</v>
          </cell>
          <cell r="K24">
            <v>560</v>
          </cell>
          <cell r="L24">
            <v>432</v>
          </cell>
          <cell r="M24" t="str">
            <v>00470</v>
          </cell>
          <cell r="N24">
            <v>2315</v>
          </cell>
          <cell r="O24" t="str">
            <v>00</v>
          </cell>
          <cell r="P24">
            <v>100</v>
          </cell>
          <cell r="Q24">
            <v>149800000</v>
          </cell>
          <cell r="R24">
            <v>4223330000</v>
          </cell>
          <cell r="S24" t="str">
            <v>Nguồn 100+200+204</v>
          </cell>
          <cell r="T24">
            <v>0</v>
          </cell>
        </row>
        <row r="25">
          <cell r="A25">
            <v>0</v>
          </cell>
          <cell r="B25" t="str">
            <v>Chợ Đồn</v>
          </cell>
          <cell r="C25" t="str">
            <v>cđ</v>
          </cell>
          <cell r="D25" t="str">
            <v>Cấp 4</v>
          </cell>
          <cell r="E25">
            <v>599</v>
          </cell>
          <cell r="F25">
            <v>45391</v>
          </cell>
          <cell r="G25" t="str">
            <v>01</v>
          </cell>
          <cell r="H25">
            <v>9622</v>
          </cell>
          <cell r="I25">
            <v>2</v>
          </cell>
          <cell r="J25">
            <v>2999064</v>
          </cell>
          <cell r="K25">
            <v>560</v>
          </cell>
          <cell r="L25">
            <v>432</v>
          </cell>
          <cell r="M25" t="str">
            <v>00470</v>
          </cell>
          <cell r="N25">
            <v>2316</v>
          </cell>
          <cell r="O25" t="str">
            <v>00</v>
          </cell>
          <cell r="P25">
            <v>100</v>
          </cell>
          <cell r="Q25">
            <v>169200000</v>
          </cell>
          <cell r="R25">
            <v>7622274000</v>
          </cell>
          <cell r="S25" t="str">
            <v>Nguồn 100+200+204</v>
          </cell>
          <cell r="T25">
            <v>0</v>
          </cell>
        </row>
        <row r="26">
          <cell r="A26">
            <v>0</v>
          </cell>
          <cell r="B26" t="str">
            <v>Chợ Mới</v>
          </cell>
          <cell r="C26" t="str">
            <v>cm</v>
          </cell>
          <cell r="D26" t="str">
            <v>Cấp 4</v>
          </cell>
          <cell r="E26">
            <v>599</v>
          </cell>
          <cell r="F26">
            <v>45391</v>
          </cell>
          <cell r="G26" t="str">
            <v>01</v>
          </cell>
          <cell r="H26">
            <v>9622</v>
          </cell>
          <cell r="I26">
            <v>2</v>
          </cell>
          <cell r="J26">
            <v>2999065</v>
          </cell>
          <cell r="K26">
            <v>560</v>
          </cell>
          <cell r="L26">
            <v>432</v>
          </cell>
          <cell r="M26" t="str">
            <v>00470</v>
          </cell>
          <cell r="N26">
            <v>2314</v>
          </cell>
          <cell r="O26" t="str">
            <v>00</v>
          </cell>
          <cell r="P26">
            <v>100</v>
          </cell>
          <cell r="Q26">
            <v>163400000</v>
          </cell>
          <cell r="R26">
            <v>5868344000</v>
          </cell>
          <cell r="S26" t="str">
            <v>Nguồn 100+200+204</v>
          </cell>
          <cell r="T26">
            <v>0</v>
          </cell>
        </row>
        <row r="27">
          <cell r="A27">
            <v>0</v>
          </cell>
          <cell r="B27" t="str">
            <v>Na Rì</v>
          </cell>
          <cell r="C27" t="str">
            <v>nr</v>
          </cell>
          <cell r="D27" t="str">
            <v>Cấp 4</v>
          </cell>
          <cell r="E27">
            <v>599</v>
          </cell>
          <cell r="F27">
            <v>45391</v>
          </cell>
          <cell r="G27" t="str">
            <v>01</v>
          </cell>
          <cell r="H27">
            <v>9622</v>
          </cell>
          <cell r="I27">
            <v>2</v>
          </cell>
          <cell r="J27">
            <v>2999066</v>
          </cell>
          <cell r="K27">
            <v>560</v>
          </cell>
          <cell r="L27">
            <v>432</v>
          </cell>
          <cell r="M27" t="str">
            <v>00470</v>
          </cell>
          <cell r="N27">
            <v>2317</v>
          </cell>
          <cell r="O27" t="str">
            <v>00</v>
          </cell>
          <cell r="P27">
            <v>100</v>
          </cell>
          <cell r="Q27">
            <v>215491169</v>
          </cell>
          <cell r="R27">
            <v>8400193169</v>
          </cell>
          <cell r="S27" t="str">
            <v>Nguồn 100+200+204</v>
          </cell>
          <cell r="T27">
            <v>0</v>
          </cell>
        </row>
        <row r="28">
          <cell r="A28" t="str">
            <v>*</v>
          </cell>
          <cell r="B28" t="str">
            <v>Kinh phí sự nghiệp thực hiện CTMTQG phát triển kinh tế - xã hội vùng đồng bào dân tộc thiểu số và miền núi</v>
          </cell>
          <cell r="C28">
            <v>0</v>
          </cell>
          <cell r="D28">
            <v>0</v>
          </cell>
          <cell r="E28">
            <v>0</v>
          </cell>
          <cell r="F28">
            <v>0</v>
          </cell>
          <cell r="G28">
            <v>0</v>
          </cell>
          <cell r="H28">
            <v>0</v>
          </cell>
          <cell r="I28">
            <v>0</v>
          </cell>
          <cell r="J28">
            <v>0</v>
          </cell>
          <cell r="K28">
            <v>0</v>
          </cell>
          <cell r="L28">
            <v>0</v>
          </cell>
          <cell r="M28">
            <v>0</v>
          </cell>
          <cell r="N28">
            <v>0</v>
          </cell>
          <cell r="O28">
            <v>0</v>
          </cell>
          <cell r="P28">
            <v>0</v>
          </cell>
          <cell r="Q28">
            <v>15106826000</v>
          </cell>
          <cell r="R28">
            <v>0</v>
          </cell>
          <cell r="S28">
            <v>0</v>
          </cell>
          <cell r="T28">
            <v>0</v>
          </cell>
        </row>
        <row r="29">
          <cell r="A29">
            <v>0</v>
          </cell>
          <cell r="B29" t="str">
            <v>Huyện (Ngân sách TW)</v>
          </cell>
          <cell r="C29">
            <v>0</v>
          </cell>
          <cell r="D29" t="str">
            <v>Cấp 0</v>
          </cell>
          <cell r="E29">
            <v>599</v>
          </cell>
          <cell r="F29">
            <v>45391</v>
          </cell>
          <cell r="G29" t="str">
            <v>01</v>
          </cell>
          <cell r="H29">
            <v>9229</v>
          </cell>
          <cell r="I29">
            <v>2</v>
          </cell>
          <cell r="J29">
            <v>2997906</v>
          </cell>
          <cell r="K29">
            <v>999</v>
          </cell>
          <cell r="L29" t="str">
            <v>432</v>
          </cell>
          <cell r="M29" t="str">
            <v>00510</v>
          </cell>
          <cell r="N29">
            <v>2311</v>
          </cell>
          <cell r="O29">
            <v>99</v>
          </cell>
          <cell r="P29">
            <v>100</v>
          </cell>
          <cell r="Q29">
            <v>12940943000</v>
          </cell>
          <cell r="R29">
            <v>16049434169</v>
          </cell>
          <cell r="S29">
            <v>0</v>
          </cell>
          <cell r="T29">
            <v>0</v>
          </cell>
        </row>
        <row r="30">
          <cell r="A30">
            <v>0</v>
          </cell>
          <cell r="B30" t="str">
            <v>Thành phố Bắc Kạn</v>
          </cell>
          <cell r="C30" t="str">
            <v>tp</v>
          </cell>
          <cell r="D30" t="str">
            <v>Cấp 4</v>
          </cell>
          <cell r="E30">
            <v>599</v>
          </cell>
          <cell r="F30">
            <v>45391</v>
          </cell>
          <cell r="G30" t="str">
            <v>01</v>
          </cell>
          <cell r="H30">
            <v>9622</v>
          </cell>
          <cell r="I30">
            <v>2</v>
          </cell>
          <cell r="J30">
            <v>2999058</v>
          </cell>
          <cell r="K30">
            <v>560</v>
          </cell>
          <cell r="L30">
            <v>432</v>
          </cell>
          <cell r="M30" t="str">
            <v>00510</v>
          </cell>
          <cell r="N30">
            <v>2311</v>
          </cell>
          <cell r="O30" t="str">
            <v>00</v>
          </cell>
          <cell r="P30">
            <v>100</v>
          </cell>
          <cell r="Q30">
            <v>29756000</v>
          </cell>
          <cell r="R30">
            <v>302356000</v>
          </cell>
          <cell r="S30" t="str">
            <v>Nguồn 100</v>
          </cell>
          <cell r="T30">
            <v>0</v>
          </cell>
        </row>
        <row r="31">
          <cell r="A31">
            <v>0</v>
          </cell>
          <cell r="B31" t="str">
            <v>Pác Nặm</v>
          </cell>
          <cell r="C31" t="str">
            <v>pn</v>
          </cell>
          <cell r="D31" t="str">
            <v>Cấp 4</v>
          </cell>
          <cell r="E31">
            <v>599</v>
          </cell>
          <cell r="F31">
            <v>45391</v>
          </cell>
          <cell r="G31" t="str">
            <v>01</v>
          </cell>
          <cell r="H31">
            <v>9622</v>
          </cell>
          <cell r="I31">
            <v>2</v>
          </cell>
          <cell r="J31">
            <v>2999060</v>
          </cell>
          <cell r="K31">
            <v>560</v>
          </cell>
          <cell r="L31">
            <v>432</v>
          </cell>
          <cell r="M31" t="str">
            <v>00510</v>
          </cell>
          <cell r="N31">
            <v>2318</v>
          </cell>
          <cell r="O31" t="str">
            <v>00</v>
          </cell>
          <cell r="P31">
            <v>100</v>
          </cell>
          <cell r="Q31">
            <v>1697659000</v>
          </cell>
          <cell r="R31">
            <v>2199259000</v>
          </cell>
          <cell r="S31" t="str">
            <v>Nguồn 100</v>
          </cell>
          <cell r="T31">
            <v>0</v>
          </cell>
        </row>
        <row r="32">
          <cell r="A32">
            <v>0</v>
          </cell>
          <cell r="B32" t="str">
            <v>Ba Bể</v>
          </cell>
          <cell r="C32" t="str">
            <v>bb</v>
          </cell>
          <cell r="D32" t="str">
            <v>Cấp 4</v>
          </cell>
          <cell r="E32">
            <v>599</v>
          </cell>
          <cell r="F32">
            <v>45391</v>
          </cell>
          <cell r="G32" t="str">
            <v>01</v>
          </cell>
          <cell r="H32">
            <v>9622</v>
          </cell>
          <cell r="I32">
            <v>2</v>
          </cell>
          <cell r="J32">
            <v>2999061</v>
          </cell>
          <cell r="K32">
            <v>560</v>
          </cell>
          <cell r="L32">
            <v>432</v>
          </cell>
          <cell r="M32" t="str">
            <v>00510</v>
          </cell>
          <cell r="N32">
            <v>2313</v>
          </cell>
          <cell r="O32" t="str">
            <v>00</v>
          </cell>
          <cell r="P32">
            <v>100</v>
          </cell>
          <cell r="Q32">
            <v>2111116000</v>
          </cell>
          <cell r="R32">
            <v>2315316000</v>
          </cell>
          <cell r="S32" t="str">
            <v>Nguồn 100</v>
          </cell>
          <cell r="T32">
            <v>0</v>
          </cell>
        </row>
        <row r="33">
          <cell r="A33">
            <v>0</v>
          </cell>
          <cell r="B33" t="str">
            <v>Ngân Sơn</v>
          </cell>
          <cell r="C33" t="str">
            <v>ns</v>
          </cell>
          <cell r="D33" t="str">
            <v>Cấp 4</v>
          </cell>
          <cell r="E33">
            <v>599</v>
          </cell>
          <cell r="F33">
            <v>45391</v>
          </cell>
          <cell r="G33" t="str">
            <v>01</v>
          </cell>
          <cell r="H33">
            <v>9622</v>
          </cell>
          <cell r="I33">
            <v>2</v>
          </cell>
          <cell r="J33">
            <v>2999062</v>
          </cell>
          <cell r="K33">
            <v>560</v>
          </cell>
          <cell r="L33">
            <v>432</v>
          </cell>
          <cell r="M33" t="str">
            <v>00510</v>
          </cell>
          <cell r="N33">
            <v>2312</v>
          </cell>
          <cell r="O33" t="str">
            <v>00</v>
          </cell>
          <cell r="P33">
            <v>100</v>
          </cell>
          <cell r="Q33">
            <v>1564363000</v>
          </cell>
          <cell r="R33">
            <v>1810563000</v>
          </cell>
          <cell r="S33" t="str">
            <v>Nguồn 100</v>
          </cell>
          <cell r="T33">
            <v>0</v>
          </cell>
        </row>
        <row r="34">
          <cell r="A34">
            <v>0</v>
          </cell>
          <cell r="B34" t="str">
            <v>Bạch Thông</v>
          </cell>
          <cell r="C34" t="str">
            <v>bt</v>
          </cell>
          <cell r="D34" t="str">
            <v>Cấp 4</v>
          </cell>
          <cell r="E34">
            <v>599</v>
          </cell>
          <cell r="F34">
            <v>45391</v>
          </cell>
          <cell r="G34" t="str">
            <v>01</v>
          </cell>
          <cell r="H34">
            <v>9622</v>
          </cell>
          <cell r="I34">
            <v>2</v>
          </cell>
          <cell r="J34">
            <v>2999063</v>
          </cell>
          <cell r="K34">
            <v>560</v>
          </cell>
          <cell r="L34">
            <v>432</v>
          </cell>
          <cell r="M34" t="str">
            <v>00510</v>
          </cell>
          <cell r="N34">
            <v>2315</v>
          </cell>
          <cell r="O34" t="str">
            <v>00</v>
          </cell>
          <cell r="P34">
            <v>100</v>
          </cell>
          <cell r="Q34">
            <v>1691991000</v>
          </cell>
          <cell r="R34">
            <v>1841791000</v>
          </cell>
          <cell r="S34" t="str">
            <v>Nguồn 100</v>
          </cell>
          <cell r="T34">
            <v>0</v>
          </cell>
        </row>
        <row r="35">
          <cell r="A35">
            <v>0</v>
          </cell>
          <cell r="B35" t="str">
            <v>Chợ Đồn</v>
          </cell>
          <cell r="C35" t="str">
            <v>cđ</v>
          </cell>
          <cell r="D35" t="str">
            <v>Cấp 4</v>
          </cell>
          <cell r="E35">
            <v>599</v>
          </cell>
          <cell r="F35">
            <v>45391</v>
          </cell>
          <cell r="G35" t="str">
            <v>01</v>
          </cell>
          <cell r="H35">
            <v>9622</v>
          </cell>
          <cell r="I35">
            <v>2</v>
          </cell>
          <cell r="J35">
            <v>2999064</v>
          </cell>
          <cell r="K35">
            <v>560</v>
          </cell>
          <cell r="L35">
            <v>432</v>
          </cell>
          <cell r="M35" t="str">
            <v>00510</v>
          </cell>
          <cell r="N35">
            <v>2316</v>
          </cell>
          <cell r="O35" t="str">
            <v>00</v>
          </cell>
          <cell r="P35">
            <v>100</v>
          </cell>
          <cell r="Q35">
            <v>1770695000</v>
          </cell>
          <cell r="R35">
            <v>2344895000</v>
          </cell>
          <cell r="S35" t="str">
            <v>Nguồn 100</v>
          </cell>
          <cell r="T35">
            <v>0</v>
          </cell>
        </row>
        <row r="36">
          <cell r="A36">
            <v>0</v>
          </cell>
          <cell r="B36" t="str">
            <v>Chợ Mới</v>
          </cell>
          <cell r="C36" t="str">
            <v>cm</v>
          </cell>
          <cell r="D36" t="str">
            <v>Cấp 4</v>
          </cell>
          <cell r="E36">
            <v>599</v>
          </cell>
          <cell r="F36">
            <v>45391</v>
          </cell>
          <cell r="G36" t="str">
            <v>01</v>
          </cell>
          <cell r="H36">
            <v>9622</v>
          </cell>
          <cell r="I36">
            <v>2</v>
          </cell>
          <cell r="J36">
            <v>2999065</v>
          </cell>
          <cell r="K36">
            <v>560</v>
          </cell>
          <cell r="L36">
            <v>432</v>
          </cell>
          <cell r="M36" t="str">
            <v>00510</v>
          </cell>
          <cell r="N36">
            <v>2314</v>
          </cell>
          <cell r="O36" t="str">
            <v>00</v>
          </cell>
          <cell r="P36">
            <v>100</v>
          </cell>
          <cell r="Q36">
            <v>1624742000</v>
          </cell>
          <cell r="R36">
            <v>2203142000</v>
          </cell>
          <cell r="S36" t="str">
            <v>Nguồn 100</v>
          </cell>
          <cell r="T36">
            <v>0</v>
          </cell>
        </row>
        <row r="37">
          <cell r="A37">
            <v>0</v>
          </cell>
          <cell r="B37" t="str">
            <v>Na Rì</v>
          </cell>
          <cell r="C37" t="str">
            <v>nr</v>
          </cell>
          <cell r="D37" t="str">
            <v>Cấp 4</v>
          </cell>
          <cell r="E37">
            <v>599</v>
          </cell>
          <cell r="F37">
            <v>45391</v>
          </cell>
          <cell r="G37" t="str">
            <v>01</v>
          </cell>
          <cell r="H37">
            <v>9622</v>
          </cell>
          <cell r="I37">
            <v>2</v>
          </cell>
          <cell r="J37">
            <v>2999066</v>
          </cell>
          <cell r="K37">
            <v>560</v>
          </cell>
          <cell r="L37">
            <v>432</v>
          </cell>
          <cell r="M37" t="str">
            <v>00510</v>
          </cell>
          <cell r="N37">
            <v>2317</v>
          </cell>
          <cell r="O37" t="str">
            <v>00</v>
          </cell>
          <cell r="P37">
            <v>100</v>
          </cell>
          <cell r="Q37">
            <v>2450621000</v>
          </cell>
          <cell r="R37">
            <v>3032112169</v>
          </cell>
          <cell r="S37" t="str">
            <v>Nguồn 100</v>
          </cell>
          <cell r="T37">
            <v>0</v>
          </cell>
        </row>
        <row r="38">
          <cell r="A38">
            <v>0</v>
          </cell>
          <cell r="B38" t="str">
            <v>Huyện (Ngân sách ĐP)</v>
          </cell>
          <cell r="C38">
            <v>0</v>
          </cell>
          <cell r="D38" t="str">
            <v>Cấp 0</v>
          </cell>
          <cell r="E38">
            <v>599</v>
          </cell>
          <cell r="F38">
            <v>45391</v>
          </cell>
          <cell r="G38" t="str">
            <v>01</v>
          </cell>
          <cell r="H38">
            <v>9229</v>
          </cell>
          <cell r="I38">
            <v>2</v>
          </cell>
          <cell r="J38">
            <v>2997906</v>
          </cell>
          <cell r="K38">
            <v>999</v>
          </cell>
          <cell r="L38" t="str">
            <v>432</v>
          </cell>
          <cell r="M38" t="str">
            <v>00510</v>
          </cell>
          <cell r="N38">
            <v>2311</v>
          </cell>
          <cell r="O38">
            <v>99</v>
          </cell>
          <cell r="P38">
            <v>200</v>
          </cell>
          <cell r="Q38">
            <v>2165883000</v>
          </cell>
          <cell r="R38">
            <v>27874972000</v>
          </cell>
          <cell r="S38">
            <v>0</v>
          </cell>
          <cell r="T38">
            <v>0</v>
          </cell>
        </row>
        <row r="39">
          <cell r="A39">
            <v>0</v>
          </cell>
          <cell r="B39" t="str">
            <v>Thành phố Bắc Kạn</v>
          </cell>
          <cell r="C39" t="str">
            <v>tp</v>
          </cell>
          <cell r="D39" t="str">
            <v>Cấp 4</v>
          </cell>
          <cell r="E39">
            <v>599</v>
          </cell>
          <cell r="F39">
            <v>45391</v>
          </cell>
          <cell r="G39" t="str">
            <v>01</v>
          </cell>
          <cell r="H39">
            <v>9622</v>
          </cell>
          <cell r="I39">
            <v>2</v>
          </cell>
          <cell r="J39">
            <v>2999058</v>
          </cell>
          <cell r="K39">
            <v>560</v>
          </cell>
          <cell r="L39">
            <v>432</v>
          </cell>
          <cell r="M39" t="str">
            <v>00510</v>
          </cell>
          <cell r="N39">
            <v>2311</v>
          </cell>
          <cell r="O39" t="str">
            <v>00</v>
          </cell>
          <cell r="P39">
            <v>200</v>
          </cell>
          <cell r="Q39">
            <v>4980000</v>
          </cell>
          <cell r="R39">
            <v>2764730000</v>
          </cell>
          <cell r="S39" t="str">
            <v>Nguồn 200</v>
          </cell>
          <cell r="T39">
            <v>0</v>
          </cell>
        </row>
        <row r="40">
          <cell r="A40">
            <v>0</v>
          </cell>
          <cell r="B40" t="str">
            <v>Pác Nặm</v>
          </cell>
          <cell r="C40" t="str">
            <v>pn</v>
          </cell>
          <cell r="D40" t="str">
            <v>Cấp 4</v>
          </cell>
          <cell r="E40">
            <v>599</v>
          </cell>
          <cell r="F40">
            <v>45391</v>
          </cell>
          <cell r="G40" t="str">
            <v>01</v>
          </cell>
          <cell r="H40">
            <v>9622</v>
          </cell>
          <cell r="I40">
            <v>2</v>
          </cell>
          <cell r="J40">
            <v>2999060</v>
          </cell>
          <cell r="K40">
            <v>560</v>
          </cell>
          <cell r="L40">
            <v>432</v>
          </cell>
          <cell r="M40" t="str">
            <v>00510</v>
          </cell>
          <cell r="N40">
            <v>2318</v>
          </cell>
          <cell r="O40" t="str">
            <v>00</v>
          </cell>
          <cell r="P40">
            <v>200</v>
          </cell>
          <cell r="Q40">
            <v>284132000</v>
          </cell>
          <cell r="R40">
            <v>2320132000</v>
          </cell>
          <cell r="S40" t="str">
            <v>Nguồn 200</v>
          </cell>
          <cell r="T40">
            <v>0</v>
          </cell>
        </row>
        <row r="41">
          <cell r="A41">
            <v>0</v>
          </cell>
          <cell r="B41" t="str">
            <v>Ba Bể</v>
          </cell>
          <cell r="C41" t="str">
            <v>bb</v>
          </cell>
          <cell r="D41" t="str">
            <v>Cấp 4</v>
          </cell>
          <cell r="E41">
            <v>599</v>
          </cell>
          <cell r="F41">
            <v>45391</v>
          </cell>
          <cell r="G41" t="str">
            <v>01</v>
          </cell>
          <cell r="H41">
            <v>9622</v>
          </cell>
          <cell r="I41">
            <v>2</v>
          </cell>
          <cell r="J41">
            <v>2999061</v>
          </cell>
          <cell r="K41">
            <v>560</v>
          </cell>
          <cell r="L41">
            <v>432</v>
          </cell>
          <cell r="M41" t="str">
            <v>00510</v>
          </cell>
          <cell r="N41">
            <v>2313</v>
          </cell>
          <cell r="O41" t="str">
            <v>00</v>
          </cell>
          <cell r="P41">
            <v>200</v>
          </cell>
          <cell r="Q41">
            <v>353331000</v>
          </cell>
          <cell r="R41">
            <v>3694331000</v>
          </cell>
          <cell r="S41" t="str">
            <v>Nguồn 200</v>
          </cell>
          <cell r="T41">
            <v>0</v>
          </cell>
        </row>
        <row r="42">
          <cell r="A42">
            <v>0</v>
          </cell>
          <cell r="B42" t="str">
            <v>Ngân Sơn</v>
          </cell>
          <cell r="C42" t="str">
            <v>ns</v>
          </cell>
          <cell r="D42" t="str">
            <v>Cấp 4</v>
          </cell>
          <cell r="E42">
            <v>599</v>
          </cell>
          <cell r="F42">
            <v>45391</v>
          </cell>
          <cell r="G42" t="str">
            <v>01</v>
          </cell>
          <cell r="H42">
            <v>9622</v>
          </cell>
          <cell r="I42">
            <v>2</v>
          </cell>
          <cell r="J42">
            <v>2999062</v>
          </cell>
          <cell r="K42">
            <v>560</v>
          </cell>
          <cell r="L42">
            <v>432</v>
          </cell>
          <cell r="M42" t="str">
            <v>00510</v>
          </cell>
          <cell r="N42">
            <v>2312</v>
          </cell>
          <cell r="O42" t="str">
            <v>00</v>
          </cell>
          <cell r="P42">
            <v>200</v>
          </cell>
          <cell r="Q42">
            <v>261822000</v>
          </cell>
          <cell r="R42">
            <v>2991478000</v>
          </cell>
          <cell r="S42" t="str">
            <v>Nguồn 200</v>
          </cell>
          <cell r="T42">
            <v>0</v>
          </cell>
        </row>
        <row r="43">
          <cell r="A43">
            <v>0</v>
          </cell>
          <cell r="B43" t="str">
            <v>Bạch Thông</v>
          </cell>
          <cell r="C43" t="str">
            <v>bt</v>
          </cell>
          <cell r="D43" t="str">
            <v>Cấp 4</v>
          </cell>
          <cell r="E43">
            <v>599</v>
          </cell>
          <cell r="F43">
            <v>45391</v>
          </cell>
          <cell r="G43" t="str">
            <v>01</v>
          </cell>
          <cell r="H43">
            <v>9622</v>
          </cell>
          <cell r="I43">
            <v>2</v>
          </cell>
          <cell r="J43">
            <v>2999063</v>
          </cell>
          <cell r="K43">
            <v>560</v>
          </cell>
          <cell r="L43">
            <v>432</v>
          </cell>
          <cell r="M43" t="str">
            <v>00510</v>
          </cell>
          <cell r="N43">
            <v>2315</v>
          </cell>
          <cell r="O43" t="str">
            <v>00</v>
          </cell>
          <cell r="P43">
            <v>200</v>
          </cell>
          <cell r="Q43">
            <v>283183000</v>
          </cell>
          <cell r="R43">
            <v>2381539000</v>
          </cell>
          <cell r="S43" t="str">
            <v>Nguồn 200</v>
          </cell>
          <cell r="T43">
            <v>0</v>
          </cell>
        </row>
        <row r="44">
          <cell r="A44">
            <v>0</v>
          </cell>
          <cell r="B44" t="str">
            <v>Chợ Đồn</v>
          </cell>
          <cell r="C44" t="str">
            <v>cđ</v>
          </cell>
          <cell r="D44" t="str">
            <v>Cấp 4</v>
          </cell>
          <cell r="E44">
            <v>599</v>
          </cell>
          <cell r="F44">
            <v>45391</v>
          </cell>
          <cell r="G44" t="str">
            <v>01</v>
          </cell>
          <cell r="H44">
            <v>9622</v>
          </cell>
          <cell r="I44">
            <v>2</v>
          </cell>
          <cell r="J44">
            <v>2999064</v>
          </cell>
          <cell r="K44">
            <v>560</v>
          </cell>
          <cell r="L44">
            <v>432</v>
          </cell>
          <cell r="M44" t="str">
            <v>00510</v>
          </cell>
          <cell r="N44">
            <v>2316</v>
          </cell>
          <cell r="O44" t="str">
            <v>00</v>
          </cell>
          <cell r="P44">
            <v>200</v>
          </cell>
          <cell r="Q44">
            <v>296355000</v>
          </cell>
          <cell r="R44">
            <v>4689479000</v>
          </cell>
          <cell r="S44" t="str">
            <v>Nguồn 200</v>
          </cell>
          <cell r="T44">
            <v>0</v>
          </cell>
        </row>
        <row r="45">
          <cell r="A45">
            <v>0</v>
          </cell>
          <cell r="B45" t="str">
            <v>Chợ Mới</v>
          </cell>
          <cell r="C45" t="str">
            <v>cm</v>
          </cell>
          <cell r="D45" t="str">
            <v>Cấp 4</v>
          </cell>
          <cell r="E45">
            <v>599</v>
          </cell>
          <cell r="F45">
            <v>45391</v>
          </cell>
          <cell r="G45" t="str">
            <v>01</v>
          </cell>
          <cell r="H45">
            <v>9622</v>
          </cell>
          <cell r="I45">
            <v>2</v>
          </cell>
          <cell r="J45">
            <v>2999065</v>
          </cell>
          <cell r="K45">
            <v>560</v>
          </cell>
          <cell r="L45">
            <v>432</v>
          </cell>
          <cell r="M45" t="str">
            <v>00510</v>
          </cell>
          <cell r="N45">
            <v>2314</v>
          </cell>
          <cell r="O45" t="str">
            <v>00</v>
          </cell>
          <cell r="P45">
            <v>200</v>
          </cell>
          <cell r="Q45">
            <v>271928000</v>
          </cell>
          <cell r="R45">
            <v>3665202000</v>
          </cell>
          <cell r="S45" t="str">
            <v>Nguồn 200</v>
          </cell>
          <cell r="T45">
            <v>0</v>
          </cell>
        </row>
        <row r="46">
          <cell r="A46">
            <v>0</v>
          </cell>
          <cell r="B46" t="str">
            <v>Na Rì</v>
          </cell>
          <cell r="C46" t="str">
            <v>nr</v>
          </cell>
          <cell r="D46" t="str">
            <v>Cấp 4</v>
          </cell>
          <cell r="E46">
            <v>599</v>
          </cell>
          <cell r="F46">
            <v>45391</v>
          </cell>
          <cell r="G46" t="str">
            <v>01</v>
          </cell>
          <cell r="H46">
            <v>9622</v>
          </cell>
          <cell r="I46">
            <v>2</v>
          </cell>
          <cell r="J46">
            <v>2999066</v>
          </cell>
          <cell r="K46">
            <v>560</v>
          </cell>
          <cell r="L46">
            <v>432</v>
          </cell>
          <cell r="M46" t="str">
            <v>00510</v>
          </cell>
          <cell r="N46">
            <v>2317</v>
          </cell>
          <cell r="O46" t="str">
            <v>00</v>
          </cell>
          <cell r="P46">
            <v>200</v>
          </cell>
          <cell r="Q46">
            <v>410152000</v>
          </cell>
          <cell r="R46">
            <v>5368081000</v>
          </cell>
          <cell r="S46" t="str">
            <v>Nguồn 200</v>
          </cell>
          <cell r="T46">
            <v>0</v>
          </cell>
        </row>
        <row r="47">
          <cell r="A47" t="str">
            <v>*</v>
          </cell>
          <cell r="B47" t="str">
            <v>Kinh phí sự nghiệp thực hiện CTMTQG xây dựng nông thôn mới</v>
          </cell>
          <cell r="C47">
            <v>0</v>
          </cell>
          <cell r="D47">
            <v>0</v>
          </cell>
          <cell r="E47">
            <v>0</v>
          </cell>
          <cell r="F47">
            <v>0</v>
          </cell>
          <cell r="G47">
            <v>0</v>
          </cell>
          <cell r="H47">
            <v>0</v>
          </cell>
          <cell r="I47">
            <v>0</v>
          </cell>
          <cell r="J47">
            <v>0</v>
          </cell>
          <cell r="K47">
            <v>0</v>
          </cell>
          <cell r="L47">
            <v>0</v>
          </cell>
          <cell r="M47">
            <v>0</v>
          </cell>
          <cell r="N47">
            <v>0</v>
          </cell>
          <cell r="O47">
            <v>0</v>
          </cell>
          <cell r="P47">
            <v>0</v>
          </cell>
          <cell r="Q47">
            <v>2198000000</v>
          </cell>
          <cell r="R47">
            <v>0</v>
          </cell>
          <cell r="S47">
            <v>0</v>
          </cell>
          <cell r="T47">
            <v>0</v>
          </cell>
        </row>
        <row r="48">
          <cell r="A48">
            <v>0</v>
          </cell>
          <cell r="B48" t="str">
            <v>Tỉnh</v>
          </cell>
          <cell r="C48">
            <v>0</v>
          </cell>
          <cell r="D48" t="str">
            <v>Cấp 0</v>
          </cell>
          <cell r="E48">
            <v>599</v>
          </cell>
          <cell r="F48">
            <v>45391</v>
          </cell>
          <cell r="G48" t="str">
            <v>01</v>
          </cell>
          <cell r="H48">
            <v>9213</v>
          </cell>
          <cell r="I48">
            <v>2</v>
          </cell>
          <cell r="J48">
            <v>2997906</v>
          </cell>
          <cell r="K48">
            <v>999</v>
          </cell>
          <cell r="L48" t="str">
            <v>340</v>
          </cell>
          <cell r="M48" t="str">
            <v>00490</v>
          </cell>
          <cell r="N48">
            <v>2311</v>
          </cell>
          <cell r="O48">
            <v>29</v>
          </cell>
          <cell r="P48">
            <v>100</v>
          </cell>
          <cell r="Q48">
            <v>573000000</v>
          </cell>
          <cell r="R48">
            <v>0</v>
          </cell>
          <cell r="S48">
            <v>0</v>
          </cell>
          <cell r="T48" t="str">
            <v>Sở NN, Sở Nội vụ</v>
          </cell>
        </row>
        <row r="49">
          <cell r="A49">
            <v>0</v>
          </cell>
          <cell r="B49" t="str">
            <v>Huyện (Ngân sách TW)</v>
          </cell>
          <cell r="C49">
            <v>0</v>
          </cell>
          <cell r="D49" t="str">
            <v>Cấp 0</v>
          </cell>
          <cell r="E49">
            <v>599</v>
          </cell>
          <cell r="F49">
            <v>45391</v>
          </cell>
          <cell r="G49" t="str">
            <v>01</v>
          </cell>
          <cell r="H49">
            <v>9229</v>
          </cell>
          <cell r="I49">
            <v>2</v>
          </cell>
          <cell r="J49">
            <v>2997906</v>
          </cell>
          <cell r="K49">
            <v>999</v>
          </cell>
          <cell r="L49" t="str">
            <v>432</v>
          </cell>
          <cell r="M49" t="str">
            <v>00490</v>
          </cell>
          <cell r="N49">
            <v>2311</v>
          </cell>
          <cell r="O49">
            <v>99</v>
          </cell>
          <cell r="P49">
            <v>200</v>
          </cell>
          <cell r="Q49">
            <v>1604000000</v>
          </cell>
          <cell r="R49">
            <v>0</v>
          </cell>
          <cell r="S49">
            <v>0</v>
          </cell>
          <cell r="T49">
            <v>0</v>
          </cell>
        </row>
        <row r="50">
          <cell r="A50">
            <v>0</v>
          </cell>
          <cell r="B50" t="str">
            <v>Chợ Đồn</v>
          </cell>
          <cell r="C50" t="str">
            <v>cđ</v>
          </cell>
          <cell r="D50" t="str">
            <v>Cấp 4</v>
          </cell>
          <cell r="E50">
            <v>599</v>
          </cell>
          <cell r="F50">
            <v>45391</v>
          </cell>
          <cell r="G50" t="str">
            <v>01</v>
          </cell>
          <cell r="H50">
            <v>9622</v>
          </cell>
          <cell r="I50">
            <v>2</v>
          </cell>
          <cell r="J50">
            <v>2999064</v>
          </cell>
          <cell r="K50">
            <v>560</v>
          </cell>
          <cell r="L50">
            <v>432</v>
          </cell>
          <cell r="M50" t="str">
            <v>00490</v>
          </cell>
          <cell r="N50">
            <v>2316</v>
          </cell>
          <cell r="O50" t="str">
            <v>00</v>
          </cell>
          <cell r="P50">
            <v>100</v>
          </cell>
          <cell r="Q50">
            <v>405000000</v>
          </cell>
          <cell r="R50">
            <v>0</v>
          </cell>
          <cell r="S50">
            <v>0</v>
          </cell>
          <cell r="T50">
            <v>0</v>
          </cell>
        </row>
        <row r="51">
          <cell r="A51">
            <v>0</v>
          </cell>
          <cell r="B51" t="str">
            <v>Chợ Mới</v>
          </cell>
          <cell r="C51" t="str">
            <v>cm</v>
          </cell>
          <cell r="D51" t="str">
            <v>Cấp 4</v>
          </cell>
          <cell r="E51">
            <v>599</v>
          </cell>
          <cell r="F51">
            <v>45391</v>
          </cell>
          <cell r="G51" t="str">
            <v>01</v>
          </cell>
          <cell r="H51">
            <v>9622</v>
          </cell>
          <cell r="I51">
            <v>2</v>
          </cell>
          <cell r="J51">
            <v>2999065</v>
          </cell>
          <cell r="K51">
            <v>560</v>
          </cell>
          <cell r="L51">
            <v>432</v>
          </cell>
          <cell r="M51" t="str">
            <v>00490</v>
          </cell>
          <cell r="N51">
            <v>2314</v>
          </cell>
          <cell r="O51" t="str">
            <v>00</v>
          </cell>
          <cell r="P51">
            <v>100</v>
          </cell>
          <cell r="Q51">
            <v>415000000</v>
          </cell>
          <cell r="R51">
            <v>0</v>
          </cell>
          <cell r="S51">
            <v>0</v>
          </cell>
          <cell r="T51">
            <v>0</v>
          </cell>
        </row>
        <row r="52">
          <cell r="A52">
            <v>0</v>
          </cell>
          <cell r="B52" t="str">
            <v>Na Rì</v>
          </cell>
          <cell r="C52" t="str">
            <v>nr</v>
          </cell>
          <cell r="D52" t="str">
            <v>Cấp 4</v>
          </cell>
          <cell r="E52">
            <v>599</v>
          </cell>
          <cell r="F52">
            <v>45391</v>
          </cell>
          <cell r="G52" t="str">
            <v>01</v>
          </cell>
          <cell r="H52">
            <v>9622</v>
          </cell>
          <cell r="I52">
            <v>2</v>
          </cell>
          <cell r="J52">
            <v>2999066</v>
          </cell>
          <cell r="K52">
            <v>560</v>
          </cell>
          <cell r="L52">
            <v>432</v>
          </cell>
          <cell r="M52" t="str">
            <v>00490</v>
          </cell>
          <cell r="N52">
            <v>2317</v>
          </cell>
          <cell r="O52" t="str">
            <v>00</v>
          </cell>
          <cell r="P52">
            <v>100</v>
          </cell>
          <cell r="Q52">
            <v>366000000</v>
          </cell>
          <cell r="R52">
            <v>0</v>
          </cell>
          <cell r="S52">
            <v>0</v>
          </cell>
          <cell r="T52">
            <v>0</v>
          </cell>
        </row>
        <row r="53">
          <cell r="A53">
            <v>0</v>
          </cell>
          <cell r="B53" t="str">
            <v>Pác Nặm</v>
          </cell>
          <cell r="C53" t="str">
            <v>pn</v>
          </cell>
          <cell r="D53" t="str">
            <v>Cấp 4</v>
          </cell>
          <cell r="E53">
            <v>599</v>
          </cell>
          <cell r="F53">
            <v>45391</v>
          </cell>
          <cell r="G53" t="str">
            <v>01</v>
          </cell>
          <cell r="H53">
            <v>9622</v>
          </cell>
          <cell r="I53">
            <v>2</v>
          </cell>
          <cell r="J53">
            <v>2999060</v>
          </cell>
          <cell r="K53">
            <v>560</v>
          </cell>
          <cell r="L53">
            <v>432</v>
          </cell>
          <cell r="M53" t="str">
            <v>00490</v>
          </cell>
          <cell r="N53">
            <v>2318</v>
          </cell>
          <cell r="O53" t="str">
            <v>00</v>
          </cell>
          <cell r="P53">
            <v>100</v>
          </cell>
          <cell r="Q53">
            <v>240000000</v>
          </cell>
          <cell r="R53">
            <v>0</v>
          </cell>
          <cell r="S53">
            <v>0</v>
          </cell>
          <cell r="T53">
            <v>0</v>
          </cell>
        </row>
        <row r="54">
          <cell r="A54">
            <v>0</v>
          </cell>
          <cell r="B54" t="str">
            <v>Thành phố Bắc Kạn</v>
          </cell>
          <cell r="C54" t="str">
            <v>tp</v>
          </cell>
          <cell r="D54" t="str">
            <v>Cấp 4</v>
          </cell>
          <cell r="E54">
            <v>599</v>
          </cell>
          <cell r="F54">
            <v>45391</v>
          </cell>
          <cell r="G54" t="str">
            <v>01</v>
          </cell>
          <cell r="H54">
            <v>9622</v>
          </cell>
          <cell r="I54">
            <v>2</v>
          </cell>
          <cell r="J54">
            <v>2999058</v>
          </cell>
          <cell r="K54">
            <v>560</v>
          </cell>
          <cell r="L54">
            <v>432</v>
          </cell>
          <cell r="M54" t="str">
            <v>00490</v>
          </cell>
          <cell r="N54">
            <v>2311</v>
          </cell>
          <cell r="O54" t="str">
            <v>00</v>
          </cell>
          <cell r="P54">
            <v>100</v>
          </cell>
          <cell r="Q54">
            <v>178000000</v>
          </cell>
          <cell r="R54">
            <v>0</v>
          </cell>
          <cell r="S54">
            <v>0</v>
          </cell>
          <cell r="T54">
            <v>0</v>
          </cell>
        </row>
        <row r="55">
          <cell r="A55">
            <v>0</v>
          </cell>
          <cell r="B55" t="str">
            <v>Huyện (Ngân sách ĐP)</v>
          </cell>
          <cell r="C55">
            <v>0</v>
          </cell>
          <cell r="D55" t="str">
            <v>Cấp 0</v>
          </cell>
          <cell r="E55">
            <v>599</v>
          </cell>
          <cell r="F55">
            <v>45391</v>
          </cell>
          <cell r="G55" t="str">
            <v>01</v>
          </cell>
          <cell r="H55">
            <v>9229</v>
          </cell>
          <cell r="I55">
            <v>2</v>
          </cell>
          <cell r="J55">
            <v>2997906</v>
          </cell>
          <cell r="K55">
            <v>999</v>
          </cell>
          <cell r="L55" t="str">
            <v>432</v>
          </cell>
          <cell r="M55" t="str">
            <v>00490</v>
          </cell>
          <cell r="N55">
            <v>2311</v>
          </cell>
          <cell r="O55">
            <v>99</v>
          </cell>
          <cell r="P55">
            <v>200</v>
          </cell>
          <cell r="Q55">
            <v>21000000</v>
          </cell>
          <cell r="R55">
            <v>0</v>
          </cell>
          <cell r="S55">
            <v>0</v>
          </cell>
          <cell r="T55">
            <v>0</v>
          </cell>
        </row>
        <row r="56">
          <cell r="A56">
            <v>0</v>
          </cell>
          <cell r="B56" t="str">
            <v>Chợ Đồn</v>
          </cell>
          <cell r="C56" t="str">
            <v>cđ</v>
          </cell>
          <cell r="D56" t="str">
            <v>Cấp 4</v>
          </cell>
          <cell r="E56">
            <v>599</v>
          </cell>
          <cell r="F56">
            <v>45391</v>
          </cell>
          <cell r="G56" t="str">
            <v>01</v>
          </cell>
          <cell r="H56">
            <v>9622</v>
          </cell>
          <cell r="I56">
            <v>2</v>
          </cell>
          <cell r="J56">
            <v>2999064</v>
          </cell>
          <cell r="K56">
            <v>560</v>
          </cell>
          <cell r="L56">
            <v>432</v>
          </cell>
          <cell r="M56" t="str">
            <v>00490</v>
          </cell>
          <cell r="N56">
            <v>2316</v>
          </cell>
          <cell r="O56" t="str">
            <v>00</v>
          </cell>
          <cell r="P56">
            <v>200</v>
          </cell>
          <cell r="Q56">
            <v>5000000</v>
          </cell>
          <cell r="R56">
            <v>0</v>
          </cell>
          <cell r="S56">
            <v>0</v>
          </cell>
          <cell r="T56">
            <v>0</v>
          </cell>
        </row>
        <row r="57">
          <cell r="A57">
            <v>0</v>
          </cell>
          <cell r="B57" t="str">
            <v>Na Rì</v>
          </cell>
          <cell r="C57" t="str">
            <v>nr</v>
          </cell>
          <cell r="D57" t="str">
            <v>Cấp 4</v>
          </cell>
          <cell r="E57">
            <v>599</v>
          </cell>
          <cell r="F57">
            <v>45391</v>
          </cell>
          <cell r="G57" t="str">
            <v>01</v>
          </cell>
          <cell r="H57">
            <v>9622</v>
          </cell>
          <cell r="I57">
            <v>2</v>
          </cell>
          <cell r="J57">
            <v>2999066</v>
          </cell>
          <cell r="K57">
            <v>560</v>
          </cell>
          <cell r="L57">
            <v>432</v>
          </cell>
          <cell r="M57" t="str">
            <v>00490</v>
          </cell>
          <cell r="N57">
            <v>2317</v>
          </cell>
          <cell r="O57" t="str">
            <v>00</v>
          </cell>
          <cell r="P57">
            <v>200</v>
          </cell>
          <cell r="Q57">
            <v>14000000</v>
          </cell>
          <cell r="R57">
            <v>0</v>
          </cell>
          <cell r="S57">
            <v>0</v>
          </cell>
          <cell r="T57">
            <v>0</v>
          </cell>
        </row>
        <row r="58">
          <cell r="A58">
            <v>0</v>
          </cell>
          <cell r="B58" t="str">
            <v>Thành phố Bắc Kạn</v>
          </cell>
          <cell r="C58" t="str">
            <v>tp</v>
          </cell>
          <cell r="D58" t="str">
            <v>Cấp 4</v>
          </cell>
          <cell r="E58">
            <v>599</v>
          </cell>
          <cell r="F58">
            <v>45391</v>
          </cell>
          <cell r="G58" t="str">
            <v>01</v>
          </cell>
          <cell r="H58">
            <v>9622</v>
          </cell>
          <cell r="I58">
            <v>2</v>
          </cell>
          <cell r="J58">
            <v>2999058</v>
          </cell>
          <cell r="K58">
            <v>560</v>
          </cell>
          <cell r="L58">
            <v>432</v>
          </cell>
          <cell r="M58" t="str">
            <v>00490</v>
          </cell>
          <cell r="N58">
            <v>2311</v>
          </cell>
          <cell r="O58" t="str">
            <v>00</v>
          </cell>
          <cell r="P58">
            <v>200</v>
          </cell>
          <cell r="Q58">
            <v>2000000</v>
          </cell>
          <cell r="R58">
            <v>0</v>
          </cell>
          <cell r="S58">
            <v>0</v>
          </cell>
          <cell r="T58">
            <v>0</v>
          </cell>
        </row>
        <row r="59">
          <cell r="A59" t="str">
            <v>IV</v>
          </cell>
          <cell r="B59" t="str">
            <v>Kinh phí thực hiện các mô hình hỗ trợ cho người trồng lúa để áp dụng giống mới, tiến bộ kỹ thuật, công nghệ mới trong sản xuất lúa; hỗ trợ liên kết sản xuất, tiêu thụ sản phẩm (nguồn tăng thu tiết kiệm chi)</v>
          </cell>
          <cell r="C59">
            <v>0</v>
          </cell>
          <cell r="D59">
            <v>0</v>
          </cell>
          <cell r="E59">
            <v>0</v>
          </cell>
          <cell r="F59">
            <v>0</v>
          </cell>
          <cell r="G59">
            <v>0</v>
          </cell>
          <cell r="H59">
            <v>0</v>
          </cell>
          <cell r="I59">
            <v>0</v>
          </cell>
          <cell r="J59">
            <v>0</v>
          </cell>
          <cell r="K59">
            <v>0</v>
          </cell>
          <cell r="L59">
            <v>0</v>
          </cell>
          <cell r="M59">
            <v>0</v>
          </cell>
          <cell r="N59">
            <v>0</v>
          </cell>
          <cell r="O59">
            <v>0</v>
          </cell>
          <cell r="P59">
            <v>0</v>
          </cell>
          <cell r="Q59">
            <v>3114300000</v>
          </cell>
          <cell r="R59">
            <v>0</v>
          </cell>
          <cell r="S59">
            <v>0</v>
          </cell>
          <cell r="T59">
            <v>0</v>
          </cell>
        </row>
        <row r="60">
          <cell r="A60">
            <v>0</v>
          </cell>
          <cell r="B60" t="str">
            <v>Tỉnh</v>
          </cell>
          <cell r="C60">
            <v>0</v>
          </cell>
          <cell r="D60" t="str">
            <v>Cấp 0</v>
          </cell>
          <cell r="E60">
            <v>599</v>
          </cell>
          <cell r="F60">
            <v>45391</v>
          </cell>
          <cell r="G60" t="str">
            <v>01</v>
          </cell>
          <cell r="H60">
            <v>9213</v>
          </cell>
          <cell r="I60">
            <v>2</v>
          </cell>
          <cell r="J60">
            <v>2997906</v>
          </cell>
          <cell r="K60">
            <v>999</v>
          </cell>
          <cell r="L60" t="str">
            <v>280</v>
          </cell>
          <cell r="M60" t="str">
            <v>99999</v>
          </cell>
          <cell r="N60">
            <v>2311</v>
          </cell>
          <cell r="O60">
            <v>29</v>
          </cell>
          <cell r="P60">
            <v>204</v>
          </cell>
          <cell r="Q60">
            <v>775000000</v>
          </cell>
          <cell r="R60">
            <v>0</v>
          </cell>
          <cell r="S60" t="str">
            <v>ID Đ/c: 294467417</v>
          </cell>
          <cell r="T60" t="str">
            <v>Sở NN và Sở KHCN</v>
          </cell>
        </row>
        <row r="61">
          <cell r="A61">
            <v>0</v>
          </cell>
          <cell r="B61" t="str">
            <v>Huyện</v>
          </cell>
          <cell r="C61">
            <v>0</v>
          </cell>
          <cell r="D61" t="str">
            <v>Cấp 0</v>
          </cell>
          <cell r="E61">
            <v>599</v>
          </cell>
          <cell r="F61">
            <v>45391</v>
          </cell>
          <cell r="G61" t="str">
            <v>01</v>
          </cell>
          <cell r="H61">
            <v>9229</v>
          </cell>
          <cell r="I61">
            <v>2</v>
          </cell>
          <cell r="J61">
            <v>2997906</v>
          </cell>
          <cell r="K61">
            <v>999</v>
          </cell>
          <cell r="L61">
            <v>432</v>
          </cell>
          <cell r="M61" t="str">
            <v>99999</v>
          </cell>
          <cell r="N61">
            <v>2311</v>
          </cell>
          <cell r="O61">
            <v>99</v>
          </cell>
          <cell r="P61">
            <v>204</v>
          </cell>
          <cell r="Q61">
            <v>2339300000</v>
          </cell>
          <cell r="R61">
            <v>2339300000</v>
          </cell>
          <cell r="S61">
            <v>0</v>
          </cell>
          <cell r="T61">
            <v>0</v>
          </cell>
        </row>
        <row r="62">
          <cell r="A62">
            <v>1</v>
          </cell>
          <cell r="B62" t="str">
            <v>Pác Nặm</v>
          </cell>
          <cell r="C62" t="str">
            <v>pn</v>
          </cell>
          <cell r="D62" t="str">
            <v>Cấp 4</v>
          </cell>
          <cell r="E62">
            <v>599</v>
          </cell>
          <cell r="F62">
            <v>45391</v>
          </cell>
          <cell r="G62" t="str">
            <v>01</v>
          </cell>
          <cell r="H62">
            <v>9622</v>
          </cell>
          <cell r="I62">
            <v>2</v>
          </cell>
          <cell r="J62">
            <v>2999060</v>
          </cell>
          <cell r="K62">
            <v>560</v>
          </cell>
          <cell r="L62">
            <v>432</v>
          </cell>
          <cell r="M62" t="str">
            <v>00000</v>
          </cell>
          <cell r="N62">
            <v>2318</v>
          </cell>
          <cell r="O62" t="str">
            <v>00</v>
          </cell>
          <cell r="P62">
            <v>204</v>
          </cell>
          <cell r="Q62">
            <v>1014200000</v>
          </cell>
          <cell r="R62">
            <v>1014200000</v>
          </cell>
          <cell r="S62" t="str">
            <v>Nguồn 204</v>
          </cell>
          <cell r="T62">
            <v>0</v>
          </cell>
        </row>
        <row r="63">
          <cell r="A63">
            <v>2</v>
          </cell>
          <cell r="B63" t="str">
            <v>Chợ Đồn</v>
          </cell>
          <cell r="C63" t="str">
            <v>cđ</v>
          </cell>
          <cell r="D63" t="str">
            <v>Cấp 4</v>
          </cell>
          <cell r="E63">
            <v>599</v>
          </cell>
          <cell r="F63">
            <v>45391</v>
          </cell>
          <cell r="G63" t="str">
            <v>01</v>
          </cell>
          <cell r="H63">
            <v>9622</v>
          </cell>
          <cell r="I63">
            <v>2</v>
          </cell>
          <cell r="J63">
            <v>2999064</v>
          </cell>
          <cell r="K63">
            <v>560</v>
          </cell>
          <cell r="L63">
            <v>432</v>
          </cell>
          <cell r="M63" t="str">
            <v>00000</v>
          </cell>
          <cell r="N63">
            <v>2316</v>
          </cell>
          <cell r="O63" t="str">
            <v>00</v>
          </cell>
          <cell r="P63">
            <v>204</v>
          </cell>
          <cell r="Q63">
            <v>587900000</v>
          </cell>
          <cell r="R63">
            <v>587900000</v>
          </cell>
          <cell r="S63" t="str">
            <v>Nguồn 204</v>
          </cell>
          <cell r="T63">
            <v>0</v>
          </cell>
        </row>
        <row r="64">
          <cell r="A64">
            <v>3</v>
          </cell>
          <cell r="B64" t="str">
            <v>Ngân Sơn</v>
          </cell>
          <cell r="C64" t="str">
            <v>ns</v>
          </cell>
          <cell r="D64" t="str">
            <v>Cấp 4</v>
          </cell>
          <cell r="E64">
            <v>599</v>
          </cell>
          <cell r="F64">
            <v>45391</v>
          </cell>
          <cell r="G64" t="str">
            <v>01</v>
          </cell>
          <cell r="H64">
            <v>9622</v>
          </cell>
          <cell r="I64">
            <v>2</v>
          </cell>
          <cell r="J64">
            <v>2999062</v>
          </cell>
          <cell r="K64">
            <v>560</v>
          </cell>
          <cell r="L64">
            <v>432</v>
          </cell>
          <cell r="M64" t="str">
            <v>00000</v>
          </cell>
          <cell r="N64">
            <v>2312</v>
          </cell>
          <cell r="O64" t="str">
            <v>00</v>
          </cell>
          <cell r="P64">
            <v>204</v>
          </cell>
          <cell r="Q64">
            <v>737200000</v>
          </cell>
          <cell r="R64">
            <v>737200000</v>
          </cell>
          <cell r="S64" t="str">
            <v>Nguồn 204</v>
          </cell>
          <cell r="T64">
            <v>0</v>
          </cell>
        </row>
        <row r="65">
          <cell r="A65" t="str">
            <v>V</v>
          </cell>
          <cell r="B65" t="str">
            <v>Nguồn cải cách tiền lương năm 2024</v>
          </cell>
          <cell r="C65">
            <v>0</v>
          </cell>
          <cell r="D65">
            <v>0</v>
          </cell>
          <cell r="E65">
            <v>0</v>
          </cell>
          <cell r="F65">
            <v>0</v>
          </cell>
          <cell r="G65">
            <v>0</v>
          </cell>
          <cell r="H65">
            <v>0</v>
          </cell>
          <cell r="I65">
            <v>0</v>
          </cell>
          <cell r="J65">
            <v>0</v>
          </cell>
          <cell r="K65">
            <v>0</v>
          </cell>
          <cell r="L65">
            <v>0</v>
          </cell>
          <cell r="M65">
            <v>0</v>
          </cell>
          <cell r="N65">
            <v>0</v>
          </cell>
          <cell r="O65">
            <v>0</v>
          </cell>
          <cell r="P65">
            <v>0</v>
          </cell>
          <cell r="Q65">
            <v>26252269000</v>
          </cell>
          <cell r="R65">
            <v>0</v>
          </cell>
          <cell r="S65">
            <v>0</v>
          </cell>
          <cell r="T65">
            <v>25688089000</v>
          </cell>
        </row>
        <row r="66">
          <cell r="A66" t="str">
            <v>*</v>
          </cell>
          <cell r="B66" t="str">
            <v>Kinh phí thực hiện Nghị quyết của HĐND tỉnh quy định chức danh, mức phụ cấp, việc kiêm nhiệm người hoạt động không chuyên trách ở cấp xã, ở thôn, tổ trên địa bàn tỉnh Bắc Kạn</v>
          </cell>
          <cell r="C66">
            <v>0</v>
          </cell>
          <cell r="D66">
            <v>0</v>
          </cell>
          <cell r="E66">
            <v>0</v>
          </cell>
          <cell r="F66">
            <v>0</v>
          </cell>
          <cell r="G66">
            <v>0</v>
          </cell>
          <cell r="H66">
            <v>0</v>
          </cell>
          <cell r="I66">
            <v>0</v>
          </cell>
          <cell r="J66">
            <v>0</v>
          </cell>
          <cell r="K66">
            <v>0</v>
          </cell>
          <cell r="L66">
            <v>0</v>
          </cell>
          <cell r="M66">
            <v>0</v>
          </cell>
          <cell r="N66">
            <v>0</v>
          </cell>
          <cell r="O66">
            <v>0</v>
          </cell>
          <cell r="P66">
            <v>0</v>
          </cell>
          <cell r="Q66">
            <v>23873000000</v>
          </cell>
          <cell r="R66">
            <v>0</v>
          </cell>
          <cell r="S66">
            <v>0</v>
          </cell>
          <cell r="T66">
            <v>0</v>
          </cell>
        </row>
        <row r="67">
          <cell r="A67">
            <v>0</v>
          </cell>
          <cell r="B67" t="str">
            <v>Huyện</v>
          </cell>
          <cell r="C67">
            <v>0</v>
          </cell>
          <cell r="D67" t="str">
            <v>Cấp 0</v>
          </cell>
          <cell r="E67">
            <v>599</v>
          </cell>
          <cell r="F67">
            <v>45391</v>
          </cell>
          <cell r="G67" t="str">
            <v>01</v>
          </cell>
          <cell r="H67">
            <v>9229</v>
          </cell>
          <cell r="I67">
            <v>2</v>
          </cell>
          <cell r="J67">
            <v>2997906</v>
          </cell>
          <cell r="K67">
            <v>999</v>
          </cell>
          <cell r="L67">
            <v>432</v>
          </cell>
          <cell r="M67" t="str">
            <v>99999</v>
          </cell>
          <cell r="N67">
            <v>2311</v>
          </cell>
          <cell r="O67">
            <v>99</v>
          </cell>
          <cell r="P67">
            <v>200</v>
          </cell>
          <cell r="Q67">
            <v>23873000000</v>
          </cell>
          <cell r="R67">
            <v>25688089000</v>
          </cell>
          <cell r="S67">
            <v>0</v>
          </cell>
          <cell r="T67">
            <v>0</v>
          </cell>
        </row>
        <row r="68">
          <cell r="A68">
            <v>0</v>
          </cell>
          <cell r="B68" t="str">
            <v>Thành phố Bắc Kạn</v>
          </cell>
          <cell r="C68" t="str">
            <v>tp</v>
          </cell>
          <cell r="D68" t="str">
            <v>Cấp 4</v>
          </cell>
          <cell r="E68">
            <v>599</v>
          </cell>
          <cell r="F68">
            <v>45391</v>
          </cell>
          <cell r="G68" t="str">
            <v>01</v>
          </cell>
          <cell r="H68">
            <v>9622</v>
          </cell>
          <cell r="I68">
            <v>2</v>
          </cell>
          <cell r="J68">
            <v>2999058</v>
          </cell>
          <cell r="K68">
            <v>560</v>
          </cell>
          <cell r="L68">
            <v>432</v>
          </cell>
          <cell r="M68" t="str">
            <v>00000</v>
          </cell>
          <cell r="N68">
            <v>2311</v>
          </cell>
          <cell r="O68" t="str">
            <v>00</v>
          </cell>
          <cell r="P68">
            <v>200</v>
          </cell>
          <cell r="Q68">
            <v>2207000000</v>
          </cell>
          <cell r="R68">
            <v>2757750000</v>
          </cell>
          <cell r="S68">
            <v>0</v>
          </cell>
          <cell r="T68">
            <v>0</v>
          </cell>
        </row>
        <row r="69">
          <cell r="A69">
            <v>0</v>
          </cell>
          <cell r="B69" t="str">
            <v>Bạch Thông</v>
          </cell>
          <cell r="C69" t="str">
            <v>bt</v>
          </cell>
          <cell r="D69" t="str">
            <v>Cấp 4</v>
          </cell>
          <cell r="E69">
            <v>599</v>
          </cell>
          <cell r="F69">
            <v>45391</v>
          </cell>
          <cell r="G69" t="str">
            <v>01</v>
          </cell>
          <cell r="H69">
            <v>9622</v>
          </cell>
          <cell r="I69">
            <v>2</v>
          </cell>
          <cell r="J69">
            <v>2999063</v>
          </cell>
          <cell r="K69">
            <v>560</v>
          </cell>
          <cell r="L69">
            <v>432</v>
          </cell>
          <cell r="M69" t="str">
            <v>00000</v>
          </cell>
          <cell r="N69">
            <v>2315</v>
          </cell>
          <cell r="O69" t="str">
            <v>00</v>
          </cell>
          <cell r="P69">
            <v>200</v>
          </cell>
          <cell r="Q69">
            <v>2043000000</v>
          </cell>
          <cell r="R69">
            <v>2098356000</v>
          </cell>
          <cell r="S69">
            <v>0</v>
          </cell>
          <cell r="T69">
            <v>0</v>
          </cell>
        </row>
        <row r="70">
          <cell r="A70">
            <v>0</v>
          </cell>
          <cell r="B70" t="str">
            <v>Chợ Mới</v>
          </cell>
          <cell r="C70" t="str">
            <v>cm</v>
          </cell>
          <cell r="D70" t="str">
            <v>Cấp 4</v>
          </cell>
          <cell r="E70">
            <v>599</v>
          </cell>
          <cell r="F70">
            <v>45391</v>
          </cell>
          <cell r="G70" t="str">
            <v>01</v>
          </cell>
          <cell r="H70">
            <v>9622</v>
          </cell>
          <cell r="I70">
            <v>2</v>
          </cell>
          <cell r="J70">
            <v>2999065</v>
          </cell>
          <cell r="K70">
            <v>560</v>
          </cell>
          <cell r="L70">
            <v>432</v>
          </cell>
          <cell r="M70" t="str">
            <v>00000</v>
          </cell>
          <cell r="N70">
            <v>2314</v>
          </cell>
          <cell r="O70" t="str">
            <v>00</v>
          </cell>
          <cell r="P70">
            <v>200</v>
          </cell>
          <cell r="Q70">
            <v>3066000000</v>
          </cell>
          <cell r="R70">
            <v>3393274000</v>
          </cell>
          <cell r="S70">
            <v>0</v>
          </cell>
          <cell r="T70">
            <v>0</v>
          </cell>
        </row>
        <row r="71">
          <cell r="A71">
            <v>0</v>
          </cell>
          <cell r="B71" t="str">
            <v>Chợ Đồn</v>
          </cell>
          <cell r="C71" t="str">
            <v>cđ</v>
          </cell>
          <cell r="D71" t="str">
            <v>Cấp 4</v>
          </cell>
          <cell r="E71">
            <v>599</v>
          </cell>
          <cell r="F71">
            <v>45391</v>
          </cell>
          <cell r="G71" t="str">
            <v>01</v>
          </cell>
          <cell r="H71">
            <v>9622</v>
          </cell>
          <cell r="I71">
            <v>2</v>
          </cell>
          <cell r="J71">
            <v>2999064</v>
          </cell>
          <cell r="K71">
            <v>560</v>
          </cell>
          <cell r="L71">
            <v>432</v>
          </cell>
          <cell r="M71" t="str">
            <v>00000</v>
          </cell>
          <cell r="N71">
            <v>2316</v>
          </cell>
          <cell r="O71" t="str">
            <v>00</v>
          </cell>
          <cell r="P71">
            <v>200</v>
          </cell>
          <cell r="Q71">
            <v>4228000000</v>
          </cell>
          <cell r="R71">
            <v>4388124000</v>
          </cell>
          <cell r="S71">
            <v>0</v>
          </cell>
          <cell r="T71">
            <v>0</v>
          </cell>
        </row>
        <row r="72">
          <cell r="A72">
            <v>0</v>
          </cell>
          <cell r="B72" t="str">
            <v>Na Rì</v>
          </cell>
          <cell r="C72" t="str">
            <v>nr</v>
          </cell>
          <cell r="D72" t="str">
            <v>Cấp 4</v>
          </cell>
          <cell r="E72">
            <v>599</v>
          </cell>
          <cell r="F72">
            <v>45391</v>
          </cell>
          <cell r="G72" t="str">
            <v>01</v>
          </cell>
          <cell r="H72">
            <v>9622</v>
          </cell>
          <cell r="I72">
            <v>2</v>
          </cell>
          <cell r="J72">
            <v>2999066</v>
          </cell>
          <cell r="K72">
            <v>560</v>
          </cell>
          <cell r="L72">
            <v>432</v>
          </cell>
          <cell r="M72" t="str">
            <v>00000</v>
          </cell>
          <cell r="N72">
            <v>2317</v>
          </cell>
          <cell r="O72" t="str">
            <v>00</v>
          </cell>
          <cell r="P72">
            <v>200</v>
          </cell>
          <cell r="Q72">
            <v>4474000000</v>
          </cell>
          <cell r="R72">
            <v>4943929000</v>
          </cell>
          <cell r="S72">
            <v>0</v>
          </cell>
          <cell r="T72">
            <v>0</v>
          </cell>
        </row>
        <row r="73">
          <cell r="A73">
            <v>0</v>
          </cell>
          <cell r="B73" t="str">
            <v>Ngân Sơn</v>
          </cell>
          <cell r="C73" t="str">
            <v>ns</v>
          </cell>
          <cell r="D73" t="str">
            <v>Cấp 4</v>
          </cell>
          <cell r="E73">
            <v>599</v>
          </cell>
          <cell r="F73">
            <v>45391</v>
          </cell>
          <cell r="G73" t="str">
            <v>01</v>
          </cell>
          <cell r="H73">
            <v>9622</v>
          </cell>
          <cell r="I73">
            <v>2</v>
          </cell>
          <cell r="J73">
            <v>2999062</v>
          </cell>
          <cell r="K73">
            <v>560</v>
          </cell>
          <cell r="L73">
            <v>432</v>
          </cell>
          <cell r="M73" t="str">
            <v>00000</v>
          </cell>
          <cell r="N73">
            <v>2312</v>
          </cell>
          <cell r="O73" t="str">
            <v>00</v>
          </cell>
          <cell r="P73">
            <v>200</v>
          </cell>
          <cell r="Q73">
            <v>2478000000</v>
          </cell>
          <cell r="R73">
            <v>2729656000</v>
          </cell>
          <cell r="S73">
            <v>0</v>
          </cell>
          <cell r="T73">
            <v>0</v>
          </cell>
        </row>
        <row r="74">
          <cell r="A74">
            <v>0</v>
          </cell>
          <cell r="B74" t="str">
            <v>Ba Bể</v>
          </cell>
          <cell r="C74" t="str">
            <v>bb</v>
          </cell>
          <cell r="D74" t="str">
            <v>Cấp 4</v>
          </cell>
          <cell r="E74">
            <v>599</v>
          </cell>
          <cell r="F74">
            <v>45391</v>
          </cell>
          <cell r="G74" t="str">
            <v>01</v>
          </cell>
          <cell r="H74">
            <v>9622</v>
          </cell>
          <cell r="I74">
            <v>2</v>
          </cell>
          <cell r="J74">
            <v>2999061</v>
          </cell>
          <cell r="K74">
            <v>560</v>
          </cell>
          <cell r="L74">
            <v>432</v>
          </cell>
          <cell r="M74" t="str">
            <v>00000</v>
          </cell>
          <cell r="N74">
            <v>2313</v>
          </cell>
          <cell r="O74" t="str">
            <v>00</v>
          </cell>
          <cell r="P74">
            <v>200</v>
          </cell>
          <cell r="Q74">
            <v>3341000000</v>
          </cell>
          <cell r="R74">
            <v>3341000000</v>
          </cell>
          <cell r="S74">
            <v>0</v>
          </cell>
          <cell r="T74">
            <v>0</v>
          </cell>
        </row>
        <row r="75">
          <cell r="A75">
            <v>0</v>
          </cell>
          <cell r="B75" t="str">
            <v>Pác Nặm</v>
          </cell>
          <cell r="C75" t="str">
            <v>pn</v>
          </cell>
          <cell r="D75" t="str">
            <v>Cấp 4</v>
          </cell>
          <cell r="E75">
            <v>599</v>
          </cell>
          <cell r="F75">
            <v>45391</v>
          </cell>
          <cell r="G75" t="str">
            <v>01</v>
          </cell>
          <cell r="H75">
            <v>9622</v>
          </cell>
          <cell r="I75">
            <v>2</v>
          </cell>
          <cell r="J75">
            <v>2999060</v>
          </cell>
          <cell r="K75">
            <v>560</v>
          </cell>
          <cell r="L75">
            <v>432</v>
          </cell>
          <cell r="M75" t="str">
            <v>00000</v>
          </cell>
          <cell r="N75">
            <v>2318</v>
          </cell>
          <cell r="O75" t="str">
            <v>00</v>
          </cell>
          <cell r="P75">
            <v>200</v>
          </cell>
          <cell r="Q75">
            <v>2036000000</v>
          </cell>
          <cell r="R75">
            <v>2036000000</v>
          </cell>
          <cell r="S75">
            <v>0</v>
          </cell>
          <cell r="T75">
            <v>0</v>
          </cell>
        </row>
        <row r="76">
          <cell r="A76" t="str">
            <v>*</v>
          </cell>
          <cell r="B76" t="str">
            <v>Kinh phí thực hiện chế độ, chính sách đối với cán bộ không đủ điều kiện về tuổi tái cử, tái bổ nhiệm giữ các chức vụ, chức danh theo nhiệm kỳ trong cơ quan của Đảng Cộng sản Việt Nam, Nhà nước, tổ chức chính trị - xã hội (NĐ số 26/2015/NĐ-CP)</v>
          </cell>
          <cell r="C76">
            <v>0</v>
          </cell>
          <cell r="D76">
            <v>0</v>
          </cell>
          <cell r="E76">
            <v>0</v>
          </cell>
          <cell r="F76">
            <v>0</v>
          </cell>
          <cell r="G76">
            <v>0</v>
          </cell>
          <cell r="H76">
            <v>0</v>
          </cell>
          <cell r="I76">
            <v>0</v>
          </cell>
          <cell r="J76">
            <v>0</v>
          </cell>
          <cell r="K76">
            <v>0</v>
          </cell>
          <cell r="L76">
            <v>0</v>
          </cell>
          <cell r="M76">
            <v>0</v>
          </cell>
          <cell r="N76">
            <v>0</v>
          </cell>
          <cell r="O76">
            <v>0</v>
          </cell>
          <cell r="P76">
            <v>0</v>
          </cell>
          <cell r="Q76">
            <v>471998000</v>
          </cell>
          <cell r="R76">
            <v>0</v>
          </cell>
          <cell r="S76">
            <v>0</v>
          </cell>
          <cell r="T76">
            <v>0</v>
          </cell>
        </row>
        <row r="77">
          <cell r="A77">
            <v>0</v>
          </cell>
          <cell r="B77" t="str">
            <v>Huyện</v>
          </cell>
          <cell r="C77">
            <v>0</v>
          </cell>
          <cell r="D77" t="str">
            <v>Cấp 0</v>
          </cell>
          <cell r="E77">
            <v>599</v>
          </cell>
          <cell r="F77">
            <v>45391</v>
          </cell>
          <cell r="G77" t="str">
            <v>01</v>
          </cell>
          <cell r="H77">
            <v>9229</v>
          </cell>
          <cell r="I77">
            <v>2</v>
          </cell>
          <cell r="J77">
            <v>2997906</v>
          </cell>
          <cell r="K77">
            <v>999</v>
          </cell>
          <cell r="L77">
            <v>432</v>
          </cell>
          <cell r="M77" t="str">
            <v>99999</v>
          </cell>
          <cell r="N77">
            <v>2311</v>
          </cell>
          <cell r="O77">
            <v>99</v>
          </cell>
          <cell r="P77">
            <v>200</v>
          </cell>
          <cell r="Q77">
            <v>471998000</v>
          </cell>
          <cell r="R77">
            <v>0</v>
          </cell>
          <cell r="S77">
            <v>0</v>
          </cell>
          <cell r="T77">
            <v>0</v>
          </cell>
        </row>
        <row r="78">
          <cell r="A78">
            <v>0</v>
          </cell>
          <cell r="B78" t="str">
            <v>Thành phố Bắc Kạn</v>
          </cell>
          <cell r="C78" t="str">
            <v>tp</v>
          </cell>
          <cell r="D78" t="str">
            <v>Cấp 4</v>
          </cell>
          <cell r="E78">
            <v>599</v>
          </cell>
          <cell r="F78">
            <v>45391</v>
          </cell>
          <cell r="G78" t="str">
            <v>01</v>
          </cell>
          <cell r="H78">
            <v>9622</v>
          </cell>
          <cell r="I78">
            <v>2</v>
          </cell>
          <cell r="J78">
            <v>2999058</v>
          </cell>
          <cell r="K78">
            <v>560</v>
          </cell>
          <cell r="L78">
            <v>432</v>
          </cell>
          <cell r="M78" t="str">
            <v>00000</v>
          </cell>
          <cell r="N78">
            <v>2311</v>
          </cell>
          <cell r="O78" t="str">
            <v>00</v>
          </cell>
          <cell r="P78">
            <v>200</v>
          </cell>
          <cell r="Q78">
            <v>416642000</v>
          </cell>
          <cell r="R78">
            <v>0</v>
          </cell>
          <cell r="S78">
            <v>0</v>
          </cell>
          <cell r="T78">
            <v>0</v>
          </cell>
        </row>
        <row r="79">
          <cell r="A79">
            <v>0</v>
          </cell>
          <cell r="B79" t="str">
            <v>Bạch Thông</v>
          </cell>
          <cell r="C79" t="str">
            <v>bt</v>
          </cell>
          <cell r="D79" t="str">
            <v>Cấp 4</v>
          </cell>
          <cell r="E79">
            <v>599</v>
          </cell>
          <cell r="F79">
            <v>45391</v>
          </cell>
          <cell r="G79" t="str">
            <v>01</v>
          </cell>
          <cell r="H79">
            <v>9622</v>
          </cell>
          <cell r="I79">
            <v>2</v>
          </cell>
          <cell r="J79">
            <v>2999063</v>
          </cell>
          <cell r="K79">
            <v>560</v>
          </cell>
          <cell r="L79">
            <v>432</v>
          </cell>
          <cell r="M79" t="str">
            <v>00000</v>
          </cell>
          <cell r="N79">
            <v>2315</v>
          </cell>
          <cell r="O79" t="str">
            <v>00</v>
          </cell>
          <cell r="P79">
            <v>200</v>
          </cell>
          <cell r="Q79">
            <v>55356000</v>
          </cell>
          <cell r="R79">
            <v>0</v>
          </cell>
          <cell r="S79">
            <v>0</v>
          </cell>
          <cell r="T79">
            <v>0</v>
          </cell>
        </row>
        <row r="80">
          <cell r="A80" t="str">
            <v>*</v>
          </cell>
          <cell r="B80" t="str">
            <v>Kinh phí thực hiện tinh giản biên chế theo NĐ số 29/2023/NĐ-CP</v>
          </cell>
          <cell r="C80">
            <v>0</v>
          </cell>
          <cell r="D80">
            <v>0</v>
          </cell>
          <cell r="E80">
            <v>0</v>
          </cell>
          <cell r="F80">
            <v>0</v>
          </cell>
          <cell r="G80">
            <v>0</v>
          </cell>
          <cell r="H80">
            <v>0</v>
          </cell>
          <cell r="I80">
            <v>0</v>
          </cell>
          <cell r="J80">
            <v>0</v>
          </cell>
          <cell r="K80">
            <v>0</v>
          </cell>
          <cell r="L80">
            <v>0</v>
          </cell>
          <cell r="M80">
            <v>0</v>
          </cell>
          <cell r="N80">
            <v>0</v>
          </cell>
          <cell r="O80">
            <v>0</v>
          </cell>
          <cell r="P80">
            <v>0</v>
          </cell>
          <cell r="Q80">
            <v>1907271000</v>
          </cell>
          <cell r="R80">
            <v>0</v>
          </cell>
          <cell r="S80">
            <v>0</v>
          </cell>
          <cell r="T80">
            <v>0</v>
          </cell>
        </row>
        <row r="81">
          <cell r="A81">
            <v>0</v>
          </cell>
          <cell r="B81" t="str">
            <v>Tỉnh</v>
          </cell>
          <cell r="C81">
            <v>0</v>
          </cell>
          <cell r="D81" t="str">
            <v>Cấp 0</v>
          </cell>
          <cell r="E81">
            <v>599</v>
          </cell>
          <cell r="F81">
            <v>45391</v>
          </cell>
          <cell r="G81" t="str">
            <v>01</v>
          </cell>
          <cell r="H81">
            <v>9213</v>
          </cell>
          <cell r="I81">
            <v>2</v>
          </cell>
          <cell r="J81">
            <v>2997906</v>
          </cell>
          <cell r="K81">
            <v>999</v>
          </cell>
          <cell r="L81" t="str">
            <v>280</v>
          </cell>
          <cell r="M81" t="str">
            <v>99999</v>
          </cell>
          <cell r="N81">
            <v>2311</v>
          </cell>
          <cell r="O81">
            <v>29</v>
          </cell>
          <cell r="P81">
            <v>200</v>
          </cell>
          <cell r="Q81">
            <v>564180000</v>
          </cell>
          <cell r="R81">
            <v>0</v>
          </cell>
          <cell r="S81">
            <v>0</v>
          </cell>
          <cell r="T81">
            <v>0</v>
          </cell>
        </row>
        <row r="82">
          <cell r="A82">
            <v>0</v>
          </cell>
          <cell r="B82" t="str">
            <v>Huyện</v>
          </cell>
          <cell r="C82">
            <v>0</v>
          </cell>
          <cell r="D82" t="str">
            <v>Cấp 0</v>
          </cell>
          <cell r="E82">
            <v>599</v>
          </cell>
          <cell r="F82">
            <v>45391</v>
          </cell>
          <cell r="G82" t="str">
            <v>01</v>
          </cell>
          <cell r="H82">
            <v>9229</v>
          </cell>
          <cell r="I82">
            <v>2</v>
          </cell>
          <cell r="J82">
            <v>2997906</v>
          </cell>
          <cell r="K82">
            <v>999</v>
          </cell>
          <cell r="L82" t="str">
            <v>432</v>
          </cell>
          <cell r="M82">
            <v>99999</v>
          </cell>
          <cell r="N82">
            <v>2311</v>
          </cell>
          <cell r="O82">
            <v>99</v>
          </cell>
          <cell r="P82">
            <v>200</v>
          </cell>
          <cell r="Q82">
            <v>1343091000</v>
          </cell>
          <cell r="R82">
            <v>0</v>
          </cell>
          <cell r="S82">
            <v>0</v>
          </cell>
          <cell r="T82">
            <v>0</v>
          </cell>
        </row>
        <row r="83">
          <cell r="A83">
            <v>0</v>
          </cell>
          <cell r="B83" t="str">
            <v>Thành phố Bắc Kạn</v>
          </cell>
          <cell r="C83" t="str">
            <v>tp</v>
          </cell>
          <cell r="D83" t="str">
            <v>Cấp 4</v>
          </cell>
          <cell r="E83">
            <v>599</v>
          </cell>
          <cell r="F83">
            <v>45391</v>
          </cell>
          <cell r="G83" t="str">
            <v>01</v>
          </cell>
          <cell r="H83">
            <v>9622</v>
          </cell>
          <cell r="I83">
            <v>2</v>
          </cell>
          <cell r="J83">
            <v>2999058</v>
          </cell>
          <cell r="K83">
            <v>560</v>
          </cell>
          <cell r="L83">
            <v>432</v>
          </cell>
          <cell r="M83" t="str">
            <v>00000</v>
          </cell>
          <cell r="N83">
            <v>2311</v>
          </cell>
          <cell r="O83" t="str">
            <v>00</v>
          </cell>
          <cell r="P83">
            <v>200</v>
          </cell>
          <cell r="Q83">
            <v>134108000</v>
          </cell>
          <cell r="R83">
            <v>0</v>
          </cell>
          <cell r="S83">
            <v>0</v>
          </cell>
          <cell r="T83">
            <v>0</v>
          </cell>
        </row>
        <row r="84">
          <cell r="A84">
            <v>0</v>
          </cell>
          <cell r="B84" t="str">
            <v>Chợ Đồn</v>
          </cell>
          <cell r="C84" t="str">
            <v>cđ</v>
          </cell>
          <cell r="D84" t="str">
            <v>Cấp 4</v>
          </cell>
          <cell r="E84">
            <v>599</v>
          </cell>
          <cell r="F84">
            <v>45391</v>
          </cell>
          <cell r="G84" t="str">
            <v>01</v>
          </cell>
          <cell r="H84">
            <v>9622</v>
          </cell>
          <cell r="I84">
            <v>2</v>
          </cell>
          <cell r="J84">
            <v>2999064</v>
          </cell>
          <cell r="K84">
            <v>560</v>
          </cell>
          <cell r="L84">
            <v>432</v>
          </cell>
          <cell r="M84" t="str">
            <v>00000</v>
          </cell>
          <cell r="N84">
            <v>2316</v>
          </cell>
          <cell r="O84" t="str">
            <v>00</v>
          </cell>
          <cell r="P84">
            <v>200</v>
          </cell>
          <cell r="Q84">
            <v>160124000</v>
          </cell>
          <cell r="R84">
            <v>0</v>
          </cell>
          <cell r="S84">
            <v>0</v>
          </cell>
          <cell r="T84">
            <v>0</v>
          </cell>
        </row>
        <row r="85">
          <cell r="A85">
            <v>0</v>
          </cell>
          <cell r="B85" t="str">
            <v>Na Rì</v>
          </cell>
          <cell r="C85" t="str">
            <v>nr</v>
          </cell>
          <cell r="D85" t="str">
            <v>Cấp 4</v>
          </cell>
          <cell r="E85">
            <v>599</v>
          </cell>
          <cell r="F85">
            <v>45391</v>
          </cell>
          <cell r="G85" t="str">
            <v>01</v>
          </cell>
          <cell r="H85">
            <v>9622</v>
          </cell>
          <cell r="I85">
            <v>2</v>
          </cell>
          <cell r="J85">
            <v>2999066</v>
          </cell>
          <cell r="K85">
            <v>560</v>
          </cell>
          <cell r="L85">
            <v>432</v>
          </cell>
          <cell r="M85" t="str">
            <v>00000</v>
          </cell>
          <cell r="N85">
            <v>2317</v>
          </cell>
          <cell r="O85" t="str">
            <v>00</v>
          </cell>
          <cell r="P85">
            <v>200</v>
          </cell>
          <cell r="Q85">
            <v>469929000</v>
          </cell>
          <cell r="R85">
            <v>0</v>
          </cell>
          <cell r="S85">
            <v>0</v>
          </cell>
          <cell r="T85">
            <v>0</v>
          </cell>
        </row>
        <row r="86">
          <cell r="A86">
            <v>0</v>
          </cell>
          <cell r="B86" t="str">
            <v>Chợ Mới</v>
          </cell>
          <cell r="C86" t="str">
            <v>cm</v>
          </cell>
          <cell r="D86" t="str">
            <v>Cấp 4</v>
          </cell>
          <cell r="E86">
            <v>599</v>
          </cell>
          <cell r="F86">
            <v>45391</v>
          </cell>
          <cell r="G86" t="str">
            <v>01</v>
          </cell>
          <cell r="H86">
            <v>9622</v>
          </cell>
          <cell r="I86">
            <v>2</v>
          </cell>
          <cell r="J86">
            <v>2999065</v>
          </cell>
          <cell r="K86">
            <v>560</v>
          </cell>
          <cell r="L86">
            <v>432</v>
          </cell>
          <cell r="M86" t="str">
            <v>00000</v>
          </cell>
          <cell r="N86">
            <v>2314</v>
          </cell>
          <cell r="O86" t="str">
            <v>00</v>
          </cell>
          <cell r="P86">
            <v>200</v>
          </cell>
          <cell r="Q86">
            <v>327274000</v>
          </cell>
          <cell r="R86">
            <v>0</v>
          </cell>
          <cell r="S86">
            <v>0</v>
          </cell>
          <cell r="T86">
            <v>0</v>
          </cell>
        </row>
        <row r="87">
          <cell r="A87">
            <v>0</v>
          </cell>
          <cell r="B87" t="str">
            <v>Ngân Sơn</v>
          </cell>
          <cell r="C87" t="str">
            <v>ns</v>
          </cell>
          <cell r="D87" t="str">
            <v>Cấp 4</v>
          </cell>
          <cell r="E87">
            <v>599</v>
          </cell>
          <cell r="F87">
            <v>45391</v>
          </cell>
          <cell r="G87" t="str">
            <v>01</v>
          </cell>
          <cell r="H87">
            <v>9622</v>
          </cell>
          <cell r="I87">
            <v>2</v>
          </cell>
          <cell r="J87">
            <v>2999062</v>
          </cell>
          <cell r="K87">
            <v>560</v>
          </cell>
          <cell r="L87">
            <v>432</v>
          </cell>
          <cell r="M87" t="str">
            <v>00000</v>
          </cell>
          <cell r="N87">
            <v>2312</v>
          </cell>
          <cell r="O87" t="str">
            <v>00</v>
          </cell>
          <cell r="P87">
            <v>200</v>
          </cell>
          <cell r="Q87">
            <v>251656000</v>
          </cell>
          <cell r="R87">
            <v>0</v>
          </cell>
          <cell r="S87">
            <v>0</v>
          </cell>
          <cell r="T87">
            <v>0</v>
          </cell>
        </row>
        <row r="88">
          <cell r="A88" t="str">
            <v>T44</v>
          </cell>
          <cell r="B88" t="str">
            <v>Cấp bổ sung kinh phí để thực hiện chính sách hỗ trợ theo Nghị quyết số 05/2020/NQ-HĐND ngày 05/5/2020 của Hội đồng nhân dân tỉnh đối với cán bộ, công chức cấp xã nghỉ hưu trước tuổi, thôi việc đợt 17, 18 (từ nguồn tăng thu tiết kiệm chi)</v>
          </cell>
          <cell r="C88">
            <v>0</v>
          </cell>
          <cell r="D88">
            <v>0</v>
          </cell>
          <cell r="E88">
            <v>597</v>
          </cell>
          <cell r="F88">
            <v>45391</v>
          </cell>
          <cell r="G88" t="str">
            <v>01</v>
          </cell>
          <cell r="H88">
            <v>9111</v>
          </cell>
          <cell r="I88">
            <v>0</v>
          </cell>
          <cell r="J88">
            <v>0</v>
          </cell>
          <cell r="K88">
            <v>0</v>
          </cell>
          <cell r="L88">
            <v>0</v>
          </cell>
          <cell r="M88">
            <v>0</v>
          </cell>
          <cell r="N88">
            <v>2311</v>
          </cell>
          <cell r="O88">
            <v>0</v>
          </cell>
          <cell r="P88">
            <v>0</v>
          </cell>
          <cell r="Q88">
            <v>0</v>
          </cell>
          <cell r="R88">
            <v>36500000</v>
          </cell>
          <cell r="S88">
            <v>293718801</v>
          </cell>
          <cell r="T88">
            <v>0</v>
          </cell>
        </row>
        <row r="89">
          <cell r="A89">
            <v>0</v>
          </cell>
          <cell r="B89" t="str">
            <v>Huyện</v>
          </cell>
          <cell r="C89">
            <v>0</v>
          </cell>
          <cell r="D89" t="str">
            <v>Cấp 0</v>
          </cell>
          <cell r="E89">
            <v>597</v>
          </cell>
          <cell r="F89">
            <v>45391</v>
          </cell>
          <cell r="G89" t="str">
            <v>01</v>
          </cell>
          <cell r="H89">
            <v>9229</v>
          </cell>
          <cell r="I89">
            <v>2</v>
          </cell>
          <cell r="J89">
            <v>2997906</v>
          </cell>
          <cell r="K89">
            <v>999</v>
          </cell>
          <cell r="L89">
            <v>432</v>
          </cell>
          <cell r="M89">
            <v>99999</v>
          </cell>
          <cell r="N89">
            <v>2311</v>
          </cell>
          <cell r="O89">
            <v>99</v>
          </cell>
          <cell r="P89">
            <v>204</v>
          </cell>
          <cell r="Q89">
            <v>36500000</v>
          </cell>
          <cell r="R89">
            <v>0</v>
          </cell>
          <cell r="S89">
            <v>0</v>
          </cell>
          <cell r="T89">
            <v>0</v>
          </cell>
        </row>
        <row r="90">
          <cell r="A90">
            <v>1</v>
          </cell>
          <cell r="B90" t="str">
            <v>Na Rì</v>
          </cell>
          <cell r="C90" t="str">
            <v>nr</v>
          </cell>
          <cell r="D90" t="str">
            <v>Cấp 4</v>
          </cell>
          <cell r="E90">
            <v>597</v>
          </cell>
          <cell r="F90">
            <v>45391</v>
          </cell>
          <cell r="G90" t="str">
            <v>01</v>
          </cell>
          <cell r="H90">
            <v>9622</v>
          </cell>
          <cell r="I90">
            <v>2</v>
          </cell>
          <cell r="J90">
            <v>2999066</v>
          </cell>
          <cell r="K90">
            <v>560</v>
          </cell>
          <cell r="L90">
            <v>432</v>
          </cell>
          <cell r="M90" t="str">
            <v>00000</v>
          </cell>
          <cell r="N90">
            <v>2317</v>
          </cell>
          <cell r="O90" t="str">
            <v>00</v>
          </cell>
          <cell r="P90">
            <v>204</v>
          </cell>
          <cell r="Q90">
            <v>36500000</v>
          </cell>
          <cell r="R90">
            <v>0</v>
          </cell>
          <cell r="S90">
            <v>0</v>
          </cell>
          <cell r="T90" t="str">
            <v>06A04K2012K1595</v>
          </cell>
        </row>
        <row r="91">
          <cell r="A91" t="str">
            <v>T45</v>
          </cell>
          <cell r="B91" t="str">
            <v>Điều chỉnh kế hoạch đầu tư công năm 2024 nguồn vốn ngân sách địa phương (lần 1)</v>
          </cell>
          <cell r="C91">
            <v>0</v>
          </cell>
          <cell r="D91">
            <v>0</v>
          </cell>
          <cell r="E91">
            <v>593</v>
          </cell>
          <cell r="F91">
            <v>45390</v>
          </cell>
          <cell r="G91" t="str">
            <v>01</v>
          </cell>
          <cell r="H91">
            <v>9111</v>
          </cell>
          <cell r="I91">
            <v>0</v>
          </cell>
          <cell r="J91">
            <v>0</v>
          </cell>
          <cell r="K91">
            <v>0</v>
          </cell>
          <cell r="L91">
            <v>0</v>
          </cell>
          <cell r="M91">
            <v>0</v>
          </cell>
          <cell r="N91">
            <v>2311</v>
          </cell>
          <cell r="O91">
            <v>0</v>
          </cell>
          <cell r="P91">
            <v>0</v>
          </cell>
          <cell r="Q91">
            <v>0</v>
          </cell>
          <cell r="R91">
            <v>81621000000</v>
          </cell>
          <cell r="S91">
            <v>294377735</v>
          </cell>
          <cell r="T91" t="str">
            <v>Tổng tăng 153.578 triệu động, nhập 81.621 triệu đồng, còn 71.957 trđ dự phòng phân bổ sau chưa nhập sau do chưa có chi tiết</v>
          </cell>
        </row>
        <row r="92">
          <cell r="A92">
            <v>0</v>
          </cell>
          <cell r="B92" t="str">
            <v>Tỉnh</v>
          </cell>
          <cell r="C92">
            <v>0</v>
          </cell>
          <cell r="D92" t="str">
            <v>Cấp 0</v>
          </cell>
          <cell r="E92">
            <v>593</v>
          </cell>
          <cell r="F92">
            <v>45390</v>
          </cell>
          <cell r="G92" t="str">
            <v>01</v>
          </cell>
          <cell r="H92">
            <v>9216</v>
          </cell>
          <cell r="I92">
            <v>2</v>
          </cell>
          <cell r="J92">
            <v>2997906</v>
          </cell>
          <cell r="K92">
            <v>999</v>
          </cell>
          <cell r="L92">
            <v>280</v>
          </cell>
          <cell r="M92">
            <v>99999</v>
          </cell>
          <cell r="N92">
            <v>2311</v>
          </cell>
          <cell r="O92">
            <v>42</v>
          </cell>
          <cell r="P92">
            <v>204</v>
          </cell>
          <cell r="Q92">
            <v>15068000000</v>
          </cell>
          <cell r="R92">
            <v>0</v>
          </cell>
          <cell r="S92">
            <v>0</v>
          </cell>
          <cell r="T92">
            <v>0</v>
          </cell>
        </row>
        <row r="93">
          <cell r="A93">
            <v>0</v>
          </cell>
          <cell r="B93" t="str">
            <v>Tỉnh</v>
          </cell>
          <cell r="C93">
            <v>0</v>
          </cell>
          <cell r="D93" t="str">
            <v>Cấp 0</v>
          </cell>
          <cell r="E93">
            <v>593</v>
          </cell>
          <cell r="F93">
            <v>45390</v>
          </cell>
          <cell r="G93" t="str">
            <v>01</v>
          </cell>
          <cell r="H93">
            <v>9216</v>
          </cell>
          <cell r="I93">
            <v>2</v>
          </cell>
          <cell r="J93">
            <v>2997906</v>
          </cell>
          <cell r="K93">
            <v>999</v>
          </cell>
          <cell r="L93">
            <v>160</v>
          </cell>
          <cell r="M93">
            <v>99999</v>
          </cell>
          <cell r="N93">
            <v>2311</v>
          </cell>
          <cell r="O93">
            <v>42</v>
          </cell>
          <cell r="P93">
            <v>204</v>
          </cell>
          <cell r="Q93">
            <v>1500000000</v>
          </cell>
          <cell r="R93">
            <v>0</v>
          </cell>
          <cell r="S93">
            <v>0</v>
          </cell>
          <cell r="T93">
            <v>0</v>
          </cell>
        </row>
        <row r="94">
          <cell r="A94">
            <v>0</v>
          </cell>
          <cell r="B94" t="str">
            <v>Tỉnh</v>
          </cell>
          <cell r="C94">
            <v>0</v>
          </cell>
          <cell r="D94" t="str">
            <v>Cấp 0</v>
          </cell>
          <cell r="E94">
            <v>593</v>
          </cell>
          <cell r="F94">
            <v>45390</v>
          </cell>
          <cell r="G94" t="str">
            <v>01</v>
          </cell>
          <cell r="H94">
            <v>9216</v>
          </cell>
          <cell r="I94">
            <v>2</v>
          </cell>
          <cell r="J94">
            <v>2997906</v>
          </cell>
          <cell r="K94">
            <v>999</v>
          </cell>
          <cell r="L94" t="str">
            <v>070</v>
          </cell>
          <cell r="M94">
            <v>99999</v>
          </cell>
          <cell r="N94">
            <v>2311</v>
          </cell>
          <cell r="O94">
            <v>42</v>
          </cell>
          <cell r="P94">
            <v>204</v>
          </cell>
          <cell r="Q94">
            <v>7203000000</v>
          </cell>
          <cell r="R94">
            <v>0</v>
          </cell>
          <cell r="S94">
            <v>0</v>
          </cell>
          <cell r="T94">
            <v>0</v>
          </cell>
        </row>
        <row r="95">
          <cell r="A95">
            <v>0</v>
          </cell>
          <cell r="B95" t="str">
            <v>Tỉnh</v>
          </cell>
          <cell r="C95">
            <v>0</v>
          </cell>
          <cell r="D95" t="str">
            <v>Cấp 0</v>
          </cell>
          <cell r="E95">
            <v>593</v>
          </cell>
          <cell r="F95">
            <v>45390</v>
          </cell>
          <cell r="G95" t="str">
            <v>01</v>
          </cell>
          <cell r="H95">
            <v>9216</v>
          </cell>
          <cell r="I95">
            <v>2</v>
          </cell>
          <cell r="J95">
            <v>2997906</v>
          </cell>
          <cell r="K95">
            <v>999</v>
          </cell>
          <cell r="L95" t="str">
            <v>040</v>
          </cell>
          <cell r="M95">
            <v>99999</v>
          </cell>
          <cell r="N95">
            <v>2311</v>
          </cell>
          <cell r="O95">
            <v>42</v>
          </cell>
          <cell r="P95">
            <v>204</v>
          </cell>
          <cell r="Q95">
            <v>300000000</v>
          </cell>
          <cell r="R95">
            <v>0</v>
          </cell>
          <cell r="S95">
            <v>0</v>
          </cell>
          <cell r="T95">
            <v>0</v>
          </cell>
        </row>
        <row r="96">
          <cell r="A96">
            <v>0</v>
          </cell>
          <cell r="B96" t="str">
            <v>Tỉnh</v>
          </cell>
          <cell r="C96">
            <v>0</v>
          </cell>
          <cell r="D96" t="str">
            <v>Cấp 0</v>
          </cell>
          <cell r="E96">
            <v>593</v>
          </cell>
          <cell r="F96">
            <v>45390</v>
          </cell>
          <cell r="G96" t="str">
            <v>01</v>
          </cell>
          <cell r="H96">
            <v>9216</v>
          </cell>
          <cell r="I96">
            <v>2</v>
          </cell>
          <cell r="J96">
            <v>2997906</v>
          </cell>
          <cell r="K96">
            <v>999</v>
          </cell>
          <cell r="L96" t="str">
            <v>010</v>
          </cell>
          <cell r="M96">
            <v>99999</v>
          </cell>
          <cell r="N96">
            <v>2311</v>
          </cell>
          <cell r="O96">
            <v>42</v>
          </cell>
          <cell r="P96">
            <v>204</v>
          </cell>
          <cell r="Q96">
            <v>150000000</v>
          </cell>
          <cell r="R96">
            <v>0</v>
          </cell>
          <cell r="S96">
            <v>0</v>
          </cell>
          <cell r="T96">
            <v>0</v>
          </cell>
        </row>
        <row r="97">
          <cell r="A97">
            <v>0</v>
          </cell>
          <cell r="B97" t="str">
            <v>Tỉnh</v>
          </cell>
          <cell r="C97">
            <v>0</v>
          </cell>
          <cell r="D97" t="str">
            <v>Cấp 0</v>
          </cell>
          <cell r="E97">
            <v>593</v>
          </cell>
          <cell r="F97">
            <v>45390</v>
          </cell>
          <cell r="G97" t="str">
            <v>01</v>
          </cell>
          <cell r="H97">
            <v>9216</v>
          </cell>
          <cell r="I97">
            <v>2</v>
          </cell>
          <cell r="J97">
            <v>2997906</v>
          </cell>
          <cell r="K97">
            <v>999</v>
          </cell>
          <cell r="L97" t="str">
            <v>340</v>
          </cell>
          <cell r="M97">
            <v>99999</v>
          </cell>
          <cell r="N97">
            <v>2311</v>
          </cell>
          <cell r="O97">
            <v>42</v>
          </cell>
          <cell r="P97">
            <v>204</v>
          </cell>
          <cell r="Q97">
            <v>600000000</v>
          </cell>
          <cell r="R97">
            <v>0</v>
          </cell>
          <cell r="S97">
            <v>0</v>
          </cell>
          <cell r="T97">
            <v>0</v>
          </cell>
        </row>
        <row r="98">
          <cell r="A98">
            <v>0</v>
          </cell>
          <cell r="B98" t="str">
            <v>Huyện</v>
          </cell>
          <cell r="C98">
            <v>0</v>
          </cell>
          <cell r="D98" t="str">
            <v>Cấp 0</v>
          </cell>
          <cell r="E98">
            <v>593</v>
          </cell>
          <cell r="F98">
            <v>45390</v>
          </cell>
          <cell r="G98" t="str">
            <v>01</v>
          </cell>
          <cell r="H98">
            <v>9229</v>
          </cell>
          <cell r="I98">
            <v>2</v>
          </cell>
          <cell r="J98">
            <v>2997906</v>
          </cell>
          <cell r="K98">
            <v>999</v>
          </cell>
          <cell r="L98" t="str">
            <v>432</v>
          </cell>
          <cell r="M98">
            <v>99999</v>
          </cell>
          <cell r="N98">
            <v>2311</v>
          </cell>
          <cell r="O98">
            <v>42</v>
          </cell>
          <cell r="P98">
            <v>204</v>
          </cell>
          <cell r="Q98">
            <v>56800000000</v>
          </cell>
          <cell r="R98">
            <v>0</v>
          </cell>
          <cell r="S98">
            <v>0</v>
          </cell>
          <cell r="T98">
            <v>0</v>
          </cell>
        </row>
        <row r="99">
          <cell r="A99">
            <v>0</v>
          </cell>
          <cell r="B99" t="str">
            <v>Bạch Thông</v>
          </cell>
          <cell r="C99" t="str">
            <v>bt</v>
          </cell>
          <cell r="D99" t="str">
            <v>Cấp 4</v>
          </cell>
          <cell r="E99">
            <v>593</v>
          </cell>
          <cell r="F99">
            <v>45390</v>
          </cell>
          <cell r="G99" t="str">
            <v>01</v>
          </cell>
          <cell r="H99">
            <v>9622</v>
          </cell>
          <cell r="I99">
            <v>2</v>
          </cell>
          <cell r="J99">
            <v>2999063</v>
          </cell>
          <cell r="K99">
            <v>560</v>
          </cell>
          <cell r="L99">
            <v>432</v>
          </cell>
          <cell r="M99" t="str">
            <v>00000</v>
          </cell>
          <cell r="N99">
            <v>2315</v>
          </cell>
          <cell r="O99" t="str">
            <v>00</v>
          </cell>
          <cell r="P99">
            <v>204</v>
          </cell>
          <cell r="Q99">
            <v>3500000000</v>
          </cell>
          <cell r="R99">
            <v>0</v>
          </cell>
          <cell r="S99">
            <v>0</v>
          </cell>
          <cell r="T99" t="str">
            <v>06A04K2012K1597</v>
          </cell>
        </row>
        <row r="100">
          <cell r="A100">
            <v>0</v>
          </cell>
          <cell r="B100" t="str">
            <v>Ba Bể</v>
          </cell>
          <cell r="C100" t="str">
            <v>bb</v>
          </cell>
          <cell r="D100" t="str">
            <v>Cấp 4</v>
          </cell>
          <cell r="E100">
            <v>593</v>
          </cell>
          <cell r="F100">
            <v>45390</v>
          </cell>
          <cell r="G100" t="str">
            <v>01</v>
          </cell>
          <cell r="H100">
            <v>9622</v>
          </cell>
          <cell r="I100">
            <v>2</v>
          </cell>
          <cell r="J100">
            <v>2999061</v>
          </cell>
          <cell r="K100">
            <v>560</v>
          </cell>
          <cell r="L100">
            <v>432</v>
          </cell>
          <cell r="M100" t="str">
            <v>00000</v>
          </cell>
          <cell r="N100">
            <v>2313</v>
          </cell>
          <cell r="O100" t="str">
            <v>00</v>
          </cell>
          <cell r="P100">
            <v>204</v>
          </cell>
          <cell r="Q100">
            <v>18500000000</v>
          </cell>
          <cell r="R100">
            <v>0</v>
          </cell>
          <cell r="S100">
            <v>0</v>
          </cell>
          <cell r="T100">
            <v>0</v>
          </cell>
        </row>
        <row r="101">
          <cell r="A101">
            <v>0</v>
          </cell>
          <cell r="B101" t="str">
            <v>Thành phố Bắc Kạn</v>
          </cell>
          <cell r="C101" t="str">
            <v>tp</v>
          </cell>
          <cell r="D101" t="str">
            <v>Cấp 4</v>
          </cell>
          <cell r="E101">
            <v>593</v>
          </cell>
          <cell r="F101">
            <v>45390</v>
          </cell>
          <cell r="G101" t="str">
            <v>01</v>
          </cell>
          <cell r="H101">
            <v>9622</v>
          </cell>
          <cell r="I101">
            <v>2</v>
          </cell>
          <cell r="J101">
            <v>2999058</v>
          </cell>
          <cell r="K101">
            <v>560</v>
          </cell>
          <cell r="L101">
            <v>432</v>
          </cell>
          <cell r="M101" t="str">
            <v>00000</v>
          </cell>
          <cell r="N101">
            <v>2311</v>
          </cell>
          <cell r="O101" t="str">
            <v>00</v>
          </cell>
          <cell r="P101">
            <v>204</v>
          </cell>
          <cell r="Q101">
            <v>10800000000</v>
          </cell>
          <cell r="R101">
            <v>0</v>
          </cell>
          <cell r="S101">
            <v>0</v>
          </cell>
          <cell r="T101">
            <v>0</v>
          </cell>
        </row>
        <row r="102">
          <cell r="A102">
            <v>0</v>
          </cell>
          <cell r="B102" t="str">
            <v>Ngân Sơn</v>
          </cell>
          <cell r="C102" t="str">
            <v>ns</v>
          </cell>
          <cell r="D102" t="str">
            <v>Cấp 4</v>
          </cell>
          <cell r="E102">
            <v>593</v>
          </cell>
          <cell r="F102">
            <v>45390</v>
          </cell>
          <cell r="G102" t="str">
            <v>01</v>
          </cell>
          <cell r="H102">
            <v>9622</v>
          </cell>
          <cell r="I102">
            <v>2</v>
          </cell>
          <cell r="J102">
            <v>2999062</v>
          </cell>
          <cell r="K102">
            <v>560</v>
          </cell>
          <cell r="L102">
            <v>432</v>
          </cell>
          <cell r="M102" t="str">
            <v>00000</v>
          </cell>
          <cell r="N102">
            <v>2312</v>
          </cell>
          <cell r="O102" t="str">
            <v>00</v>
          </cell>
          <cell r="P102">
            <v>204</v>
          </cell>
          <cell r="Q102">
            <v>5000000000</v>
          </cell>
          <cell r="R102">
            <v>0</v>
          </cell>
          <cell r="S102">
            <v>0</v>
          </cell>
          <cell r="T102">
            <v>0</v>
          </cell>
        </row>
        <row r="103">
          <cell r="A103">
            <v>0</v>
          </cell>
          <cell r="B103" t="str">
            <v>Na Rì</v>
          </cell>
          <cell r="C103" t="str">
            <v>nr</v>
          </cell>
          <cell r="D103" t="str">
            <v>Cấp 4</v>
          </cell>
          <cell r="E103">
            <v>593</v>
          </cell>
          <cell r="F103">
            <v>45390</v>
          </cell>
          <cell r="G103" t="str">
            <v>01</v>
          </cell>
          <cell r="H103">
            <v>9622</v>
          </cell>
          <cell r="I103">
            <v>2</v>
          </cell>
          <cell r="J103">
            <v>2999066</v>
          </cell>
          <cell r="K103">
            <v>560</v>
          </cell>
          <cell r="L103">
            <v>432</v>
          </cell>
          <cell r="M103" t="str">
            <v>00000</v>
          </cell>
          <cell r="N103">
            <v>2317</v>
          </cell>
          <cell r="O103" t="str">
            <v>00</v>
          </cell>
          <cell r="P103">
            <v>204</v>
          </cell>
          <cell r="Q103">
            <v>3000000000</v>
          </cell>
          <cell r="R103">
            <v>0</v>
          </cell>
          <cell r="S103">
            <v>0</v>
          </cell>
          <cell r="T103">
            <v>0</v>
          </cell>
        </row>
        <row r="104">
          <cell r="A104">
            <v>0</v>
          </cell>
          <cell r="B104" t="str">
            <v>Chợ Đồn</v>
          </cell>
          <cell r="C104" t="str">
            <v>cđ</v>
          </cell>
          <cell r="D104" t="str">
            <v>Cấp 4</v>
          </cell>
          <cell r="E104">
            <v>593</v>
          </cell>
          <cell r="F104">
            <v>45390</v>
          </cell>
          <cell r="G104" t="str">
            <v>01</v>
          </cell>
          <cell r="H104">
            <v>9622</v>
          </cell>
          <cell r="I104">
            <v>2</v>
          </cell>
          <cell r="J104">
            <v>2999064</v>
          </cell>
          <cell r="K104">
            <v>560</v>
          </cell>
          <cell r="L104">
            <v>432</v>
          </cell>
          <cell r="M104" t="str">
            <v>00000</v>
          </cell>
          <cell r="N104">
            <v>2316</v>
          </cell>
          <cell r="O104" t="str">
            <v>00</v>
          </cell>
          <cell r="P104">
            <v>204</v>
          </cell>
          <cell r="Q104">
            <v>7000000000</v>
          </cell>
          <cell r="R104">
            <v>0</v>
          </cell>
          <cell r="S104">
            <v>0</v>
          </cell>
          <cell r="T104">
            <v>0</v>
          </cell>
        </row>
        <row r="105">
          <cell r="A105">
            <v>0</v>
          </cell>
          <cell r="B105" t="str">
            <v>Pác Nặm</v>
          </cell>
          <cell r="C105" t="str">
            <v>pn</v>
          </cell>
          <cell r="D105" t="str">
            <v>Cấp 4</v>
          </cell>
          <cell r="E105">
            <v>593</v>
          </cell>
          <cell r="F105">
            <v>45390</v>
          </cell>
          <cell r="G105" t="str">
            <v>01</v>
          </cell>
          <cell r="H105">
            <v>9622</v>
          </cell>
          <cell r="I105">
            <v>2</v>
          </cell>
          <cell r="J105">
            <v>2999060</v>
          </cell>
          <cell r="K105">
            <v>560</v>
          </cell>
          <cell r="L105">
            <v>432</v>
          </cell>
          <cell r="M105" t="str">
            <v>00000</v>
          </cell>
          <cell r="N105">
            <v>2318</v>
          </cell>
          <cell r="O105" t="str">
            <v>00</v>
          </cell>
          <cell r="P105">
            <v>204</v>
          </cell>
          <cell r="Q105">
            <v>7000000000</v>
          </cell>
          <cell r="R105">
            <v>0</v>
          </cell>
          <cell r="S105">
            <v>0</v>
          </cell>
          <cell r="T105">
            <v>0</v>
          </cell>
        </row>
        <row r="106">
          <cell r="A106">
            <v>0</v>
          </cell>
          <cell r="B106" t="str">
            <v>Chợ Mới</v>
          </cell>
          <cell r="C106" t="str">
            <v>cm</v>
          </cell>
          <cell r="D106" t="str">
            <v>Cấp 4</v>
          </cell>
          <cell r="E106">
            <v>593</v>
          </cell>
          <cell r="F106">
            <v>45390</v>
          </cell>
          <cell r="G106" t="str">
            <v>01</v>
          </cell>
          <cell r="H106">
            <v>9622</v>
          </cell>
          <cell r="I106">
            <v>2</v>
          </cell>
          <cell r="J106">
            <v>2999065</v>
          </cell>
          <cell r="K106">
            <v>560</v>
          </cell>
          <cell r="L106">
            <v>432</v>
          </cell>
          <cell r="M106" t="str">
            <v>00000</v>
          </cell>
          <cell r="N106">
            <v>2314</v>
          </cell>
          <cell r="O106" t="str">
            <v>00</v>
          </cell>
          <cell r="P106">
            <v>204</v>
          </cell>
          <cell r="Q106">
            <v>2000000000</v>
          </cell>
          <cell r="R106">
            <v>0</v>
          </cell>
          <cell r="S106">
            <v>0</v>
          </cell>
          <cell r="T106">
            <v>0</v>
          </cell>
        </row>
        <row r="107">
          <cell r="A107">
            <v>0</v>
          </cell>
          <cell r="B107" t="str">
            <v>Nguồn dự phòng chư phân bổ</v>
          </cell>
          <cell r="C107">
            <v>0</v>
          </cell>
          <cell r="D107">
            <v>0</v>
          </cell>
          <cell r="E107">
            <v>0</v>
          </cell>
          <cell r="F107">
            <v>0</v>
          </cell>
          <cell r="G107">
            <v>0</v>
          </cell>
          <cell r="H107">
            <v>0</v>
          </cell>
          <cell r="I107">
            <v>0</v>
          </cell>
          <cell r="J107">
            <v>0</v>
          </cell>
          <cell r="K107">
            <v>0</v>
          </cell>
          <cell r="L107">
            <v>0</v>
          </cell>
          <cell r="M107">
            <v>0</v>
          </cell>
          <cell r="N107">
            <v>0</v>
          </cell>
          <cell r="O107">
            <v>0</v>
          </cell>
          <cell r="P107">
            <v>0</v>
          </cell>
          <cell r="Q107">
            <v>71957000000</v>
          </cell>
          <cell r="R107">
            <v>0</v>
          </cell>
          <cell r="S107">
            <v>0</v>
          </cell>
          <cell r="T107">
            <v>0</v>
          </cell>
        </row>
        <row r="108">
          <cell r="Q108">
            <v>0</v>
          </cell>
          <cell r="R108">
            <v>0</v>
          </cell>
        </row>
        <row r="109">
          <cell r="Q109">
            <v>0</v>
          </cell>
          <cell r="R109">
            <v>0</v>
          </cell>
        </row>
        <row r="110">
          <cell r="Q110">
            <v>0</v>
          </cell>
          <cell r="R110">
            <v>0</v>
          </cell>
        </row>
        <row r="111">
          <cell r="Q111">
            <v>0</v>
          </cell>
          <cell r="R111">
            <v>0</v>
          </cell>
        </row>
        <row r="112">
          <cell r="Q112">
            <v>0</v>
          </cell>
          <cell r="R112">
            <v>0</v>
          </cell>
        </row>
        <row r="113">
          <cell r="Q113">
            <v>0</v>
          </cell>
          <cell r="R113">
            <v>0</v>
          </cell>
        </row>
        <row r="114">
          <cell r="Q114">
            <v>0</v>
          </cell>
          <cell r="R114">
            <v>0</v>
          </cell>
        </row>
      </sheetData>
      <sheetData sheetId="26"/>
      <sheetData sheetId="27"/>
      <sheetData sheetId="28"/>
      <sheetData sheetId="29"/>
      <sheetData sheetId="30"/>
      <sheetData sheetId="31"/>
      <sheetData sheetId="32"/>
      <sheetData sheetId="33"/>
      <sheetData sheetId="34"/>
      <sheetData sheetId="3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ạm ứng"/>
      <sheetName val="foxz"/>
      <sheetName val="foxz_2"/>
      <sheetName val="foxz_3"/>
      <sheetName val="foxz_4"/>
      <sheetName val="foxz_5"/>
      <sheetName val="foxz_6"/>
      <sheetName val="foxz_7"/>
      <sheetName val="foxz_8"/>
      <sheetName val="foxz_9"/>
      <sheetName val="foxz_10"/>
      <sheetName val="foxz_11"/>
      <sheetName val="foxz_12"/>
      <sheetName val="SGV"/>
      <sheetName val="Dữ liệu chung"/>
      <sheetName val="DTĐT TX- CẤP TỈNH"/>
      <sheetName val="DTĐN- CẤP HUYỆN"/>
      <sheetName val="DTĐN- NHẬP LCT"/>
      <sheetName val="Vốn ĐT - PBO trog năm"/>
      <sheetName val="C0- ĐT"/>
      <sheetName val="DTĐN - Vốn ĐT"/>
      <sheetName val="Theo dõi "/>
      <sheetName val="T1"/>
      <sheetName val="T2"/>
      <sheetName val="T3"/>
      <sheetName val="T4"/>
      <sheetName val="T5"/>
      <sheetName val="T6"/>
      <sheetName val="T7"/>
      <sheetName val="T8"/>
      <sheetName val="T9"/>
      <sheetName val="T10"/>
      <sheetName val="T11"/>
      <sheetName val="T12"/>
      <sheetName val="ĐC"/>
      <sheetName val="ĐC dự toá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ow r="4">
          <cell r="A4" t="str">
            <v>T31</v>
          </cell>
          <cell r="B4" t="str">
            <v>Phân bổ kinh phí tài trợ lập quy hoạch phân khu xây dựng Khu công nghiệp Chợ Mới 1 cho Ban Quản lý các Khu công nghiệp Bắc Kạn</v>
          </cell>
          <cell r="E4">
            <v>321</v>
          </cell>
          <cell r="F4">
            <v>45357</v>
          </cell>
          <cell r="G4" t="str">
            <v>01</v>
          </cell>
          <cell r="H4">
            <v>9111</v>
          </cell>
          <cell r="N4">
            <v>2311</v>
          </cell>
          <cell r="R4">
            <v>190000000</v>
          </cell>
          <cell r="S4">
            <v>289716527</v>
          </cell>
        </row>
        <row r="5">
          <cell r="B5" t="str">
            <v xml:space="preserve">Tỉnh </v>
          </cell>
          <cell r="D5" t="str">
            <v>Cấp 0</v>
          </cell>
          <cell r="E5">
            <v>321</v>
          </cell>
          <cell r="F5">
            <v>45357</v>
          </cell>
          <cell r="G5" t="str">
            <v>01</v>
          </cell>
          <cell r="H5">
            <v>9223</v>
          </cell>
          <cell r="I5">
            <v>2</v>
          </cell>
          <cell r="J5">
            <v>2997906</v>
          </cell>
          <cell r="K5">
            <v>999</v>
          </cell>
          <cell r="L5">
            <v>437</v>
          </cell>
          <cell r="M5">
            <v>99999</v>
          </cell>
          <cell r="N5">
            <v>2311</v>
          </cell>
          <cell r="O5">
            <v>29</v>
          </cell>
          <cell r="P5">
            <v>201</v>
          </cell>
          <cell r="Q5">
            <v>190000000</v>
          </cell>
          <cell r="T5" t="str">
            <v>06A40K2012K312</v>
          </cell>
        </row>
        <row r="6">
          <cell r="A6">
            <v>1</v>
          </cell>
          <cell r="B6" t="e">
            <v>#N/A</v>
          </cell>
          <cell r="G6" t="str">
            <v>01</v>
          </cell>
          <cell r="H6">
            <v>9622</v>
          </cell>
          <cell r="I6">
            <v>2</v>
          </cell>
          <cell r="J6" t="e">
            <v>#N/A</v>
          </cell>
          <cell r="K6">
            <v>560</v>
          </cell>
          <cell r="L6">
            <v>432</v>
          </cell>
          <cell r="M6" t="str">
            <v>00510</v>
          </cell>
          <cell r="N6" t="e">
            <v>#N/A</v>
          </cell>
          <cell r="O6" t="str">
            <v>00</v>
          </cell>
          <cell r="P6">
            <v>201</v>
          </cell>
          <cell r="T6" t="str">
            <v>06A04K2012K1594</v>
          </cell>
        </row>
        <row r="7">
          <cell r="A7" t="str">
            <v>T32</v>
          </cell>
          <cell r="B7" t="str">
            <v>Cấp bổ sung kinh phí cho các đơn vị để thực hiện nhiệm vụ năm 2024</v>
          </cell>
          <cell r="E7">
            <v>362</v>
          </cell>
          <cell r="F7">
            <v>45362</v>
          </cell>
          <cell r="G7" t="str">
            <v>01</v>
          </cell>
          <cell r="H7">
            <v>9111</v>
          </cell>
          <cell r="N7">
            <v>2311</v>
          </cell>
          <cell r="R7">
            <v>6333762000</v>
          </cell>
          <cell r="S7">
            <v>290388897</v>
          </cell>
        </row>
        <row r="8">
          <cell r="B8" t="str">
            <v xml:space="preserve">Tỉnh </v>
          </cell>
          <cell r="D8" t="str">
            <v>Cấp 0</v>
          </cell>
          <cell r="E8">
            <v>362</v>
          </cell>
          <cell r="F8">
            <v>45362</v>
          </cell>
          <cell r="G8" t="str">
            <v>01</v>
          </cell>
          <cell r="H8">
            <v>9233</v>
          </cell>
          <cell r="I8">
            <v>2</v>
          </cell>
          <cell r="J8">
            <v>2997906</v>
          </cell>
          <cell r="K8">
            <v>999</v>
          </cell>
          <cell r="L8" t="str">
            <v>437</v>
          </cell>
          <cell r="M8" t="str">
            <v>00510</v>
          </cell>
          <cell r="N8">
            <v>2311</v>
          </cell>
          <cell r="O8">
            <v>29</v>
          </cell>
          <cell r="P8">
            <v>201</v>
          </cell>
          <cell r="Q8">
            <v>6333762000</v>
          </cell>
        </row>
        <row r="9">
          <cell r="A9" t="str">
            <v>T33</v>
          </cell>
          <cell r="B9" t="str">
            <v>Cấp bổ sung kinh phí cho Công an tỉnh để tổ chức Hội thi nghiệp vụ chữa cháy và cứu nạn, cứu hộ "Tổ liên gia an toàn phòng cháy, chữa cháy" toàn quốc năm 2024</v>
          </cell>
          <cell r="E9">
            <v>457</v>
          </cell>
          <cell r="F9">
            <v>45373</v>
          </cell>
          <cell r="G9" t="str">
            <v>01</v>
          </cell>
          <cell r="H9">
            <v>9111</v>
          </cell>
          <cell r="N9">
            <v>2311</v>
          </cell>
          <cell r="R9">
            <v>1682961200</v>
          </cell>
          <cell r="S9">
            <v>291378903</v>
          </cell>
        </row>
        <row r="10">
          <cell r="B10" t="str">
            <v xml:space="preserve">Tỉnh </v>
          </cell>
          <cell r="D10" t="str">
            <v>Cấp 0</v>
          </cell>
          <cell r="E10">
            <v>457</v>
          </cell>
          <cell r="F10">
            <v>45373</v>
          </cell>
          <cell r="G10" t="str">
            <v>01</v>
          </cell>
          <cell r="H10">
            <v>9233</v>
          </cell>
          <cell r="I10">
            <v>2</v>
          </cell>
          <cell r="J10">
            <v>2997906</v>
          </cell>
          <cell r="K10">
            <v>999</v>
          </cell>
          <cell r="L10" t="str">
            <v>437</v>
          </cell>
          <cell r="M10">
            <v>99999</v>
          </cell>
          <cell r="N10">
            <v>2311</v>
          </cell>
          <cell r="O10">
            <v>29</v>
          </cell>
          <cell r="P10">
            <v>201</v>
          </cell>
          <cell r="Q10">
            <v>1682961200</v>
          </cell>
        </row>
        <row r="11">
          <cell r="B11" t="str">
            <v>Công an tỉnh</v>
          </cell>
          <cell r="D11" t="str">
            <v>Cấp 1</v>
          </cell>
          <cell r="E11">
            <v>457</v>
          </cell>
          <cell r="F11">
            <v>45373</v>
          </cell>
          <cell r="G11" t="str">
            <v>01</v>
          </cell>
          <cell r="H11">
            <v>9253</v>
          </cell>
          <cell r="I11">
            <v>2</v>
          </cell>
          <cell r="J11">
            <v>1053629</v>
          </cell>
          <cell r="K11">
            <v>560</v>
          </cell>
          <cell r="L11" t="str">
            <v>040</v>
          </cell>
          <cell r="M11">
            <v>99999</v>
          </cell>
          <cell r="N11">
            <v>2311</v>
          </cell>
          <cell r="O11">
            <v>29</v>
          </cell>
          <cell r="P11">
            <v>201</v>
          </cell>
          <cell r="Q11">
            <v>1682961200</v>
          </cell>
          <cell r="T11" t="str">
            <v>06A01G2012G131</v>
          </cell>
        </row>
        <row r="12">
          <cell r="D12" t="str">
            <v>Cấp 4</v>
          </cell>
          <cell r="E12">
            <v>457</v>
          </cell>
          <cell r="F12">
            <v>45373</v>
          </cell>
          <cell r="G12" t="str">
            <v>01</v>
          </cell>
          <cell r="H12">
            <v>9527</v>
          </cell>
          <cell r="I12">
            <v>2</v>
          </cell>
          <cell r="J12">
            <v>1053629</v>
          </cell>
          <cell r="K12">
            <v>560</v>
          </cell>
          <cell r="L12" t="str">
            <v>041</v>
          </cell>
          <cell r="M12" t="str">
            <v>00000</v>
          </cell>
          <cell r="N12">
            <v>2311</v>
          </cell>
          <cell r="O12">
            <v>12</v>
          </cell>
          <cell r="P12">
            <v>201</v>
          </cell>
          <cell r="Q12">
            <v>1682961200</v>
          </cell>
          <cell r="T12" t="str">
            <v>06A14G2012G116</v>
          </cell>
        </row>
      </sheetData>
      <sheetData sheetId="25"/>
      <sheetData sheetId="26"/>
      <sheetData sheetId="27">
        <row r="4">
          <cell r="A4" t="str">
            <v>T61</v>
          </cell>
          <cell r="B4" t="str">
            <v xml:space="preserve">Cấp cấp bổ sung kinh phí cho các cơ quan, đơn vị để thực hiện nhiệm vụ năm 2024 </v>
          </cell>
          <cell r="C4">
            <v>0</v>
          </cell>
          <cell r="D4">
            <v>0</v>
          </cell>
          <cell r="E4">
            <v>978</v>
          </cell>
          <cell r="F4">
            <v>45449</v>
          </cell>
          <cell r="G4" t="str">
            <v>01</v>
          </cell>
          <cell r="H4">
            <v>9111</v>
          </cell>
          <cell r="I4">
            <v>0</v>
          </cell>
          <cell r="J4">
            <v>0</v>
          </cell>
          <cell r="K4">
            <v>0</v>
          </cell>
          <cell r="L4">
            <v>0</v>
          </cell>
          <cell r="M4">
            <v>0</v>
          </cell>
          <cell r="N4">
            <v>2311</v>
          </cell>
          <cell r="O4">
            <v>0</v>
          </cell>
          <cell r="P4">
            <v>0</v>
          </cell>
          <cell r="Q4">
            <v>0</v>
          </cell>
          <cell r="R4">
            <v>614420000</v>
          </cell>
          <cell r="S4">
            <v>299755856</v>
          </cell>
          <cell r="T4">
            <v>0</v>
          </cell>
        </row>
        <row r="5">
          <cell r="A5">
            <v>0</v>
          </cell>
          <cell r="B5" t="str">
            <v>Tỉnh</v>
          </cell>
          <cell r="C5">
            <v>0</v>
          </cell>
          <cell r="D5" t="str">
            <v>Cấp 0</v>
          </cell>
          <cell r="E5">
            <v>978</v>
          </cell>
          <cell r="F5">
            <v>45449</v>
          </cell>
          <cell r="G5" t="str">
            <v>01</v>
          </cell>
          <cell r="H5">
            <v>9233</v>
          </cell>
          <cell r="I5">
            <v>2</v>
          </cell>
          <cell r="J5">
            <v>2997906</v>
          </cell>
          <cell r="K5">
            <v>999</v>
          </cell>
          <cell r="L5">
            <v>437</v>
          </cell>
          <cell r="M5" t="str">
            <v>00000</v>
          </cell>
          <cell r="N5">
            <v>2311</v>
          </cell>
          <cell r="O5">
            <v>29</v>
          </cell>
          <cell r="P5">
            <v>201</v>
          </cell>
          <cell r="Q5">
            <v>614420000</v>
          </cell>
          <cell r="R5">
            <v>0</v>
          </cell>
          <cell r="S5">
            <v>0</v>
          </cell>
          <cell r="T5">
            <v>0</v>
          </cell>
        </row>
        <row r="6">
          <cell r="A6" t="str">
            <v>T62</v>
          </cell>
          <cell r="B6" t="str">
            <v>Phân bổ và giao dự toán kinh phí sự nghiệp cho các đơn vị, địa phương thực hiện nhiệm vụ năm 2024 (bổ sung lần 2)</v>
          </cell>
          <cell r="C6">
            <v>0</v>
          </cell>
          <cell r="D6">
            <v>0</v>
          </cell>
          <cell r="E6">
            <v>984</v>
          </cell>
          <cell r="F6">
            <v>45450</v>
          </cell>
          <cell r="G6" t="str">
            <v>01</v>
          </cell>
          <cell r="H6">
            <v>9111</v>
          </cell>
          <cell r="I6">
            <v>0</v>
          </cell>
          <cell r="J6">
            <v>0</v>
          </cell>
          <cell r="K6">
            <v>0</v>
          </cell>
          <cell r="L6">
            <v>0</v>
          </cell>
          <cell r="M6">
            <v>0</v>
          </cell>
          <cell r="N6">
            <v>2311</v>
          </cell>
          <cell r="O6">
            <v>0</v>
          </cell>
          <cell r="P6">
            <v>0</v>
          </cell>
          <cell r="Q6">
            <v>0</v>
          </cell>
          <cell r="R6">
            <v>19906175000</v>
          </cell>
          <cell r="S6">
            <v>299762750</v>
          </cell>
          <cell r="T6">
            <v>0</v>
          </cell>
        </row>
        <row r="7">
          <cell r="A7" t="str">
            <v>*</v>
          </cell>
          <cell r="B7" t="str">
            <v>Tỉnh (Kinh phí ủy thác cho NH CSXH)</v>
          </cell>
          <cell r="C7">
            <v>0</v>
          </cell>
          <cell r="D7" t="str">
            <v>Cấp 0</v>
          </cell>
          <cell r="E7">
            <v>984</v>
          </cell>
          <cell r="F7">
            <v>45450</v>
          </cell>
          <cell r="G7" t="str">
            <v>01</v>
          </cell>
          <cell r="H7">
            <v>9213</v>
          </cell>
          <cell r="I7">
            <v>2</v>
          </cell>
          <cell r="J7">
            <v>2997906</v>
          </cell>
          <cell r="K7">
            <v>999</v>
          </cell>
          <cell r="L7" t="str">
            <v>280</v>
          </cell>
          <cell r="M7" t="str">
            <v>00000</v>
          </cell>
          <cell r="N7">
            <v>2311</v>
          </cell>
          <cell r="O7">
            <v>29</v>
          </cell>
          <cell r="P7">
            <v>200</v>
          </cell>
          <cell r="Q7">
            <v>15525700000</v>
          </cell>
          <cell r="R7">
            <v>0</v>
          </cell>
          <cell r="S7">
            <v>0</v>
          </cell>
          <cell r="T7">
            <v>0</v>
          </cell>
        </row>
        <row r="8">
          <cell r="A8" t="str">
            <v>*</v>
          </cell>
          <cell r="B8" t="str">
            <v>Huyện (Kp  thực hiện cs hỗ trợ phát triển điểm du lịch trên địa bàn tỉnh theo NQ số 16/2023/NQ-HĐND ngày 23/10/2023)</v>
          </cell>
          <cell r="C8">
            <v>0</v>
          </cell>
          <cell r="D8" t="str">
            <v>Cấp 0</v>
          </cell>
          <cell r="E8">
            <v>984</v>
          </cell>
          <cell r="F8">
            <v>45450</v>
          </cell>
          <cell r="G8" t="str">
            <v>01</v>
          </cell>
          <cell r="H8">
            <v>9229</v>
          </cell>
          <cell r="I8">
            <v>2</v>
          </cell>
          <cell r="J8">
            <v>2997906</v>
          </cell>
          <cell r="K8">
            <v>999</v>
          </cell>
          <cell r="L8">
            <v>432</v>
          </cell>
          <cell r="M8">
            <v>99999</v>
          </cell>
          <cell r="N8">
            <v>2311</v>
          </cell>
          <cell r="O8">
            <v>99</v>
          </cell>
          <cell r="P8">
            <v>200</v>
          </cell>
          <cell r="Q8">
            <v>1755000000</v>
          </cell>
          <cell r="R8">
            <v>4380475000</v>
          </cell>
          <cell r="S8">
            <v>4380475000</v>
          </cell>
          <cell r="T8">
            <v>0</v>
          </cell>
        </row>
        <row r="9">
          <cell r="A9">
            <v>1</v>
          </cell>
          <cell r="B9" t="str">
            <v>Chợ Mới</v>
          </cell>
          <cell r="C9" t="str">
            <v>cm</v>
          </cell>
          <cell r="D9" t="str">
            <v>Cấp 4</v>
          </cell>
          <cell r="E9">
            <v>984</v>
          </cell>
          <cell r="F9">
            <v>45450</v>
          </cell>
          <cell r="G9" t="str">
            <v>01</v>
          </cell>
          <cell r="H9">
            <v>9622</v>
          </cell>
          <cell r="I9">
            <v>2</v>
          </cell>
          <cell r="J9">
            <v>2999065</v>
          </cell>
          <cell r="K9">
            <v>560</v>
          </cell>
          <cell r="L9">
            <v>432</v>
          </cell>
          <cell r="M9" t="str">
            <v>00000</v>
          </cell>
          <cell r="N9">
            <v>2314</v>
          </cell>
          <cell r="O9" t="str">
            <v>00</v>
          </cell>
          <cell r="P9">
            <v>200</v>
          </cell>
          <cell r="Q9">
            <v>585000000</v>
          </cell>
          <cell r="R9">
            <v>732211000</v>
          </cell>
          <cell r="S9">
            <v>0</v>
          </cell>
          <cell r="T9" t="str">
            <v>06A04K2012K1598</v>
          </cell>
        </row>
        <row r="10">
          <cell r="A10">
            <v>2</v>
          </cell>
          <cell r="B10" t="str">
            <v>Chợ Đồn</v>
          </cell>
          <cell r="C10" t="str">
            <v>cđ</v>
          </cell>
          <cell r="D10" t="str">
            <v>Cấp 4</v>
          </cell>
          <cell r="E10">
            <v>984</v>
          </cell>
          <cell r="F10">
            <v>45450</v>
          </cell>
          <cell r="G10" t="str">
            <v>01</v>
          </cell>
          <cell r="H10">
            <v>9622</v>
          </cell>
          <cell r="I10">
            <v>2</v>
          </cell>
          <cell r="J10">
            <v>2999064</v>
          </cell>
          <cell r="K10">
            <v>560</v>
          </cell>
          <cell r="L10">
            <v>432</v>
          </cell>
          <cell r="M10" t="str">
            <v>00000</v>
          </cell>
          <cell r="N10">
            <v>2316</v>
          </cell>
          <cell r="O10" t="str">
            <v>00</v>
          </cell>
          <cell r="P10">
            <v>200</v>
          </cell>
          <cell r="Q10">
            <v>585000000</v>
          </cell>
          <cell r="R10">
            <v>723827000</v>
          </cell>
          <cell r="S10">
            <v>0</v>
          </cell>
          <cell r="T10">
            <v>0</v>
          </cell>
        </row>
        <row r="11">
          <cell r="A11">
            <v>3</v>
          </cell>
          <cell r="B11" t="str">
            <v>Bạch Thông</v>
          </cell>
          <cell r="C11" t="str">
            <v>bt</v>
          </cell>
          <cell r="D11" t="str">
            <v>Cấp 4</v>
          </cell>
          <cell r="E11">
            <v>984</v>
          </cell>
          <cell r="F11">
            <v>45450</v>
          </cell>
          <cell r="G11" t="str">
            <v>01</v>
          </cell>
          <cell r="H11">
            <v>9622</v>
          </cell>
          <cell r="I11">
            <v>2</v>
          </cell>
          <cell r="J11">
            <v>2999063</v>
          </cell>
          <cell r="K11">
            <v>560</v>
          </cell>
          <cell r="L11">
            <v>432</v>
          </cell>
          <cell r="M11" t="str">
            <v>00000</v>
          </cell>
          <cell r="N11">
            <v>2315</v>
          </cell>
          <cell r="O11" t="str">
            <v>00</v>
          </cell>
          <cell r="P11">
            <v>200</v>
          </cell>
          <cell r="Q11">
            <v>585000000</v>
          </cell>
          <cell r="R11">
            <v>1246094000</v>
          </cell>
          <cell r="S11">
            <v>0</v>
          </cell>
          <cell r="T11">
            <v>0</v>
          </cell>
        </row>
        <row r="12">
          <cell r="A12" t="str">
            <v>*</v>
          </cell>
          <cell r="B12" t="str">
            <v>Huyện (Kp thực hiện chính sách tinh giản biên chế theo Nghị định số 29/2023/NĐ-CP)</v>
          </cell>
          <cell r="C12">
            <v>0</v>
          </cell>
          <cell r="D12" t="str">
            <v>Cấp 0</v>
          </cell>
          <cell r="E12">
            <v>984</v>
          </cell>
          <cell r="F12">
            <v>45450</v>
          </cell>
          <cell r="G12" t="str">
            <v>01</v>
          </cell>
          <cell r="H12">
            <v>9229</v>
          </cell>
          <cell r="I12">
            <v>2</v>
          </cell>
          <cell r="J12">
            <v>2997906</v>
          </cell>
          <cell r="K12">
            <v>999</v>
          </cell>
          <cell r="L12">
            <v>432</v>
          </cell>
          <cell r="M12">
            <v>99999</v>
          </cell>
          <cell r="N12">
            <v>2311</v>
          </cell>
          <cell r="O12">
            <v>99</v>
          </cell>
          <cell r="P12">
            <v>200</v>
          </cell>
          <cell r="Q12">
            <v>1734195000</v>
          </cell>
          <cell r="R12">
            <v>0</v>
          </cell>
          <cell r="S12">
            <v>0</v>
          </cell>
          <cell r="T12">
            <v>0</v>
          </cell>
        </row>
        <row r="13">
          <cell r="A13">
            <v>1</v>
          </cell>
          <cell r="B13" t="str">
            <v>Bạch Thông</v>
          </cell>
          <cell r="C13" t="str">
            <v>bt</v>
          </cell>
          <cell r="D13" t="str">
            <v>Cấp 4</v>
          </cell>
          <cell r="E13">
            <v>984</v>
          </cell>
          <cell r="F13">
            <v>45450</v>
          </cell>
          <cell r="G13" t="str">
            <v>01</v>
          </cell>
          <cell r="H13">
            <v>9622</v>
          </cell>
          <cell r="I13">
            <v>2</v>
          </cell>
          <cell r="J13">
            <v>2999063</v>
          </cell>
          <cell r="K13">
            <v>560</v>
          </cell>
          <cell r="L13">
            <v>432</v>
          </cell>
          <cell r="M13" t="str">
            <v>00000</v>
          </cell>
          <cell r="N13">
            <v>2315</v>
          </cell>
          <cell r="O13" t="str">
            <v>00</v>
          </cell>
          <cell r="P13">
            <v>200</v>
          </cell>
          <cell r="Q13">
            <v>661094000</v>
          </cell>
          <cell r="R13">
            <v>0</v>
          </cell>
          <cell r="S13">
            <v>0</v>
          </cell>
          <cell r="T13" t="str">
            <v>06A04K2012K1598</v>
          </cell>
        </row>
        <row r="14">
          <cell r="A14">
            <v>2</v>
          </cell>
          <cell r="B14" t="str">
            <v>Chợ Mới</v>
          </cell>
          <cell r="C14" t="str">
            <v>cm</v>
          </cell>
          <cell r="D14" t="str">
            <v>Cấp 4</v>
          </cell>
          <cell r="E14">
            <v>984</v>
          </cell>
          <cell r="F14">
            <v>45450</v>
          </cell>
          <cell r="G14" t="str">
            <v>01</v>
          </cell>
          <cell r="H14">
            <v>9622</v>
          </cell>
          <cell r="I14">
            <v>2</v>
          </cell>
          <cell r="J14">
            <v>2999065</v>
          </cell>
          <cell r="K14">
            <v>560</v>
          </cell>
          <cell r="L14">
            <v>432</v>
          </cell>
          <cell r="M14" t="str">
            <v>00000</v>
          </cell>
          <cell r="N14">
            <v>2314</v>
          </cell>
          <cell r="O14" t="str">
            <v>00</v>
          </cell>
          <cell r="P14">
            <v>200</v>
          </cell>
          <cell r="Q14">
            <v>147211000</v>
          </cell>
          <cell r="R14">
            <v>0</v>
          </cell>
          <cell r="S14">
            <v>0</v>
          </cell>
          <cell r="T14">
            <v>0</v>
          </cell>
        </row>
        <row r="15">
          <cell r="A15">
            <v>3</v>
          </cell>
          <cell r="B15" t="str">
            <v>Na Rì</v>
          </cell>
          <cell r="C15" t="str">
            <v>nr</v>
          </cell>
          <cell r="D15" t="str">
            <v>Cấp 4</v>
          </cell>
          <cell r="E15">
            <v>984</v>
          </cell>
          <cell r="F15">
            <v>45450</v>
          </cell>
          <cell r="G15" t="str">
            <v>01</v>
          </cell>
          <cell r="H15">
            <v>9622</v>
          </cell>
          <cell r="I15">
            <v>2</v>
          </cell>
          <cell r="J15">
            <v>2999066</v>
          </cell>
          <cell r="K15">
            <v>560</v>
          </cell>
          <cell r="L15">
            <v>432</v>
          </cell>
          <cell r="M15" t="str">
            <v>00000</v>
          </cell>
          <cell r="N15">
            <v>2317</v>
          </cell>
          <cell r="O15" t="str">
            <v>00</v>
          </cell>
          <cell r="P15">
            <v>200</v>
          </cell>
          <cell r="Q15">
            <v>118099000</v>
          </cell>
          <cell r="R15">
            <v>118099000</v>
          </cell>
          <cell r="S15">
            <v>0</v>
          </cell>
          <cell r="T15">
            <v>0</v>
          </cell>
        </row>
        <row r="16">
          <cell r="A16">
            <v>4</v>
          </cell>
          <cell r="B16" t="str">
            <v>Ba Bể</v>
          </cell>
          <cell r="C16" t="str">
            <v>bb</v>
          </cell>
          <cell r="D16" t="str">
            <v>Cấp 4</v>
          </cell>
          <cell r="E16">
            <v>984</v>
          </cell>
          <cell r="F16">
            <v>45450</v>
          </cell>
          <cell r="G16" t="str">
            <v>01</v>
          </cell>
          <cell r="H16">
            <v>9622</v>
          </cell>
          <cell r="I16">
            <v>2</v>
          </cell>
          <cell r="J16">
            <v>2999061</v>
          </cell>
          <cell r="K16">
            <v>560</v>
          </cell>
          <cell r="L16">
            <v>432</v>
          </cell>
          <cell r="M16" t="str">
            <v>00000</v>
          </cell>
          <cell r="N16">
            <v>2313</v>
          </cell>
          <cell r="O16" t="str">
            <v>00</v>
          </cell>
          <cell r="P16">
            <v>200</v>
          </cell>
          <cell r="Q16">
            <v>668964000</v>
          </cell>
          <cell r="R16">
            <v>668964000</v>
          </cell>
          <cell r="S16">
            <v>0</v>
          </cell>
          <cell r="T16">
            <v>0</v>
          </cell>
        </row>
        <row r="17">
          <cell r="A17">
            <v>5</v>
          </cell>
          <cell r="B17" t="str">
            <v>Chợ Đồn</v>
          </cell>
          <cell r="C17" t="str">
            <v>cđ</v>
          </cell>
          <cell r="D17" t="str">
            <v>Cấp 4</v>
          </cell>
          <cell r="E17">
            <v>984</v>
          </cell>
          <cell r="F17">
            <v>45450</v>
          </cell>
          <cell r="G17" t="str">
            <v>01</v>
          </cell>
          <cell r="H17">
            <v>9622</v>
          </cell>
          <cell r="I17">
            <v>2</v>
          </cell>
          <cell r="J17">
            <v>2999064</v>
          </cell>
          <cell r="K17">
            <v>560</v>
          </cell>
          <cell r="L17">
            <v>432</v>
          </cell>
          <cell r="M17" t="str">
            <v>00000</v>
          </cell>
          <cell r="N17">
            <v>2316</v>
          </cell>
          <cell r="O17" t="str">
            <v>00</v>
          </cell>
          <cell r="P17">
            <v>200</v>
          </cell>
          <cell r="Q17">
            <v>138827000</v>
          </cell>
          <cell r="R17">
            <v>0</v>
          </cell>
          <cell r="S17">
            <v>0</v>
          </cell>
          <cell r="T17">
            <v>0</v>
          </cell>
        </row>
        <row r="18">
          <cell r="A18" t="str">
            <v>*</v>
          </cell>
          <cell r="B18" t="str">
            <v>Huyện (Kp thực hiện xây dựng xã hội học tập trên địa bàn tỉnh theo Nghị quyết số 19/2022/NQ-HĐND ngày 10/12/2022)</v>
          </cell>
          <cell r="C18">
            <v>0</v>
          </cell>
          <cell r="D18">
            <v>0</v>
          </cell>
          <cell r="E18">
            <v>984</v>
          </cell>
          <cell r="F18">
            <v>45450</v>
          </cell>
          <cell r="G18" t="str">
            <v>01</v>
          </cell>
          <cell r="H18">
            <v>9229</v>
          </cell>
          <cell r="I18">
            <v>2</v>
          </cell>
          <cell r="J18">
            <v>2997906</v>
          </cell>
          <cell r="K18">
            <v>999</v>
          </cell>
          <cell r="L18">
            <v>432</v>
          </cell>
          <cell r="M18">
            <v>99999</v>
          </cell>
          <cell r="N18">
            <v>2311</v>
          </cell>
          <cell r="O18">
            <v>99</v>
          </cell>
          <cell r="P18">
            <v>200</v>
          </cell>
          <cell r="Q18">
            <v>891280000</v>
          </cell>
          <cell r="R18">
            <v>0</v>
          </cell>
          <cell r="S18">
            <v>0</v>
          </cell>
          <cell r="T18">
            <v>0</v>
          </cell>
        </row>
        <row r="19">
          <cell r="A19">
            <v>1</v>
          </cell>
          <cell r="B19" t="str">
            <v>Pác Nặm</v>
          </cell>
          <cell r="C19" t="str">
            <v>pn</v>
          </cell>
          <cell r="D19" t="str">
            <v>Cấp 4</v>
          </cell>
          <cell r="E19">
            <v>984</v>
          </cell>
          <cell r="F19">
            <v>45450</v>
          </cell>
          <cell r="G19" t="str">
            <v>01</v>
          </cell>
          <cell r="H19">
            <v>9622</v>
          </cell>
          <cell r="I19">
            <v>2</v>
          </cell>
          <cell r="J19">
            <v>2999060</v>
          </cell>
          <cell r="K19">
            <v>560</v>
          </cell>
          <cell r="L19">
            <v>432</v>
          </cell>
          <cell r="M19" t="str">
            <v>00000</v>
          </cell>
          <cell r="N19">
            <v>2318</v>
          </cell>
          <cell r="O19" t="str">
            <v>00</v>
          </cell>
          <cell r="P19">
            <v>200</v>
          </cell>
          <cell r="Q19">
            <v>891280000</v>
          </cell>
          <cell r="R19">
            <v>891280000</v>
          </cell>
          <cell r="S19">
            <v>0</v>
          </cell>
          <cell r="T19" t="str">
            <v>06A04K2012K1598</v>
          </cell>
        </row>
        <row r="20">
          <cell r="A20" t="str">
            <v>T63</v>
          </cell>
          <cell r="B20" t="str">
            <v>Cấp bổ sung kinh phí cho các đơn vị thực hiện nhiệm vụ năm 2023</v>
          </cell>
          <cell r="C20">
            <v>0</v>
          </cell>
          <cell r="D20">
            <v>0</v>
          </cell>
          <cell r="E20">
            <v>1123</v>
          </cell>
          <cell r="F20">
            <v>45100</v>
          </cell>
          <cell r="G20" t="str">
            <v>01</v>
          </cell>
          <cell r="H20">
            <v>9111</v>
          </cell>
          <cell r="I20">
            <v>0</v>
          </cell>
          <cell r="J20">
            <v>0</v>
          </cell>
          <cell r="K20">
            <v>0</v>
          </cell>
          <cell r="L20">
            <v>0</v>
          </cell>
          <cell r="M20">
            <v>0</v>
          </cell>
          <cell r="N20">
            <v>2311</v>
          </cell>
          <cell r="O20">
            <v>0</v>
          </cell>
          <cell r="P20">
            <v>0</v>
          </cell>
          <cell r="Q20">
            <v>0</v>
          </cell>
          <cell r="R20">
            <v>3399687000</v>
          </cell>
          <cell r="S20">
            <v>258168486</v>
          </cell>
          <cell r="T20">
            <v>0</v>
          </cell>
        </row>
        <row r="21">
          <cell r="A21">
            <v>0</v>
          </cell>
          <cell r="B21" t="str">
            <v>Tỉnh</v>
          </cell>
          <cell r="C21">
            <v>0</v>
          </cell>
          <cell r="D21" t="str">
            <v>Cấp 0</v>
          </cell>
          <cell r="E21">
            <v>1123</v>
          </cell>
          <cell r="F21">
            <v>45100</v>
          </cell>
          <cell r="G21" t="str">
            <v>01</v>
          </cell>
          <cell r="H21">
            <v>9233</v>
          </cell>
          <cell r="I21">
            <v>2</v>
          </cell>
          <cell r="J21">
            <v>2997906</v>
          </cell>
          <cell r="K21">
            <v>999</v>
          </cell>
          <cell r="L21">
            <v>437</v>
          </cell>
          <cell r="M21" t="str">
            <v>99999</v>
          </cell>
          <cell r="N21">
            <v>2311</v>
          </cell>
          <cell r="O21">
            <v>29</v>
          </cell>
          <cell r="P21">
            <v>201</v>
          </cell>
          <cell r="Q21">
            <v>3399687000</v>
          </cell>
          <cell r="R21">
            <v>0</v>
          </cell>
          <cell r="S21">
            <v>0</v>
          </cell>
          <cell r="T21">
            <v>0</v>
          </cell>
        </row>
        <row r="22">
          <cell r="A22" t="str">
            <v>T64</v>
          </cell>
          <cell r="B22" t="str">
            <v>Cấp bổ sung kinh phí cho các đơn vị thực hiện nhiệm vụ năm 2023</v>
          </cell>
          <cell r="C22">
            <v>0</v>
          </cell>
          <cell r="D22">
            <v>0</v>
          </cell>
          <cell r="E22">
            <v>1075</v>
          </cell>
          <cell r="F22">
            <v>45096</v>
          </cell>
          <cell r="G22" t="str">
            <v>01</v>
          </cell>
          <cell r="H22">
            <v>9111</v>
          </cell>
          <cell r="I22">
            <v>0</v>
          </cell>
          <cell r="J22">
            <v>0</v>
          </cell>
          <cell r="K22">
            <v>0</v>
          </cell>
          <cell r="L22">
            <v>0</v>
          </cell>
          <cell r="M22">
            <v>0</v>
          </cell>
          <cell r="N22">
            <v>2311</v>
          </cell>
          <cell r="O22">
            <v>0</v>
          </cell>
          <cell r="P22">
            <v>0</v>
          </cell>
          <cell r="Q22">
            <v>0</v>
          </cell>
          <cell r="R22">
            <v>1510510000</v>
          </cell>
          <cell r="S22">
            <v>262112760</v>
          </cell>
          <cell r="T22">
            <v>0</v>
          </cell>
        </row>
        <row r="23">
          <cell r="A23">
            <v>0</v>
          </cell>
          <cell r="B23" t="str">
            <v>Tỉnh</v>
          </cell>
          <cell r="C23">
            <v>0</v>
          </cell>
          <cell r="D23" t="str">
            <v>Cấp 0</v>
          </cell>
          <cell r="E23">
            <v>1075</v>
          </cell>
          <cell r="F23">
            <v>45096</v>
          </cell>
          <cell r="G23" t="str">
            <v>01</v>
          </cell>
          <cell r="H23">
            <v>9213</v>
          </cell>
          <cell r="I23">
            <v>2</v>
          </cell>
          <cell r="J23">
            <v>2997906</v>
          </cell>
          <cell r="K23">
            <v>999</v>
          </cell>
          <cell r="L23" t="str">
            <v>340</v>
          </cell>
          <cell r="M23" t="str">
            <v>99999</v>
          </cell>
          <cell r="N23">
            <v>2311</v>
          </cell>
          <cell r="O23">
            <v>29</v>
          </cell>
          <cell r="P23">
            <v>203</v>
          </cell>
          <cell r="Q23">
            <v>220000000</v>
          </cell>
          <cell r="R23">
            <v>0</v>
          </cell>
          <cell r="S23">
            <v>0</v>
          </cell>
          <cell r="T23">
            <v>0</v>
          </cell>
        </row>
        <row r="24">
          <cell r="A24">
            <v>0</v>
          </cell>
          <cell r="B24" t="str">
            <v>Tỉnh</v>
          </cell>
          <cell r="C24">
            <v>0</v>
          </cell>
          <cell r="D24" t="str">
            <v>Cấp 0</v>
          </cell>
          <cell r="E24">
            <v>1075</v>
          </cell>
          <cell r="F24">
            <v>45096</v>
          </cell>
          <cell r="G24" t="str">
            <v>01</v>
          </cell>
          <cell r="H24">
            <v>9233</v>
          </cell>
          <cell r="I24">
            <v>2</v>
          </cell>
          <cell r="J24">
            <v>2997906</v>
          </cell>
          <cell r="K24">
            <v>999</v>
          </cell>
          <cell r="L24">
            <v>437</v>
          </cell>
          <cell r="M24">
            <v>99999</v>
          </cell>
          <cell r="N24">
            <v>2311</v>
          </cell>
          <cell r="O24">
            <v>29</v>
          </cell>
          <cell r="P24">
            <v>201</v>
          </cell>
          <cell r="Q24">
            <v>1290510000</v>
          </cell>
          <cell r="R24">
            <v>0</v>
          </cell>
          <cell r="S24">
            <v>0</v>
          </cell>
          <cell r="T24">
            <v>0</v>
          </cell>
        </row>
        <row r="25">
          <cell r="A25" t="str">
            <v>T65</v>
          </cell>
          <cell r="B25" t="str">
            <v>Điều chỉnh kế hoạch đầu tư công năm 2023 (lần 2) và phân bổ kế hoạch vốn năm 2022 kéo dài thời gian thực hiện, giải ngân sang năm 2023 nguồn vốn ngân sách địa phương</v>
          </cell>
          <cell r="C25">
            <v>0</v>
          </cell>
          <cell r="D25">
            <v>0</v>
          </cell>
          <cell r="E25">
            <v>1053</v>
          </cell>
          <cell r="F25">
            <v>45092</v>
          </cell>
          <cell r="G25" t="str">
            <v>01</v>
          </cell>
          <cell r="H25">
            <v>9111</v>
          </cell>
          <cell r="I25">
            <v>0</v>
          </cell>
          <cell r="J25">
            <v>0</v>
          </cell>
          <cell r="K25">
            <v>0</v>
          </cell>
          <cell r="L25">
            <v>0</v>
          </cell>
          <cell r="M25">
            <v>0</v>
          </cell>
          <cell r="N25">
            <v>2311</v>
          </cell>
          <cell r="O25">
            <v>0</v>
          </cell>
          <cell r="P25">
            <v>0</v>
          </cell>
          <cell r="Q25">
            <v>0</v>
          </cell>
          <cell r="R25">
            <v>50515000000</v>
          </cell>
          <cell r="S25">
            <v>0</v>
          </cell>
          <cell r="T25">
            <v>0</v>
          </cell>
        </row>
        <row r="26">
          <cell r="A26">
            <v>0</v>
          </cell>
          <cell r="B26" t="str">
            <v>Tỉnh</v>
          </cell>
          <cell r="C26">
            <v>0</v>
          </cell>
          <cell r="D26" t="str">
            <v>Cấp 0</v>
          </cell>
          <cell r="E26">
            <v>1053</v>
          </cell>
          <cell r="F26">
            <v>0</v>
          </cell>
          <cell r="G26" t="str">
            <v>01</v>
          </cell>
          <cell r="H26">
            <v>9216</v>
          </cell>
          <cell r="I26">
            <v>2</v>
          </cell>
          <cell r="J26">
            <v>2997906</v>
          </cell>
          <cell r="K26">
            <v>999</v>
          </cell>
          <cell r="L26">
            <v>280</v>
          </cell>
          <cell r="M26" t="str">
            <v>99999</v>
          </cell>
          <cell r="N26">
            <v>2311</v>
          </cell>
          <cell r="O26">
            <v>54</v>
          </cell>
          <cell r="P26" t="str">
            <v>000</v>
          </cell>
          <cell r="Q26">
            <v>23863000000</v>
          </cell>
          <cell r="R26">
            <v>0</v>
          </cell>
          <cell r="S26">
            <v>258990263</v>
          </cell>
          <cell r="T26">
            <v>0</v>
          </cell>
        </row>
        <row r="27">
          <cell r="A27">
            <v>0</v>
          </cell>
          <cell r="B27" t="str">
            <v>Tỉnh</v>
          </cell>
          <cell r="C27">
            <v>0</v>
          </cell>
          <cell r="D27" t="str">
            <v>Cấp 0</v>
          </cell>
          <cell r="E27">
            <v>1053</v>
          </cell>
          <cell r="F27">
            <v>0</v>
          </cell>
          <cell r="G27" t="str">
            <v>01</v>
          </cell>
          <cell r="H27">
            <v>9216</v>
          </cell>
          <cell r="I27">
            <v>2</v>
          </cell>
          <cell r="J27">
            <v>2997906</v>
          </cell>
          <cell r="K27">
            <v>999</v>
          </cell>
          <cell r="L27" t="str">
            <v>070</v>
          </cell>
          <cell r="M27" t="str">
            <v>99999</v>
          </cell>
          <cell r="N27">
            <v>2311</v>
          </cell>
          <cell r="O27">
            <v>45</v>
          </cell>
          <cell r="P27" t="str">
            <v>202</v>
          </cell>
          <cell r="Q27">
            <v>2332000000</v>
          </cell>
          <cell r="R27">
            <v>0</v>
          </cell>
          <cell r="S27">
            <v>259200816</v>
          </cell>
          <cell r="T27">
            <v>0</v>
          </cell>
        </row>
        <row r="28">
          <cell r="A28">
            <v>0</v>
          </cell>
          <cell r="B28" t="str">
            <v>Tỉnh</v>
          </cell>
          <cell r="C28">
            <v>0</v>
          </cell>
          <cell r="D28" t="str">
            <v>Cấp 0</v>
          </cell>
          <cell r="E28">
            <v>1053</v>
          </cell>
          <cell r="F28">
            <v>0</v>
          </cell>
          <cell r="G28" t="str">
            <v>01</v>
          </cell>
          <cell r="H28">
            <v>9216</v>
          </cell>
          <cell r="I28">
            <v>2</v>
          </cell>
          <cell r="J28">
            <v>2997906</v>
          </cell>
          <cell r="K28">
            <v>999</v>
          </cell>
          <cell r="L28">
            <v>280</v>
          </cell>
          <cell r="M28" t="str">
            <v>99999</v>
          </cell>
          <cell r="N28">
            <v>2311</v>
          </cell>
          <cell r="O28">
            <v>44</v>
          </cell>
          <cell r="P28" t="str">
            <v>203</v>
          </cell>
          <cell r="Q28">
            <v>24320000000</v>
          </cell>
          <cell r="R28">
            <v>0</v>
          </cell>
          <cell r="S28">
            <v>0</v>
          </cell>
          <cell r="T28">
            <v>0</v>
          </cell>
        </row>
      </sheetData>
      <sheetData sheetId="28"/>
      <sheetData sheetId="29"/>
      <sheetData sheetId="30"/>
      <sheetData sheetId="31"/>
      <sheetData sheetId="32"/>
      <sheetData sheetId="33"/>
      <sheetData sheetId="34"/>
      <sheetData sheetId="35"/>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iểu 1"/>
      <sheetName val="Biẻu 27 CĐNS"/>
      <sheetName val="Bieu 28 TW trong nuoc"/>
      <sheetName val="Biểu 4 ODA"/>
      <sheetName val="Biểu 29 ODA"/>
      <sheetName val="Biểu 30 CTMTQG giảm nghèo"/>
      <sheetName val="Biểu 31 CTMTQG DTTS"/>
      <sheetName val="Bieu 32 NTM"/>
      <sheetName val="Sheet1"/>
    </sheetNames>
    <sheetDataSet>
      <sheetData sheetId="0"/>
      <sheetData sheetId="1">
        <row r="151">
          <cell r="AA151">
            <v>71200</v>
          </cell>
        </row>
      </sheetData>
      <sheetData sheetId="2"/>
      <sheetData sheetId="3"/>
      <sheetData sheetId="4"/>
      <sheetData sheetId="5"/>
      <sheetData sheetId="6"/>
      <sheetData sheetId="7"/>
      <sheetData sheetId="8"/>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iểu 1"/>
      <sheetName val="Dự thảo"/>
      <sheetName val="Biểu 4 ODA"/>
      <sheetName val="Sheet1"/>
    </sheetNames>
    <sheetDataSet>
      <sheetData sheetId="0"/>
      <sheetData sheetId="1">
        <row r="36">
          <cell r="B36" t="str">
            <v>Hạ tầng kỹ thuật trung tâm thị trấn Chợ Rã, huyện Ba Bể</v>
          </cell>
        </row>
      </sheetData>
      <sheetData sheetId="2"/>
      <sheetData sheetId="3"/>
    </sheetDataSet>
  </externalBook>
</externalLink>
</file>

<file path=xl/theme/theme1.xml><?xml version="1.0" encoding="utf-8"?>
<a:theme xmlns:a="http://schemas.openxmlformats.org/drawingml/2006/main" name="Chủ đề của Office">
  <a:themeElements>
    <a:clrScheme name="Văn phòng">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Văn phòng">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Văn phòng">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2.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2.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6.vml"/></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5" x14ac:dyDescent="0.25"/>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C4:C76"/>
  <sheetViews>
    <sheetView zoomScale="145" zoomScaleNormal="145" workbookViewId="0">
      <selection activeCell="C11" sqref="C11"/>
    </sheetView>
  </sheetViews>
  <sheetFormatPr defaultRowHeight="12.5" x14ac:dyDescent="0.25"/>
  <cols>
    <col min="3" max="3" width="90.1796875" customWidth="1"/>
    <col min="4" max="4" width="15.26953125" customWidth="1"/>
  </cols>
  <sheetData>
    <row r="4" spans="3:3" x14ac:dyDescent="0.25">
      <c r="C4" s="399"/>
    </row>
    <row r="5" spans="3:3" x14ac:dyDescent="0.25">
      <c r="C5" s="399"/>
    </row>
    <row r="6" spans="3:3" x14ac:dyDescent="0.25">
      <c r="C6" s="399"/>
    </row>
    <row r="7" spans="3:3" x14ac:dyDescent="0.25">
      <c r="C7" s="399"/>
    </row>
    <row r="8" spans="3:3" x14ac:dyDescent="0.25">
      <c r="C8" s="399"/>
    </row>
    <row r="9" spans="3:3" x14ac:dyDescent="0.25">
      <c r="C9" s="399"/>
    </row>
    <row r="10" spans="3:3" x14ac:dyDescent="0.25">
      <c r="C10" s="399"/>
    </row>
    <row r="11" spans="3:3" x14ac:dyDescent="0.25">
      <c r="C11" s="399"/>
    </row>
    <row r="12" spans="3:3" x14ac:dyDescent="0.25">
      <c r="C12" s="399"/>
    </row>
    <row r="13" spans="3:3" x14ac:dyDescent="0.25">
      <c r="C13" s="399"/>
    </row>
    <row r="14" spans="3:3" x14ac:dyDescent="0.25">
      <c r="C14" s="267"/>
    </row>
    <row r="15" spans="3:3" x14ac:dyDescent="0.25">
      <c r="C15" s="399"/>
    </row>
    <row r="16" spans="3:3" x14ac:dyDescent="0.25">
      <c r="C16" s="399"/>
    </row>
    <row r="17" spans="3:3" x14ac:dyDescent="0.25">
      <c r="C17" s="399"/>
    </row>
    <row r="18" spans="3:3" x14ac:dyDescent="0.25">
      <c r="C18" s="399"/>
    </row>
    <row r="19" spans="3:3" x14ac:dyDescent="0.25">
      <c r="C19" s="399"/>
    </row>
    <row r="20" spans="3:3" x14ac:dyDescent="0.25">
      <c r="C20" s="399"/>
    </row>
    <row r="21" spans="3:3" x14ac:dyDescent="0.25">
      <c r="C21" s="399"/>
    </row>
    <row r="22" spans="3:3" x14ac:dyDescent="0.25">
      <c r="C22" s="399"/>
    </row>
    <row r="23" spans="3:3" x14ac:dyDescent="0.25">
      <c r="C23" s="399"/>
    </row>
    <row r="24" spans="3:3" x14ac:dyDescent="0.25">
      <c r="C24" s="399"/>
    </row>
    <row r="25" spans="3:3" x14ac:dyDescent="0.25">
      <c r="C25" s="399"/>
    </row>
    <row r="26" spans="3:3" x14ac:dyDescent="0.25">
      <c r="C26" s="399"/>
    </row>
    <row r="27" spans="3:3" x14ac:dyDescent="0.25">
      <c r="C27" s="399"/>
    </row>
    <row r="28" spans="3:3" x14ac:dyDescent="0.25">
      <c r="C28" s="399"/>
    </row>
    <row r="29" spans="3:3" x14ac:dyDescent="0.25">
      <c r="C29" s="399"/>
    </row>
    <row r="30" spans="3:3" x14ac:dyDescent="0.25">
      <c r="C30" s="399"/>
    </row>
    <row r="31" spans="3:3" x14ac:dyDescent="0.25">
      <c r="C31" s="399"/>
    </row>
    <row r="32" spans="3:3" x14ac:dyDescent="0.25">
      <c r="C32" s="399"/>
    </row>
    <row r="33" spans="3:3" x14ac:dyDescent="0.25">
      <c r="C33" s="399"/>
    </row>
    <row r="34" spans="3:3" x14ac:dyDescent="0.25">
      <c r="C34" s="399"/>
    </row>
    <row r="35" spans="3:3" x14ac:dyDescent="0.25">
      <c r="C35" s="399"/>
    </row>
    <row r="36" spans="3:3" x14ac:dyDescent="0.25">
      <c r="C36" s="399"/>
    </row>
    <row r="37" spans="3:3" x14ac:dyDescent="0.25">
      <c r="C37" s="399"/>
    </row>
    <row r="38" spans="3:3" x14ac:dyDescent="0.25">
      <c r="C38" s="399"/>
    </row>
    <row r="39" spans="3:3" x14ac:dyDescent="0.25">
      <c r="C39" s="399"/>
    </row>
    <row r="40" spans="3:3" x14ac:dyDescent="0.25">
      <c r="C40" s="399"/>
    </row>
    <row r="41" spans="3:3" x14ac:dyDescent="0.25">
      <c r="C41" s="399"/>
    </row>
    <row r="42" spans="3:3" x14ac:dyDescent="0.25">
      <c r="C42" s="399"/>
    </row>
    <row r="43" spans="3:3" x14ac:dyDescent="0.25">
      <c r="C43" s="399"/>
    </row>
    <row r="44" spans="3:3" x14ac:dyDescent="0.25">
      <c r="C44" s="399"/>
    </row>
    <row r="45" spans="3:3" x14ac:dyDescent="0.25">
      <c r="C45" s="399"/>
    </row>
    <row r="46" spans="3:3" x14ac:dyDescent="0.25">
      <c r="C46" s="399"/>
    </row>
    <row r="47" spans="3:3" x14ac:dyDescent="0.25">
      <c r="C47" s="399"/>
    </row>
    <row r="48" spans="3:3" x14ac:dyDescent="0.25">
      <c r="C48" s="399"/>
    </row>
    <row r="49" spans="3:3" x14ac:dyDescent="0.25">
      <c r="C49" s="399"/>
    </row>
    <row r="50" spans="3:3" x14ac:dyDescent="0.25">
      <c r="C50" s="399"/>
    </row>
    <row r="51" spans="3:3" x14ac:dyDescent="0.25">
      <c r="C51" s="399"/>
    </row>
    <row r="52" spans="3:3" x14ac:dyDescent="0.25">
      <c r="C52" s="399"/>
    </row>
    <row r="53" spans="3:3" x14ac:dyDescent="0.25">
      <c r="C53" s="399"/>
    </row>
    <row r="54" spans="3:3" x14ac:dyDescent="0.25">
      <c r="C54" s="399"/>
    </row>
    <row r="55" spans="3:3" x14ac:dyDescent="0.25">
      <c r="C55" s="399"/>
    </row>
    <row r="56" spans="3:3" x14ac:dyDescent="0.25">
      <c r="C56" s="399"/>
    </row>
    <row r="57" spans="3:3" x14ac:dyDescent="0.25">
      <c r="C57" s="399"/>
    </row>
    <row r="58" spans="3:3" x14ac:dyDescent="0.25">
      <c r="C58" s="399"/>
    </row>
    <row r="59" spans="3:3" x14ac:dyDescent="0.25">
      <c r="C59" s="399"/>
    </row>
    <row r="60" spans="3:3" x14ac:dyDescent="0.25">
      <c r="C60" s="399"/>
    </row>
    <row r="61" spans="3:3" x14ac:dyDescent="0.25">
      <c r="C61" s="399"/>
    </row>
    <row r="62" spans="3:3" x14ac:dyDescent="0.25">
      <c r="C62" s="399"/>
    </row>
    <row r="63" spans="3:3" x14ac:dyDescent="0.25">
      <c r="C63" s="399"/>
    </row>
    <row r="64" spans="3:3" x14ac:dyDescent="0.25">
      <c r="C64" s="399"/>
    </row>
    <row r="65" spans="3:3" x14ac:dyDescent="0.25">
      <c r="C65" s="399"/>
    </row>
    <row r="66" spans="3:3" x14ac:dyDescent="0.25">
      <c r="C66" s="399"/>
    </row>
    <row r="67" spans="3:3" x14ac:dyDescent="0.25">
      <c r="C67" s="399"/>
    </row>
    <row r="68" spans="3:3" x14ac:dyDescent="0.25">
      <c r="C68" s="399"/>
    </row>
    <row r="69" spans="3:3" x14ac:dyDescent="0.25">
      <c r="C69" s="399"/>
    </row>
    <row r="70" spans="3:3" x14ac:dyDescent="0.25">
      <c r="C70" s="399"/>
    </row>
    <row r="71" spans="3:3" x14ac:dyDescent="0.25">
      <c r="C71" s="399"/>
    </row>
    <row r="72" spans="3:3" x14ac:dyDescent="0.25">
      <c r="C72" s="399"/>
    </row>
    <row r="73" spans="3:3" x14ac:dyDescent="0.25">
      <c r="C73" s="399"/>
    </row>
    <row r="74" spans="3:3" x14ac:dyDescent="0.25">
      <c r="C74" s="399"/>
    </row>
    <row r="75" spans="3:3" x14ac:dyDescent="0.25">
      <c r="C75" s="399"/>
    </row>
    <row r="76" spans="3:3" x14ac:dyDescent="0.25">
      <c r="C76" s="399"/>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L20"/>
  <sheetViews>
    <sheetView zoomScale="145" zoomScaleNormal="145" workbookViewId="0">
      <selection activeCell="B10" sqref="B10:B11"/>
    </sheetView>
  </sheetViews>
  <sheetFormatPr defaultRowHeight="12.5" x14ac:dyDescent="0.25"/>
  <cols>
    <col min="1" max="1" width="9.1796875" style="83"/>
    <col min="2" max="2" width="51.54296875" customWidth="1"/>
    <col min="3" max="3" width="23" customWidth="1"/>
    <col min="4" max="4" width="23" hidden="1" customWidth="1"/>
    <col min="5" max="12" width="13.54296875" hidden="1" customWidth="1"/>
  </cols>
  <sheetData>
    <row r="1" spans="1:12" ht="21.75" customHeight="1" x14ac:dyDescent="0.35">
      <c r="A1" s="880" t="s">
        <v>478</v>
      </c>
      <c r="B1" s="880"/>
      <c r="C1" s="880"/>
    </row>
    <row r="2" spans="1:12" ht="17.5" x14ac:dyDescent="0.35">
      <c r="A2" s="443"/>
      <c r="B2" s="443"/>
      <c r="C2" s="443"/>
    </row>
    <row r="3" spans="1:12" ht="13" x14ac:dyDescent="0.3">
      <c r="C3" s="478" t="s">
        <v>3</v>
      </c>
    </row>
    <row r="4" spans="1:12" s="83" customFormat="1" ht="17.5" x14ac:dyDescent="0.35">
      <c r="A4" s="470" t="s">
        <v>0</v>
      </c>
      <c r="B4" s="470" t="s">
        <v>13</v>
      </c>
      <c r="C4" s="470" t="s">
        <v>464</v>
      </c>
      <c r="D4" s="443"/>
    </row>
    <row r="5" spans="1:12" ht="18" x14ac:dyDescent="0.4">
      <c r="A5" s="470">
        <v>1</v>
      </c>
      <c r="B5" s="468" t="s">
        <v>465</v>
      </c>
      <c r="C5" s="467"/>
      <c r="D5" s="59"/>
    </row>
    <row r="6" spans="1:12" ht="18" x14ac:dyDescent="0.4">
      <c r="A6" s="469" t="s">
        <v>466</v>
      </c>
      <c r="B6" s="467" t="s">
        <v>467</v>
      </c>
      <c r="C6" s="475">
        <f>D6+C7</f>
        <v>135903</v>
      </c>
      <c r="D6" s="472">
        <f>SUM(E6:L6)</f>
        <v>56438</v>
      </c>
      <c r="E6" s="471">
        <v>7020</v>
      </c>
      <c r="F6" s="471">
        <v>5547</v>
      </c>
      <c r="G6" s="471">
        <v>6334</v>
      </c>
      <c r="H6" s="471">
        <v>8439</v>
      </c>
      <c r="I6" s="471">
        <v>7955</v>
      </c>
      <c r="J6" s="471">
        <v>5906</v>
      </c>
      <c r="K6" s="471">
        <v>8287</v>
      </c>
      <c r="L6" s="471">
        <v>6950</v>
      </c>
    </row>
    <row r="7" spans="1:12" ht="18" x14ac:dyDescent="0.4">
      <c r="A7" s="469" t="s">
        <v>468</v>
      </c>
      <c r="B7" s="467" t="s">
        <v>469</v>
      </c>
      <c r="C7" s="471">
        <v>79465</v>
      </c>
      <c r="D7" s="472">
        <f>SUM(E7:L7)</f>
        <v>0</v>
      </c>
    </row>
    <row r="8" spans="1:12" ht="18" x14ac:dyDescent="0.4">
      <c r="A8" s="469" t="s">
        <v>466</v>
      </c>
      <c r="B8" s="467" t="s">
        <v>470</v>
      </c>
      <c r="C8" s="475">
        <f>C9+D8</f>
        <v>41060.003970000005</v>
      </c>
      <c r="D8" s="472">
        <f>SUM(E8:L8)</f>
        <v>19943.221970000002</v>
      </c>
      <c r="E8" s="471">
        <f t="shared" ref="E8:L8" si="0">E6-E12</f>
        <v>885.30000000000018</v>
      </c>
      <c r="F8" s="471">
        <f t="shared" si="0"/>
        <v>1294.7799999999997</v>
      </c>
      <c r="G8" s="471">
        <f t="shared" si="0"/>
        <v>4551.9799999999996</v>
      </c>
      <c r="H8" s="471">
        <f t="shared" si="0"/>
        <v>5309.8759700000028</v>
      </c>
      <c r="I8" s="471">
        <f t="shared" si="0"/>
        <v>604.32999999999993</v>
      </c>
      <c r="J8" s="471">
        <f t="shared" si="0"/>
        <v>499.83500000000004</v>
      </c>
      <c r="K8" s="471">
        <f t="shared" si="0"/>
        <v>2573</v>
      </c>
      <c r="L8" s="471">
        <f t="shared" si="0"/>
        <v>4224.1210000000001</v>
      </c>
    </row>
    <row r="9" spans="1:12" ht="18" x14ac:dyDescent="0.4">
      <c r="A9" s="469" t="s">
        <v>468</v>
      </c>
      <c r="B9" s="467" t="s">
        <v>469</v>
      </c>
      <c r="C9" s="471">
        <v>21116.782000000003</v>
      </c>
      <c r="D9" s="472">
        <f>SUM(E9:L9)</f>
        <v>0</v>
      </c>
      <c r="F9" s="471"/>
      <c r="J9" s="471"/>
      <c r="K9" s="471"/>
      <c r="L9" s="471"/>
    </row>
    <row r="10" spans="1:12" ht="18" x14ac:dyDescent="0.4">
      <c r="A10" s="469" t="s">
        <v>466</v>
      </c>
      <c r="B10" s="467" t="s">
        <v>476</v>
      </c>
      <c r="C10" s="475">
        <v>94842.996029999995</v>
      </c>
      <c r="D10" s="472"/>
      <c r="F10" s="471"/>
      <c r="J10" s="471"/>
      <c r="K10" s="471"/>
      <c r="L10" s="471"/>
    </row>
    <row r="11" spans="1:12" ht="18" x14ac:dyDescent="0.4">
      <c r="A11" s="469" t="s">
        <v>468</v>
      </c>
      <c r="B11" s="467" t="s">
        <v>469</v>
      </c>
      <c r="C11" s="472">
        <v>58348.217999999993</v>
      </c>
      <c r="D11" s="472"/>
      <c r="F11" s="471"/>
      <c r="J11" s="471"/>
      <c r="K11" s="471"/>
      <c r="L11" s="471"/>
    </row>
    <row r="12" spans="1:12" ht="18" x14ac:dyDescent="0.4">
      <c r="A12" s="469" t="s">
        <v>466</v>
      </c>
      <c r="B12" s="467" t="s">
        <v>471</v>
      </c>
      <c r="C12" s="475">
        <f>C13+D12</f>
        <v>94842.996029999995</v>
      </c>
      <c r="D12" s="472">
        <f>SUM(E12:L12)</f>
        <v>36494.778030000001</v>
      </c>
      <c r="E12" s="471">
        <f>7143.5-958.8-50</f>
        <v>6134.7</v>
      </c>
      <c r="F12" s="471">
        <v>4252.22</v>
      </c>
      <c r="G12" s="471">
        <v>1782.02</v>
      </c>
      <c r="H12" s="471">
        <v>3129.1240299999972</v>
      </c>
      <c r="I12" s="471">
        <v>7350.67</v>
      </c>
      <c r="J12" s="471">
        <v>5406.165</v>
      </c>
      <c r="K12" s="471">
        <v>5714</v>
      </c>
      <c r="L12" s="471">
        <v>2725.8789999999999</v>
      </c>
    </row>
    <row r="13" spans="1:12" ht="18" x14ac:dyDescent="0.4">
      <c r="A13" s="469" t="s">
        <v>468</v>
      </c>
      <c r="B13" s="467" t="s">
        <v>469</v>
      </c>
      <c r="C13" s="472">
        <f>C7-C9</f>
        <v>58348.217999999993</v>
      </c>
      <c r="D13" s="474"/>
    </row>
    <row r="14" spans="1:12" ht="18" x14ac:dyDescent="0.4">
      <c r="A14" s="470">
        <v>2</v>
      </c>
      <c r="B14" s="468" t="s">
        <v>472</v>
      </c>
      <c r="C14" s="467"/>
      <c r="D14" s="59"/>
    </row>
    <row r="15" spans="1:12" ht="18" x14ac:dyDescent="0.4">
      <c r="A15" s="469" t="s">
        <v>466</v>
      </c>
      <c r="B15" s="467" t="s">
        <v>473</v>
      </c>
      <c r="C15" s="472">
        <v>114732.76291</v>
      </c>
      <c r="D15" s="474"/>
    </row>
    <row r="16" spans="1:12" ht="36" x14ac:dyDescent="0.4">
      <c r="A16" s="469" t="s">
        <v>466</v>
      </c>
      <c r="B16" s="476" t="s">
        <v>477</v>
      </c>
      <c r="C16" s="477">
        <f>1546.25291+47.780488</f>
        <v>1594.033398</v>
      </c>
      <c r="D16" s="474"/>
    </row>
    <row r="17" spans="1:6" ht="18" x14ac:dyDescent="0.4">
      <c r="A17" s="469" t="s">
        <v>466</v>
      </c>
      <c r="B17" s="467" t="s">
        <v>474</v>
      </c>
      <c r="C17" s="472">
        <f>C15+C16</f>
        <v>116326.796308</v>
      </c>
      <c r="D17" s="474"/>
      <c r="F17" s="473"/>
    </row>
    <row r="18" spans="1:6" ht="18" x14ac:dyDescent="0.4">
      <c r="A18" s="469" t="s">
        <v>466</v>
      </c>
      <c r="B18" s="467" t="s">
        <v>475</v>
      </c>
      <c r="C18" s="472">
        <f>C17*0.7</f>
        <v>81428.757415600005</v>
      </c>
      <c r="D18" s="474"/>
    </row>
    <row r="19" spans="1:6" ht="18" x14ac:dyDescent="0.4">
      <c r="A19" s="469" t="s">
        <v>466</v>
      </c>
      <c r="B19" s="467" t="s">
        <v>470</v>
      </c>
      <c r="C19" s="467"/>
      <c r="D19" s="59"/>
    </row>
    <row r="20" spans="1:6" ht="18" x14ac:dyDescent="0.4">
      <c r="A20" s="469" t="s">
        <v>466</v>
      </c>
      <c r="B20" s="467" t="s">
        <v>476</v>
      </c>
      <c r="C20" s="472">
        <f>C18</f>
        <v>81428.757415600005</v>
      </c>
      <c r="D20" s="474"/>
    </row>
  </sheetData>
  <mergeCells count="1">
    <mergeCell ref="A1:C1"/>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dimension ref="A1:Z113"/>
  <sheetViews>
    <sheetView workbookViewId="0">
      <selection activeCell="F32" sqref="F32"/>
    </sheetView>
  </sheetViews>
  <sheetFormatPr defaultColWidth="15.1796875" defaultRowHeight="13" x14ac:dyDescent="0.3"/>
  <cols>
    <col min="1" max="1" width="4.81640625" style="62" customWidth="1"/>
    <col min="2" max="2" width="46" style="92" customWidth="1"/>
    <col min="3" max="3" width="10.7265625" style="92" customWidth="1"/>
    <col min="4" max="4" width="10.26953125" style="92" customWidth="1"/>
    <col min="5" max="5" width="11.7265625" style="92" customWidth="1"/>
    <col min="6" max="7" width="10.7265625" style="91" customWidth="1"/>
    <col min="8" max="8" width="13.1796875" style="91" customWidth="1"/>
    <col min="9" max="10" width="12.7265625" style="91" customWidth="1"/>
    <col min="11" max="11" width="40.1796875" style="62" customWidth="1"/>
    <col min="12" max="24" width="9.1796875" style="528" hidden="1" customWidth="1"/>
    <col min="25" max="16384" width="15.1796875" style="92"/>
  </cols>
  <sheetData>
    <row r="1" spans="1:26" s="89" customFormat="1" ht="22.5" customHeight="1" x14ac:dyDescent="0.3">
      <c r="A1" s="893" t="s">
        <v>462</v>
      </c>
      <c r="B1" s="893"/>
      <c r="C1" s="893"/>
      <c r="D1" s="893"/>
      <c r="E1" s="893"/>
      <c r="F1" s="893"/>
      <c r="G1" s="893"/>
      <c r="H1" s="893"/>
      <c r="I1" s="893"/>
      <c r="J1" s="893"/>
      <c r="K1" s="893"/>
      <c r="L1" s="523"/>
      <c r="M1" s="524"/>
      <c r="N1" s="524"/>
      <c r="O1" s="524"/>
      <c r="P1" s="524"/>
      <c r="Q1" s="524"/>
      <c r="R1" s="524"/>
      <c r="S1" s="524"/>
      <c r="T1" s="524"/>
      <c r="U1" s="524"/>
      <c r="V1" s="524"/>
      <c r="W1" s="524"/>
      <c r="X1" s="524"/>
    </row>
    <row r="2" spans="1:26" s="89" customFormat="1" ht="15.65" customHeight="1" x14ac:dyDescent="0.35">
      <c r="A2" s="95"/>
      <c r="B2" s="95"/>
      <c r="C2" s="95"/>
      <c r="D2" s="95"/>
      <c r="E2" s="95"/>
      <c r="F2" s="239"/>
      <c r="G2" s="239"/>
      <c r="H2" s="240"/>
      <c r="I2" s="894" t="s">
        <v>3</v>
      </c>
      <c r="J2" s="894"/>
      <c r="K2" s="894"/>
      <c r="L2" s="523"/>
      <c r="M2" s="524"/>
      <c r="N2" s="524"/>
      <c r="O2" s="524"/>
      <c r="P2" s="524"/>
      <c r="Q2" s="524"/>
      <c r="R2" s="524"/>
      <c r="S2" s="524"/>
      <c r="T2" s="524"/>
      <c r="U2" s="524"/>
      <c r="V2" s="524"/>
      <c r="W2" s="524"/>
      <c r="X2" s="524"/>
    </row>
    <row r="3" spans="1:26" s="77" customFormat="1" ht="34" customHeight="1" x14ac:dyDescent="0.3">
      <c r="A3" s="895" t="s">
        <v>0</v>
      </c>
      <c r="B3" s="895" t="s">
        <v>1</v>
      </c>
      <c r="C3" s="895" t="s">
        <v>18</v>
      </c>
      <c r="D3" s="897" t="s">
        <v>408</v>
      </c>
      <c r="E3" s="898"/>
      <c r="F3" s="899" t="s">
        <v>228</v>
      </c>
      <c r="G3" s="444"/>
      <c r="H3" s="899" t="s">
        <v>320</v>
      </c>
      <c r="I3" s="899" t="s">
        <v>206</v>
      </c>
      <c r="J3" s="537"/>
      <c r="K3" s="901" t="s">
        <v>2</v>
      </c>
      <c r="L3" s="525"/>
      <c r="M3" s="526"/>
      <c r="N3" s="526"/>
      <c r="O3" s="526"/>
      <c r="P3" s="526"/>
      <c r="Q3" s="526"/>
      <c r="R3" s="526"/>
      <c r="S3" s="526"/>
      <c r="T3" s="526"/>
      <c r="U3" s="526"/>
      <c r="V3" s="526"/>
      <c r="W3" s="526"/>
      <c r="X3" s="526"/>
    </row>
    <row r="4" spans="1:26" s="77" customFormat="1" ht="29.25" customHeight="1" x14ac:dyDescent="0.3">
      <c r="A4" s="896"/>
      <c r="B4" s="896"/>
      <c r="C4" s="896"/>
      <c r="D4" s="330" t="s">
        <v>392</v>
      </c>
      <c r="E4" s="330" t="s">
        <v>393</v>
      </c>
      <c r="F4" s="900"/>
      <c r="G4" s="445"/>
      <c r="H4" s="900"/>
      <c r="I4" s="900"/>
      <c r="J4" s="538"/>
      <c r="K4" s="902"/>
      <c r="L4" s="525"/>
      <c r="M4" s="526"/>
      <c r="N4" s="526"/>
      <c r="O4" s="526"/>
      <c r="P4" s="526"/>
      <c r="Q4" s="526"/>
      <c r="R4" s="526"/>
      <c r="S4" s="526"/>
      <c r="T4" s="526"/>
      <c r="U4" s="526"/>
      <c r="V4" s="526"/>
      <c r="W4" s="526"/>
      <c r="X4" s="526"/>
    </row>
    <row r="5" spans="1:26" s="77" customFormat="1" ht="20.5" customHeight="1" x14ac:dyDescent="0.3">
      <c r="A5" s="424"/>
      <c r="B5" s="424" t="s">
        <v>360</v>
      </c>
      <c r="C5" s="358"/>
      <c r="D5" s="358"/>
      <c r="E5" s="358"/>
      <c r="F5" s="358"/>
      <c r="G5" s="358"/>
      <c r="H5" s="358"/>
      <c r="I5" s="358"/>
      <c r="J5" s="539"/>
      <c r="K5" s="502"/>
      <c r="L5" s="525"/>
      <c r="M5" s="526"/>
      <c r="N5" s="526"/>
      <c r="O5" s="526"/>
      <c r="P5" s="526"/>
      <c r="Q5" s="526"/>
      <c r="R5" s="526"/>
      <c r="S5" s="526"/>
      <c r="T5" s="526"/>
      <c r="U5" s="526"/>
      <c r="V5" s="526"/>
      <c r="W5" s="526"/>
      <c r="X5" s="526"/>
    </row>
    <row r="6" spans="1:26" s="501" customFormat="1" ht="22" customHeight="1" x14ac:dyDescent="0.3">
      <c r="A6" s="575" t="s">
        <v>222</v>
      </c>
      <c r="B6" s="576" t="s">
        <v>458</v>
      </c>
      <c r="C6" s="577"/>
      <c r="D6" s="577"/>
      <c r="E6" s="577"/>
      <c r="F6" s="577"/>
      <c r="G6" s="577"/>
      <c r="H6" s="577"/>
      <c r="I6" s="577"/>
      <c r="J6" s="578"/>
      <c r="K6" s="574"/>
      <c r="L6" s="535"/>
      <c r="M6" s="536"/>
      <c r="N6" s="536"/>
      <c r="O6" s="536"/>
      <c r="P6" s="536"/>
      <c r="Q6" s="536"/>
      <c r="R6" s="536"/>
      <c r="S6" s="536"/>
      <c r="T6" s="536"/>
      <c r="U6" s="536"/>
      <c r="V6" s="536"/>
      <c r="W6" s="536"/>
      <c r="X6" s="536"/>
    </row>
    <row r="7" spans="1:26" s="89" customFormat="1" ht="19.5" customHeight="1" x14ac:dyDescent="0.3">
      <c r="A7" s="337" t="s">
        <v>4</v>
      </c>
      <c r="B7" s="344" t="s">
        <v>223</v>
      </c>
      <c r="C7" s="339"/>
      <c r="D7" s="339"/>
      <c r="E7" s="339"/>
      <c r="F7" s="339"/>
      <c r="G7" s="339"/>
      <c r="H7" s="339"/>
      <c r="I7" s="339"/>
      <c r="J7" s="540"/>
      <c r="K7" s="503"/>
      <c r="L7" s="562"/>
      <c r="M7" s="524"/>
      <c r="N7" s="524"/>
      <c r="O7" s="524"/>
      <c r="P7" s="524"/>
      <c r="Q7" s="524"/>
      <c r="R7" s="524"/>
      <c r="S7" s="524"/>
      <c r="T7" s="524"/>
      <c r="U7" s="524"/>
      <c r="V7" s="524"/>
      <c r="W7" s="524"/>
      <c r="X7" s="524"/>
    </row>
    <row r="8" spans="1:26" s="89" customFormat="1" ht="18.75" customHeight="1" x14ac:dyDescent="0.3">
      <c r="A8" s="337">
        <v>1</v>
      </c>
      <c r="B8" s="344" t="s">
        <v>207</v>
      </c>
      <c r="C8" s="421"/>
      <c r="D8" s="421"/>
      <c r="E8" s="421"/>
      <c r="F8" s="421"/>
      <c r="G8" s="421"/>
      <c r="H8" s="421"/>
      <c r="I8" s="421"/>
      <c r="J8" s="541"/>
      <c r="K8" s="504"/>
      <c r="L8" s="523"/>
      <c r="M8" s="524"/>
      <c r="N8" s="524"/>
      <c r="O8" s="524"/>
      <c r="P8" s="524"/>
      <c r="Q8" s="524"/>
      <c r="R8" s="524"/>
      <c r="S8" s="524"/>
      <c r="T8" s="524"/>
      <c r="U8" s="524"/>
      <c r="V8" s="524"/>
      <c r="W8" s="524"/>
      <c r="X8" s="524"/>
    </row>
    <row r="9" spans="1:26" s="89" customFormat="1" ht="60.75" customHeight="1" x14ac:dyDescent="0.3">
      <c r="A9" s="333" t="s">
        <v>135</v>
      </c>
      <c r="B9" s="331" t="s">
        <v>132</v>
      </c>
      <c r="C9" s="332">
        <v>420705</v>
      </c>
      <c r="D9" s="334">
        <v>244820</v>
      </c>
      <c r="E9" s="334">
        <v>141930</v>
      </c>
      <c r="F9" s="332">
        <f t="shared" ref="F9:F14" si="0">C9-D9-E9</f>
        <v>33955</v>
      </c>
      <c r="G9" s="332"/>
      <c r="H9" s="332">
        <f>F9-I9</f>
        <v>20792</v>
      </c>
      <c r="I9" s="332">
        <v>13163</v>
      </c>
      <c r="J9" s="542"/>
      <c r="K9" s="505" t="s">
        <v>461</v>
      </c>
      <c r="L9" s="523"/>
      <c r="M9" s="524"/>
      <c r="N9" s="524"/>
      <c r="O9" s="524"/>
      <c r="P9" s="524"/>
      <c r="Q9" s="524"/>
      <c r="R9" s="524"/>
      <c r="S9" s="524"/>
      <c r="T9" s="524"/>
      <c r="U9" s="524"/>
      <c r="V9" s="524"/>
      <c r="W9" s="524"/>
      <c r="X9" s="524"/>
      <c r="Y9" s="89" t="s">
        <v>495</v>
      </c>
      <c r="Z9" s="89">
        <f>9340-5558</f>
        <v>3782</v>
      </c>
    </row>
    <row r="10" spans="1:26" ht="19.5" customHeight="1" x14ac:dyDescent="0.3">
      <c r="A10" s="333" t="s">
        <v>136</v>
      </c>
      <c r="B10" s="331" t="s">
        <v>50</v>
      </c>
      <c r="C10" s="334">
        <v>199900</v>
      </c>
      <c r="D10" s="334">
        <v>40000</v>
      </c>
      <c r="E10" s="334">
        <v>144990</v>
      </c>
      <c r="F10" s="332">
        <f t="shared" si="0"/>
        <v>14910</v>
      </c>
      <c r="G10" s="332"/>
      <c r="H10" s="335">
        <v>200</v>
      </c>
      <c r="I10" s="332">
        <f>F10-H10</f>
        <v>14710</v>
      </c>
      <c r="J10" s="542"/>
      <c r="K10" s="506"/>
      <c r="L10" s="527"/>
      <c r="O10" s="524"/>
    </row>
    <row r="11" spans="1:26" ht="20.5" hidden="1" customHeight="1" x14ac:dyDescent="0.3">
      <c r="A11" s="333" t="s">
        <v>163</v>
      </c>
      <c r="B11" s="331" t="s">
        <v>208</v>
      </c>
      <c r="C11" s="334">
        <v>25000</v>
      </c>
      <c r="D11" s="334">
        <v>20068</v>
      </c>
      <c r="E11" s="334"/>
      <c r="F11" s="332">
        <f t="shared" si="0"/>
        <v>4932</v>
      </c>
      <c r="G11" s="332"/>
      <c r="H11" s="335">
        <v>4932</v>
      </c>
      <c r="I11" s="332">
        <f>F11-H11</f>
        <v>0</v>
      </c>
      <c r="J11" s="542"/>
      <c r="K11" s="505"/>
      <c r="L11" s="527"/>
    </row>
    <row r="12" spans="1:26" ht="21" hidden="1" customHeight="1" x14ac:dyDescent="0.3">
      <c r="A12" s="333" t="s">
        <v>209</v>
      </c>
      <c r="B12" s="331" t="s">
        <v>210</v>
      </c>
      <c r="C12" s="334">
        <v>10800</v>
      </c>
      <c r="D12" s="334">
        <f>C12</f>
        <v>10800</v>
      </c>
      <c r="E12" s="334"/>
      <c r="F12" s="332">
        <f t="shared" si="0"/>
        <v>0</v>
      </c>
      <c r="G12" s="332"/>
      <c r="H12" s="335"/>
      <c r="I12" s="332">
        <f>F12-H12</f>
        <v>0</v>
      </c>
      <c r="J12" s="542"/>
      <c r="K12" s="506"/>
      <c r="L12" s="527"/>
    </row>
    <row r="13" spans="1:26" ht="21" hidden="1" customHeight="1" x14ac:dyDescent="0.3">
      <c r="A13" s="333" t="s">
        <v>406</v>
      </c>
      <c r="B13" s="331" t="s">
        <v>409</v>
      </c>
      <c r="C13" s="334">
        <f>30000+37250</f>
        <v>67250</v>
      </c>
      <c r="D13" s="334"/>
      <c r="E13" s="334"/>
      <c r="F13" s="332">
        <f>C13-D13-E13</f>
        <v>67250</v>
      </c>
      <c r="G13" s="332"/>
      <c r="H13" s="335">
        <v>67250</v>
      </c>
      <c r="I13" s="332">
        <f>F13-H13</f>
        <v>0</v>
      </c>
      <c r="J13" s="542"/>
      <c r="K13" s="505" t="s">
        <v>448</v>
      </c>
      <c r="L13" s="527"/>
    </row>
    <row r="14" spans="1:26" ht="21" customHeight="1" x14ac:dyDescent="0.3">
      <c r="A14" s="333" t="s">
        <v>407</v>
      </c>
      <c r="B14" s="331" t="s">
        <v>410</v>
      </c>
      <c r="C14" s="334">
        <f>80500-37250</f>
        <v>43250</v>
      </c>
      <c r="D14" s="334"/>
      <c r="E14" s="334"/>
      <c r="F14" s="332">
        <f t="shared" si="0"/>
        <v>43250</v>
      </c>
      <c r="G14" s="332"/>
      <c r="H14" s="335">
        <v>3950</v>
      </c>
      <c r="I14" s="332">
        <f>F14-H14</f>
        <v>39300</v>
      </c>
      <c r="J14" s="542"/>
      <c r="K14" s="505" t="s">
        <v>449</v>
      </c>
      <c r="L14" s="527"/>
    </row>
    <row r="15" spans="1:26" s="89" customFormat="1" ht="18.75" hidden="1" customHeight="1" x14ac:dyDescent="0.3">
      <c r="A15" s="337">
        <v>2</v>
      </c>
      <c r="B15" s="338" t="s">
        <v>211</v>
      </c>
      <c r="C15" s="417">
        <f t="shared" ref="C15:I15" si="1">SUM(C16:C29)</f>
        <v>4025333</v>
      </c>
      <c r="D15" s="417">
        <f t="shared" si="1"/>
        <v>1168926</v>
      </c>
      <c r="E15" s="417">
        <f t="shared" si="1"/>
        <v>2530537</v>
      </c>
      <c r="F15" s="417">
        <f t="shared" si="1"/>
        <v>325870</v>
      </c>
      <c r="G15" s="417"/>
      <c r="H15" s="417">
        <f t="shared" si="1"/>
        <v>46862.879000000001</v>
      </c>
      <c r="I15" s="417">
        <f t="shared" si="1"/>
        <v>279007.12100000004</v>
      </c>
      <c r="J15" s="543"/>
      <c r="K15" s="507"/>
      <c r="L15" s="523"/>
      <c r="M15" s="524"/>
      <c r="N15" s="524"/>
      <c r="O15" s="524"/>
      <c r="P15" s="524"/>
      <c r="Q15" s="524"/>
      <c r="R15" s="524"/>
      <c r="S15" s="524"/>
      <c r="T15" s="524"/>
      <c r="U15" s="524"/>
      <c r="V15" s="524"/>
      <c r="W15" s="524"/>
      <c r="X15" s="524"/>
    </row>
    <row r="16" spans="1:26" ht="22" hidden="1" customHeight="1" x14ac:dyDescent="0.3">
      <c r="A16" s="333" t="s">
        <v>122</v>
      </c>
      <c r="B16" s="340" t="s">
        <v>5</v>
      </c>
      <c r="C16" s="332">
        <f>392680+4300</f>
        <v>396980</v>
      </c>
      <c r="D16" s="332">
        <v>141406</v>
      </c>
      <c r="E16" s="332">
        <v>187138</v>
      </c>
      <c r="F16" s="332">
        <f>C16-D16-E16</f>
        <v>68436</v>
      </c>
      <c r="G16" s="332"/>
      <c r="H16" s="332">
        <f>'Chi tiet bo sung KP'!I26</f>
        <v>17907.400000000001</v>
      </c>
      <c r="I16" s="332">
        <f t="shared" ref="I16:I31" si="2">F16-H16</f>
        <v>50528.6</v>
      </c>
      <c r="J16" s="542"/>
      <c r="K16" s="505" t="s">
        <v>450</v>
      </c>
      <c r="L16" s="527"/>
    </row>
    <row r="17" spans="1:15" ht="21.65" hidden="1" customHeight="1" x14ac:dyDescent="0.3">
      <c r="A17" s="333" t="s">
        <v>123</v>
      </c>
      <c r="B17" s="331" t="s">
        <v>6</v>
      </c>
      <c r="C17" s="334">
        <v>1730540</v>
      </c>
      <c r="D17" s="332">
        <v>214969</v>
      </c>
      <c r="E17" s="332">
        <v>1305758</v>
      </c>
      <c r="F17" s="332">
        <f t="shared" ref="F17:F31" si="3">C17-D17-E17</f>
        <v>209813</v>
      </c>
      <c r="G17" s="332"/>
      <c r="H17" s="332">
        <f>'Chi tiet bo sung KP'!J26</f>
        <v>969.02</v>
      </c>
      <c r="I17" s="332">
        <f t="shared" si="2"/>
        <v>208843.98</v>
      </c>
      <c r="J17" s="542"/>
      <c r="K17" s="508"/>
      <c r="L17" s="527"/>
    </row>
    <row r="18" spans="1:15" ht="22" hidden="1" customHeight="1" x14ac:dyDescent="0.3">
      <c r="A18" s="333" t="s">
        <v>137</v>
      </c>
      <c r="B18" s="340" t="s">
        <v>42</v>
      </c>
      <c r="C18" s="332">
        <v>376703</v>
      </c>
      <c r="D18" s="332">
        <v>369223</v>
      </c>
      <c r="E18" s="332">
        <v>7480</v>
      </c>
      <c r="F18" s="332">
        <f t="shared" si="3"/>
        <v>0</v>
      </c>
      <c r="G18" s="332"/>
      <c r="H18" s="335">
        <f>'Chi tiet bo sung KP'!K26</f>
        <v>0</v>
      </c>
      <c r="I18" s="332">
        <f t="shared" si="2"/>
        <v>0</v>
      </c>
      <c r="J18" s="542"/>
      <c r="K18" s="508"/>
      <c r="L18" s="527"/>
    </row>
    <row r="19" spans="1:15" ht="21.65" hidden="1" customHeight="1" x14ac:dyDescent="0.3">
      <c r="A19" s="333" t="s">
        <v>138</v>
      </c>
      <c r="B19" s="340" t="s">
        <v>7</v>
      </c>
      <c r="C19" s="332">
        <v>13229</v>
      </c>
      <c r="D19" s="332">
        <v>13229</v>
      </c>
      <c r="E19" s="332">
        <v>0</v>
      </c>
      <c r="F19" s="332">
        <f t="shared" si="3"/>
        <v>0</v>
      </c>
      <c r="G19" s="332"/>
      <c r="H19" s="335">
        <f>'Chi tiet bo sung KP'!L26</f>
        <v>0</v>
      </c>
      <c r="I19" s="332">
        <f t="shared" si="2"/>
        <v>0</v>
      </c>
      <c r="J19" s="542"/>
      <c r="K19" s="508"/>
      <c r="L19" s="527"/>
    </row>
    <row r="20" spans="1:15" ht="21" hidden="1" customHeight="1" x14ac:dyDescent="0.3">
      <c r="A20" s="333" t="s">
        <v>139</v>
      </c>
      <c r="B20" s="340" t="s">
        <v>212</v>
      </c>
      <c r="C20" s="332">
        <v>45325</v>
      </c>
      <c r="D20" s="332">
        <v>18709</v>
      </c>
      <c r="E20" s="332">
        <v>26616</v>
      </c>
      <c r="F20" s="332">
        <f t="shared" si="3"/>
        <v>0</v>
      </c>
      <c r="G20" s="332"/>
      <c r="H20" s="335">
        <v>0</v>
      </c>
      <c r="I20" s="332">
        <f t="shared" si="2"/>
        <v>0</v>
      </c>
      <c r="J20" s="542"/>
      <c r="K20" s="503"/>
      <c r="L20" s="527"/>
    </row>
    <row r="21" spans="1:15" ht="20.149999999999999" hidden="1" customHeight="1" x14ac:dyDescent="0.3">
      <c r="A21" s="333" t="s">
        <v>140</v>
      </c>
      <c r="B21" s="340" t="s">
        <v>167</v>
      </c>
      <c r="C21" s="332">
        <v>48784</v>
      </c>
      <c r="D21" s="332">
        <v>38948</v>
      </c>
      <c r="E21" s="332">
        <v>9836</v>
      </c>
      <c r="F21" s="332">
        <f t="shared" si="3"/>
        <v>0</v>
      </c>
      <c r="G21" s="332"/>
      <c r="H21" s="332">
        <f>'Chi tiet bo sung KP'!M26</f>
        <v>0</v>
      </c>
      <c r="I21" s="332">
        <f t="shared" si="2"/>
        <v>0</v>
      </c>
      <c r="J21" s="542"/>
      <c r="K21" s="508"/>
      <c r="L21" s="527"/>
    </row>
    <row r="22" spans="1:15" ht="20.25" hidden="1" customHeight="1" x14ac:dyDescent="0.3">
      <c r="A22" s="333" t="s">
        <v>141</v>
      </c>
      <c r="B22" s="340" t="s">
        <v>213</v>
      </c>
      <c r="C22" s="332">
        <v>11431</v>
      </c>
      <c r="D22" s="332">
        <v>9931</v>
      </c>
      <c r="E22" s="332">
        <v>1500</v>
      </c>
      <c r="F22" s="332">
        <f t="shared" si="3"/>
        <v>0</v>
      </c>
      <c r="G22" s="332"/>
      <c r="H22" s="335">
        <v>0</v>
      </c>
      <c r="I22" s="332">
        <f t="shared" si="2"/>
        <v>0</v>
      </c>
      <c r="J22" s="542"/>
      <c r="K22" s="503"/>
      <c r="L22" s="527"/>
    </row>
    <row r="23" spans="1:15" ht="21" hidden="1" customHeight="1" x14ac:dyDescent="0.3">
      <c r="A23" s="333" t="s">
        <v>142</v>
      </c>
      <c r="B23" s="340" t="s">
        <v>214</v>
      </c>
      <c r="C23" s="332">
        <v>33913</v>
      </c>
      <c r="D23" s="332">
        <v>25812</v>
      </c>
      <c r="E23" s="332">
        <v>8101</v>
      </c>
      <c r="F23" s="332">
        <f t="shared" si="3"/>
        <v>0</v>
      </c>
      <c r="G23" s="332"/>
      <c r="H23" s="335">
        <v>0</v>
      </c>
      <c r="I23" s="332">
        <f t="shared" si="2"/>
        <v>0</v>
      </c>
      <c r="J23" s="542"/>
      <c r="K23" s="503"/>
      <c r="L23" s="527"/>
    </row>
    <row r="24" spans="1:15" ht="22.5" hidden="1" customHeight="1" x14ac:dyDescent="0.3">
      <c r="A24" s="333" t="s">
        <v>143</v>
      </c>
      <c r="B24" s="340" t="s">
        <v>215</v>
      </c>
      <c r="C24" s="332">
        <v>204191</v>
      </c>
      <c r="D24" s="332">
        <v>15814</v>
      </c>
      <c r="E24" s="332">
        <v>188377</v>
      </c>
      <c r="F24" s="332">
        <f t="shared" si="3"/>
        <v>0</v>
      </c>
      <c r="G24" s="332"/>
      <c r="H24" s="335">
        <v>0</v>
      </c>
      <c r="I24" s="332">
        <f t="shared" si="2"/>
        <v>0</v>
      </c>
      <c r="J24" s="542"/>
      <c r="K24" s="503"/>
      <c r="L24" s="527"/>
    </row>
    <row r="25" spans="1:15" ht="22" hidden="1" customHeight="1" x14ac:dyDescent="0.3">
      <c r="A25" s="333" t="s">
        <v>144</v>
      </c>
      <c r="B25" s="340" t="s">
        <v>8</v>
      </c>
      <c r="C25" s="332">
        <v>943150</v>
      </c>
      <c r="D25" s="332">
        <v>277177</v>
      </c>
      <c r="E25" s="332">
        <v>665973</v>
      </c>
      <c r="F25" s="332">
        <f t="shared" si="3"/>
        <v>0</v>
      </c>
      <c r="G25" s="332"/>
      <c r="H25" s="341">
        <f>'Chi tiet bo sung KP'!N26</f>
        <v>0</v>
      </c>
      <c r="I25" s="341">
        <f t="shared" si="2"/>
        <v>0</v>
      </c>
      <c r="J25" s="544"/>
      <c r="K25" s="508"/>
      <c r="L25" s="527"/>
    </row>
    <row r="26" spans="1:15" ht="21" hidden="1" customHeight="1" x14ac:dyDescent="0.3">
      <c r="A26" s="333" t="s">
        <v>180</v>
      </c>
      <c r="B26" s="340" t="s">
        <v>216</v>
      </c>
      <c r="C26" s="332">
        <v>20033</v>
      </c>
      <c r="D26" s="332">
        <v>10642</v>
      </c>
      <c r="E26" s="332">
        <v>9391</v>
      </c>
      <c r="F26" s="332">
        <f t="shared" si="3"/>
        <v>0</v>
      </c>
      <c r="G26" s="332"/>
      <c r="H26" s="335">
        <v>0</v>
      </c>
      <c r="I26" s="332">
        <f t="shared" si="2"/>
        <v>0</v>
      </c>
      <c r="J26" s="542"/>
      <c r="K26" s="509"/>
      <c r="L26" s="527"/>
    </row>
    <row r="27" spans="1:15" ht="21.75" hidden="1" customHeight="1" x14ac:dyDescent="0.3">
      <c r="A27" s="333" t="s">
        <v>219</v>
      </c>
      <c r="B27" s="340" t="s">
        <v>217</v>
      </c>
      <c r="C27" s="332">
        <v>103276</v>
      </c>
      <c r="D27" s="332">
        <v>25500</v>
      </c>
      <c r="E27" s="332">
        <v>77776</v>
      </c>
      <c r="F27" s="332">
        <f t="shared" si="3"/>
        <v>0</v>
      </c>
      <c r="G27" s="332"/>
      <c r="H27" s="335">
        <v>0</v>
      </c>
      <c r="I27" s="332">
        <f t="shared" si="2"/>
        <v>0</v>
      </c>
      <c r="J27" s="542"/>
      <c r="K27" s="509"/>
      <c r="L27" s="527"/>
    </row>
    <row r="28" spans="1:15" ht="21.75" hidden="1" customHeight="1" x14ac:dyDescent="0.3">
      <c r="A28" s="333" t="s">
        <v>220</v>
      </c>
      <c r="B28" s="340" t="s">
        <v>134</v>
      </c>
      <c r="C28" s="332">
        <v>19642</v>
      </c>
      <c r="D28" s="332">
        <v>7566</v>
      </c>
      <c r="E28" s="332">
        <v>12076</v>
      </c>
      <c r="F28" s="332">
        <f>C28-D28-E28</f>
        <v>0</v>
      </c>
      <c r="G28" s="332"/>
      <c r="H28" s="341">
        <f>'Chi tiet bo sung KP'!P7</f>
        <v>0</v>
      </c>
      <c r="I28" s="341">
        <f t="shared" si="2"/>
        <v>0</v>
      </c>
      <c r="J28" s="544"/>
      <c r="K28" s="509"/>
      <c r="L28" s="527"/>
      <c r="O28" s="529"/>
    </row>
    <row r="29" spans="1:15" ht="21.75" hidden="1" customHeight="1" x14ac:dyDescent="0.3">
      <c r="A29" s="333" t="s">
        <v>221</v>
      </c>
      <c r="B29" s="343" t="s">
        <v>218</v>
      </c>
      <c r="C29" s="336">
        <v>78136</v>
      </c>
      <c r="D29" s="332"/>
      <c r="E29" s="332">
        <v>30515</v>
      </c>
      <c r="F29" s="332">
        <f t="shared" si="3"/>
        <v>47621</v>
      </c>
      <c r="G29" s="332"/>
      <c r="H29" s="341">
        <f>'Chi tiet bo sung KP'!O26</f>
        <v>27986.458999999999</v>
      </c>
      <c r="I29" s="341">
        <f>F29-H29</f>
        <v>19634.541000000001</v>
      </c>
      <c r="J29" s="544"/>
      <c r="K29" s="509"/>
      <c r="L29" s="527"/>
    </row>
    <row r="30" spans="1:15" ht="21.75" hidden="1" customHeight="1" x14ac:dyDescent="0.3">
      <c r="A30" s="337">
        <v>3</v>
      </c>
      <c r="B30" s="344" t="s">
        <v>133</v>
      </c>
      <c r="C30" s="418">
        <v>2000</v>
      </c>
      <c r="D30" s="418">
        <f>C30</f>
        <v>2000</v>
      </c>
      <c r="E30" s="418"/>
      <c r="F30" s="419">
        <f t="shared" si="3"/>
        <v>0</v>
      </c>
      <c r="G30" s="419"/>
      <c r="H30" s="420">
        <v>0</v>
      </c>
      <c r="I30" s="419">
        <v>0</v>
      </c>
      <c r="J30" s="545"/>
      <c r="K30" s="510"/>
      <c r="L30" s="527"/>
    </row>
    <row r="31" spans="1:15" ht="21" hidden="1" customHeight="1" x14ac:dyDescent="0.3">
      <c r="A31" s="337">
        <v>4</v>
      </c>
      <c r="B31" s="344" t="s">
        <v>224</v>
      </c>
      <c r="C31" s="421">
        <v>1000</v>
      </c>
      <c r="D31" s="421">
        <f>C31</f>
        <v>1000</v>
      </c>
      <c r="E31" s="421"/>
      <c r="F31" s="419">
        <f t="shared" si="3"/>
        <v>0</v>
      </c>
      <c r="G31" s="419"/>
      <c r="H31" s="420">
        <f>'Chi tiet bo sung KP'!Q26</f>
        <v>0</v>
      </c>
      <c r="I31" s="419">
        <f t="shared" si="2"/>
        <v>0</v>
      </c>
      <c r="J31" s="545"/>
      <c r="K31" s="503"/>
      <c r="L31" s="527"/>
    </row>
    <row r="32" spans="1:15" ht="21" hidden="1" customHeight="1" x14ac:dyDescent="0.3">
      <c r="A32" s="337">
        <v>5</v>
      </c>
      <c r="B32" s="425" t="s">
        <v>260</v>
      </c>
      <c r="C32" s="426">
        <v>135903</v>
      </c>
      <c r="D32" s="426"/>
      <c r="E32" s="426">
        <v>56438</v>
      </c>
      <c r="F32" s="419">
        <f>C32-D32-E32</f>
        <v>79465</v>
      </c>
      <c r="G32" s="419"/>
      <c r="H32" s="421" t="e">
        <f>'Chi tiet bo sung KP'!R26</f>
        <v>#REF!</v>
      </c>
      <c r="I32" s="421" t="e">
        <f>F32-H32</f>
        <v>#REF!</v>
      </c>
      <c r="J32" s="541"/>
      <c r="K32" s="511"/>
      <c r="L32" s="527"/>
    </row>
    <row r="33" spans="1:24" s="89" customFormat="1" ht="51" hidden="1" customHeight="1" x14ac:dyDescent="0.3">
      <c r="A33" s="337" t="s">
        <v>9</v>
      </c>
      <c r="B33" s="338" t="s">
        <v>225</v>
      </c>
      <c r="C33" s="363">
        <f t="shared" ref="C33:I33" si="4">C34+C47+C59</f>
        <v>1562404</v>
      </c>
      <c r="D33" s="363">
        <f t="shared" si="4"/>
        <v>1394865</v>
      </c>
      <c r="E33" s="363">
        <f t="shared" si="4"/>
        <v>13539</v>
      </c>
      <c r="F33" s="363">
        <f t="shared" si="4"/>
        <v>154000</v>
      </c>
      <c r="G33" s="363"/>
      <c r="H33" s="363">
        <f t="shared" si="4"/>
        <v>154000</v>
      </c>
      <c r="I33" s="363">
        <f t="shared" si="4"/>
        <v>0</v>
      </c>
      <c r="J33" s="546"/>
      <c r="K33" s="503"/>
      <c r="L33" s="523"/>
      <c r="M33" s="524"/>
      <c r="N33" s="524"/>
      <c r="O33" s="524"/>
      <c r="P33" s="524"/>
      <c r="Q33" s="524"/>
      <c r="R33" s="524"/>
      <c r="S33" s="524"/>
      <c r="T33" s="524"/>
      <c r="U33" s="524"/>
      <c r="V33" s="524"/>
      <c r="W33" s="524"/>
      <c r="X33" s="524"/>
    </row>
    <row r="34" spans="1:24" s="89" customFormat="1" ht="22.5" hidden="1" customHeight="1" x14ac:dyDescent="0.3">
      <c r="A34" s="337" t="s">
        <v>148</v>
      </c>
      <c r="B34" s="338" t="s">
        <v>174</v>
      </c>
      <c r="C34" s="363">
        <f t="shared" ref="C34:I34" si="5">SUM(C35:C36)</f>
        <v>77962</v>
      </c>
      <c r="D34" s="363">
        <f t="shared" si="5"/>
        <v>64423</v>
      </c>
      <c r="E34" s="363">
        <f t="shared" si="5"/>
        <v>13539</v>
      </c>
      <c r="F34" s="363">
        <f t="shared" si="5"/>
        <v>0</v>
      </c>
      <c r="G34" s="363"/>
      <c r="H34" s="363">
        <f t="shared" si="5"/>
        <v>0</v>
      </c>
      <c r="I34" s="363">
        <f t="shared" si="5"/>
        <v>0</v>
      </c>
      <c r="J34" s="546"/>
      <c r="K34" s="503"/>
      <c r="L34" s="523"/>
      <c r="M34" s="524"/>
      <c r="N34" s="524"/>
      <c r="O34" s="524"/>
      <c r="P34" s="524"/>
      <c r="Q34" s="524"/>
      <c r="R34" s="524"/>
      <c r="S34" s="524"/>
      <c r="T34" s="524"/>
      <c r="U34" s="524"/>
      <c r="V34" s="524"/>
      <c r="W34" s="524"/>
      <c r="X34" s="524"/>
    </row>
    <row r="35" spans="1:24" s="89" customFormat="1" ht="33.75" hidden="1" customHeight="1" x14ac:dyDescent="0.3">
      <c r="A35" s="348">
        <v>1</v>
      </c>
      <c r="B35" s="349" t="s">
        <v>175</v>
      </c>
      <c r="C35" s="350">
        <v>0</v>
      </c>
      <c r="D35" s="350"/>
      <c r="E35" s="351">
        <v>0</v>
      </c>
      <c r="F35" s="352">
        <f>C35-E35</f>
        <v>0</v>
      </c>
      <c r="G35" s="352"/>
      <c r="H35" s="352"/>
      <c r="I35" s="352">
        <f>F35-H35</f>
        <v>0</v>
      </c>
      <c r="J35" s="547"/>
      <c r="K35" s="511"/>
      <c r="L35" s="523"/>
      <c r="M35" s="524"/>
      <c r="N35" s="524"/>
      <c r="O35" s="524"/>
      <c r="P35" s="524"/>
      <c r="Q35" s="524"/>
      <c r="R35" s="524"/>
      <c r="S35" s="524"/>
      <c r="T35" s="524"/>
      <c r="U35" s="524"/>
      <c r="V35" s="524"/>
      <c r="W35" s="524"/>
      <c r="X35" s="524"/>
    </row>
    <row r="36" spans="1:24" s="89" customFormat="1" ht="39.75" hidden="1" customHeight="1" x14ac:dyDescent="0.3">
      <c r="A36" s="348">
        <v>2</v>
      </c>
      <c r="B36" s="349" t="s">
        <v>176</v>
      </c>
      <c r="C36" s="350">
        <f>SUM(C37:C46)</f>
        <v>77962</v>
      </c>
      <c r="D36" s="350">
        <f>SUM(D37:D46)</f>
        <v>64423</v>
      </c>
      <c r="E36" s="350">
        <f>SUM(E37:E46)</f>
        <v>13539</v>
      </c>
      <c r="F36" s="350">
        <f>SUM(F37:F45)</f>
        <v>0</v>
      </c>
      <c r="G36" s="350"/>
      <c r="H36" s="350">
        <f>SUM(H37:H45)</f>
        <v>0</v>
      </c>
      <c r="I36" s="350">
        <f>SUM(I37:I45)</f>
        <v>0</v>
      </c>
      <c r="J36" s="548"/>
      <c r="K36" s="503"/>
      <c r="L36" s="523"/>
      <c r="M36" s="524"/>
      <c r="N36" s="524"/>
      <c r="O36" s="524"/>
      <c r="P36" s="524"/>
      <c r="Q36" s="524"/>
      <c r="R36" s="524"/>
      <c r="S36" s="524"/>
      <c r="T36" s="524"/>
      <c r="U36" s="524"/>
      <c r="V36" s="524"/>
      <c r="W36" s="524"/>
      <c r="X36" s="524"/>
    </row>
    <row r="37" spans="1:24" s="189" customFormat="1" ht="30" hidden="1" customHeight="1" x14ac:dyDescent="0.35">
      <c r="A37" s="390" t="s">
        <v>122</v>
      </c>
      <c r="B37" s="391" t="s">
        <v>394</v>
      </c>
      <c r="C37" s="392">
        <v>1000</v>
      </c>
      <c r="D37" s="397">
        <f>C37</f>
        <v>1000</v>
      </c>
      <c r="E37" s="393"/>
      <c r="F37" s="398">
        <f>C37-D37-E37</f>
        <v>0</v>
      </c>
      <c r="G37" s="398"/>
      <c r="H37" s="395"/>
      <c r="I37" s="394"/>
      <c r="J37" s="549"/>
      <c r="K37" s="512"/>
      <c r="L37" s="530"/>
      <c r="M37" s="531"/>
      <c r="N37" s="531"/>
      <c r="O37" s="531"/>
      <c r="P37" s="531"/>
      <c r="Q37" s="531"/>
      <c r="R37" s="531"/>
      <c r="S37" s="531"/>
      <c r="T37" s="531"/>
      <c r="U37" s="531"/>
      <c r="V37" s="531"/>
      <c r="W37" s="531"/>
      <c r="X37" s="531"/>
    </row>
    <row r="38" spans="1:24" s="189" customFormat="1" ht="19.5" hidden="1" customHeight="1" x14ac:dyDescent="0.35">
      <c r="A38" s="390" t="s">
        <v>123</v>
      </c>
      <c r="B38" s="391" t="s">
        <v>411</v>
      </c>
      <c r="C38" s="392">
        <v>428</v>
      </c>
      <c r="D38" s="397">
        <v>428</v>
      </c>
      <c r="E38" s="393"/>
      <c r="F38" s="398">
        <f t="shared" ref="F38:F46" si="6">C38-D38-E38</f>
        <v>0</v>
      </c>
      <c r="G38" s="398"/>
      <c r="H38" s="395"/>
      <c r="I38" s="394"/>
      <c r="J38" s="549"/>
      <c r="K38" s="512"/>
      <c r="L38" s="530"/>
      <c r="M38" s="531"/>
      <c r="N38" s="531"/>
      <c r="O38" s="531"/>
      <c r="P38" s="531"/>
      <c r="Q38" s="531"/>
      <c r="R38" s="531"/>
      <c r="S38" s="531"/>
      <c r="T38" s="531"/>
      <c r="U38" s="531"/>
      <c r="V38" s="531"/>
      <c r="W38" s="531"/>
      <c r="X38" s="531"/>
    </row>
    <row r="39" spans="1:24" s="189" customFormat="1" ht="18.75" hidden="1" customHeight="1" x14ac:dyDescent="0.35">
      <c r="A39" s="390" t="s">
        <v>137</v>
      </c>
      <c r="B39" s="391" t="s">
        <v>412</v>
      </c>
      <c r="C39" s="392">
        <v>160</v>
      </c>
      <c r="D39" s="397">
        <v>160</v>
      </c>
      <c r="E39" s="393"/>
      <c r="F39" s="398">
        <f t="shared" si="6"/>
        <v>0</v>
      </c>
      <c r="G39" s="398"/>
      <c r="H39" s="395"/>
      <c r="I39" s="394"/>
      <c r="J39" s="549"/>
      <c r="K39" s="512"/>
      <c r="L39" s="530"/>
      <c r="M39" s="531"/>
      <c r="N39" s="531"/>
      <c r="O39" s="531"/>
      <c r="P39" s="531"/>
      <c r="Q39" s="531"/>
      <c r="R39" s="531"/>
      <c r="S39" s="531"/>
      <c r="T39" s="531"/>
      <c r="U39" s="531"/>
      <c r="V39" s="531"/>
      <c r="W39" s="531"/>
      <c r="X39" s="531"/>
    </row>
    <row r="40" spans="1:24" s="189" customFormat="1" ht="18.649999999999999" hidden="1" customHeight="1" x14ac:dyDescent="0.35">
      <c r="A40" s="390" t="s">
        <v>138</v>
      </c>
      <c r="B40" s="396" t="s">
        <v>395</v>
      </c>
      <c r="C40" s="392">
        <v>17000</v>
      </c>
      <c r="D40" s="397">
        <f>C40</f>
        <v>17000</v>
      </c>
      <c r="E40" s="393"/>
      <c r="F40" s="398">
        <f t="shared" si="6"/>
        <v>0</v>
      </c>
      <c r="G40" s="398"/>
      <c r="H40" s="395"/>
      <c r="I40" s="394"/>
      <c r="J40" s="549"/>
      <c r="K40" s="512"/>
      <c r="L40" s="530"/>
      <c r="M40" s="531"/>
      <c r="N40" s="531"/>
      <c r="O40" s="531"/>
      <c r="P40" s="531"/>
      <c r="Q40" s="531"/>
      <c r="R40" s="531"/>
      <c r="S40" s="531"/>
      <c r="T40" s="531"/>
      <c r="U40" s="531"/>
      <c r="V40" s="531"/>
      <c r="W40" s="531"/>
      <c r="X40" s="531"/>
    </row>
    <row r="41" spans="1:24" s="189" customFormat="1" ht="21" hidden="1" customHeight="1" x14ac:dyDescent="0.35">
      <c r="A41" s="390" t="s">
        <v>139</v>
      </c>
      <c r="B41" s="391" t="s">
        <v>396</v>
      </c>
      <c r="C41" s="392">
        <v>2000</v>
      </c>
      <c r="D41" s="397">
        <v>2000</v>
      </c>
      <c r="E41" s="393"/>
      <c r="F41" s="398">
        <f t="shared" si="6"/>
        <v>0</v>
      </c>
      <c r="G41" s="398"/>
      <c r="H41" s="395"/>
      <c r="I41" s="394"/>
      <c r="J41" s="549"/>
      <c r="K41" s="513"/>
      <c r="L41" s="530"/>
      <c r="M41" s="531"/>
      <c r="N41" s="531"/>
      <c r="O41" s="531"/>
      <c r="P41" s="531"/>
      <c r="Q41" s="531"/>
      <c r="R41" s="531"/>
      <c r="S41" s="531"/>
      <c r="T41" s="531"/>
      <c r="U41" s="531"/>
      <c r="V41" s="531"/>
      <c r="W41" s="531"/>
      <c r="X41" s="531"/>
    </row>
    <row r="42" spans="1:24" s="189" customFormat="1" ht="51.75" hidden="1" customHeight="1" x14ac:dyDescent="0.35">
      <c r="A42" s="390" t="s">
        <v>140</v>
      </c>
      <c r="B42" s="391" t="s">
        <v>413</v>
      </c>
      <c r="C42" s="392">
        <v>10200</v>
      </c>
      <c r="D42" s="397">
        <v>10200</v>
      </c>
      <c r="E42" s="393"/>
      <c r="F42" s="398">
        <f t="shared" si="6"/>
        <v>0</v>
      </c>
      <c r="G42" s="398"/>
      <c r="H42" s="395"/>
      <c r="I42" s="394"/>
      <c r="J42" s="549"/>
      <c r="K42" s="513"/>
      <c r="L42" s="530"/>
      <c r="M42" s="531"/>
      <c r="N42" s="531"/>
      <c r="O42" s="531"/>
      <c r="P42" s="531"/>
      <c r="Q42" s="531"/>
      <c r="R42" s="531"/>
      <c r="S42" s="531"/>
      <c r="T42" s="531"/>
      <c r="U42" s="531"/>
      <c r="V42" s="531"/>
      <c r="W42" s="531"/>
      <c r="X42" s="531"/>
    </row>
    <row r="43" spans="1:24" s="189" customFormat="1" ht="46.5" hidden="1" customHeight="1" x14ac:dyDescent="0.35">
      <c r="A43" s="390" t="s">
        <v>141</v>
      </c>
      <c r="B43" s="391" t="s">
        <v>397</v>
      </c>
      <c r="C43" s="392">
        <v>230</v>
      </c>
      <c r="D43" s="397">
        <f>C43</f>
        <v>230</v>
      </c>
      <c r="E43" s="393"/>
      <c r="F43" s="398">
        <f t="shared" si="6"/>
        <v>0</v>
      </c>
      <c r="G43" s="398"/>
      <c r="H43" s="395"/>
      <c r="I43" s="394"/>
      <c r="J43" s="549"/>
      <c r="K43" s="512"/>
      <c r="L43" s="530"/>
      <c r="M43" s="531"/>
      <c r="N43" s="531"/>
      <c r="O43" s="531"/>
      <c r="P43" s="531"/>
      <c r="Q43" s="531"/>
      <c r="R43" s="531"/>
      <c r="S43" s="531"/>
      <c r="T43" s="531"/>
      <c r="U43" s="531"/>
      <c r="V43" s="531"/>
      <c r="W43" s="531"/>
      <c r="X43" s="531"/>
    </row>
    <row r="44" spans="1:24" s="189" customFormat="1" ht="32.5" hidden="1" customHeight="1" x14ac:dyDescent="0.35">
      <c r="A44" s="390" t="s">
        <v>142</v>
      </c>
      <c r="B44" s="391" t="s">
        <v>398</v>
      </c>
      <c r="C44" s="392">
        <v>1716</v>
      </c>
      <c r="D44" s="397">
        <f>C44-E44</f>
        <v>556</v>
      </c>
      <c r="E44" s="397">
        <v>1160</v>
      </c>
      <c r="F44" s="398">
        <f t="shared" si="6"/>
        <v>0</v>
      </c>
      <c r="G44" s="398"/>
      <c r="H44" s="395"/>
      <c r="I44" s="394"/>
      <c r="J44" s="549"/>
      <c r="K44" s="512"/>
      <c r="L44" s="530"/>
      <c r="M44" s="531"/>
      <c r="N44" s="531"/>
      <c r="O44" s="531"/>
      <c r="P44" s="531"/>
      <c r="Q44" s="531"/>
      <c r="R44" s="531"/>
      <c r="S44" s="531"/>
      <c r="T44" s="531"/>
      <c r="U44" s="531"/>
      <c r="V44" s="531"/>
      <c r="W44" s="531"/>
      <c r="X44" s="531"/>
    </row>
    <row r="45" spans="1:24" s="189" customFormat="1" ht="19" hidden="1" customHeight="1" x14ac:dyDescent="0.35">
      <c r="A45" s="390" t="s">
        <v>143</v>
      </c>
      <c r="B45" s="391" t="s">
        <v>399</v>
      </c>
      <c r="C45" s="392">
        <v>36849</v>
      </c>
      <c r="D45" s="397">
        <f>C45-E45</f>
        <v>32849</v>
      </c>
      <c r="E45" s="397">
        <v>4000</v>
      </c>
      <c r="F45" s="398">
        <f t="shared" si="6"/>
        <v>0</v>
      </c>
      <c r="G45" s="398"/>
      <c r="H45" s="395"/>
      <c r="I45" s="394"/>
      <c r="J45" s="549"/>
      <c r="K45" s="512"/>
      <c r="L45" s="530"/>
      <c r="M45" s="531"/>
      <c r="N45" s="531"/>
      <c r="O45" s="531"/>
      <c r="P45" s="531"/>
      <c r="Q45" s="531"/>
      <c r="R45" s="531"/>
      <c r="S45" s="531"/>
      <c r="T45" s="531"/>
      <c r="U45" s="531"/>
      <c r="V45" s="531"/>
      <c r="W45" s="531"/>
      <c r="X45" s="531"/>
    </row>
    <row r="46" spans="1:24" s="189" customFormat="1" ht="21" hidden="1" customHeight="1" x14ac:dyDescent="0.35">
      <c r="A46" s="390" t="s">
        <v>144</v>
      </c>
      <c r="B46" s="391" t="s">
        <v>414</v>
      </c>
      <c r="C46" s="392">
        <v>8379</v>
      </c>
      <c r="D46" s="397"/>
      <c r="E46" s="397">
        <v>8379</v>
      </c>
      <c r="F46" s="398">
        <f t="shared" si="6"/>
        <v>0</v>
      </c>
      <c r="G46" s="398"/>
      <c r="H46" s="395"/>
      <c r="I46" s="394"/>
      <c r="J46" s="549"/>
      <c r="K46" s="512"/>
      <c r="L46" s="530"/>
      <c r="M46" s="531"/>
      <c r="N46" s="531"/>
      <c r="O46" s="531"/>
      <c r="P46" s="531"/>
      <c r="Q46" s="531"/>
      <c r="R46" s="531"/>
      <c r="S46" s="531"/>
      <c r="T46" s="531"/>
      <c r="U46" s="531"/>
      <c r="V46" s="531"/>
      <c r="W46" s="531"/>
      <c r="X46" s="531"/>
    </row>
    <row r="47" spans="1:24" s="169" customFormat="1" ht="20.25" customHeight="1" x14ac:dyDescent="0.3">
      <c r="A47" s="415" t="s">
        <v>149</v>
      </c>
      <c r="B47" s="402" t="s">
        <v>150</v>
      </c>
      <c r="C47" s="403"/>
      <c r="D47" s="403"/>
      <c r="E47" s="403"/>
      <c r="F47" s="403"/>
      <c r="G47" s="403"/>
      <c r="H47" s="403"/>
      <c r="I47" s="403"/>
      <c r="J47" s="550"/>
      <c r="K47" s="514"/>
      <c r="L47" s="532"/>
      <c r="M47" s="533"/>
      <c r="N47" s="533"/>
      <c r="O47" s="533"/>
      <c r="P47" s="533"/>
      <c r="Q47" s="533"/>
      <c r="R47" s="533"/>
      <c r="S47" s="533"/>
      <c r="T47" s="533"/>
      <c r="U47" s="533"/>
      <c r="V47" s="533"/>
      <c r="W47" s="533"/>
      <c r="X47" s="533"/>
    </row>
    <row r="48" spans="1:24" s="89" customFormat="1" ht="20.25" hidden="1" customHeight="1" x14ac:dyDescent="0.3">
      <c r="A48" s="348"/>
      <c r="B48" s="349" t="s">
        <v>119</v>
      </c>
      <c r="C48" s="350">
        <f t="shared" ref="C48:I49" si="7">C51+C54+C57</f>
        <v>597098</v>
      </c>
      <c r="D48" s="350">
        <f t="shared" si="7"/>
        <v>113214</v>
      </c>
      <c r="E48" s="350">
        <f t="shared" si="7"/>
        <v>389809</v>
      </c>
      <c r="F48" s="350">
        <f t="shared" si="7"/>
        <v>94075</v>
      </c>
      <c r="G48" s="350"/>
      <c r="H48" s="350">
        <f t="shared" si="7"/>
        <v>34527</v>
      </c>
      <c r="I48" s="350">
        <f t="shared" si="7"/>
        <v>59548</v>
      </c>
      <c r="J48" s="548"/>
      <c r="K48" s="507"/>
      <c r="L48" s="523"/>
      <c r="M48" s="524"/>
      <c r="N48" s="524"/>
      <c r="O48" s="524"/>
      <c r="P48" s="524"/>
      <c r="Q48" s="524"/>
      <c r="R48" s="524"/>
      <c r="S48" s="524"/>
      <c r="T48" s="524"/>
      <c r="U48" s="524"/>
      <c r="V48" s="524"/>
      <c r="W48" s="524"/>
      <c r="X48" s="524"/>
    </row>
    <row r="49" spans="1:25" s="89" customFormat="1" ht="18.75" hidden="1" customHeight="1" x14ac:dyDescent="0.3">
      <c r="A49" s="348"/>
      <c r="B49" s="349" t="s">
        <v>174</v>
      </c>
      <c r="C49" s="350">
        <f t="shared" si="7"/>
        <v>528720</v>
      </c>
      <c r="D49" s="350">
        <f t="shared" si="7"/>
        <v>78815</v>
      </c>
      <c r="E49" s="350">
        <f t="shared" si="7"/>
        <v>377736</v>
      </c>
      <c r="F49" s="350">
        <f t="shared" si="7"/>
        <v>72169</v>
      </c>
      <c r="G49" s="350"/>
      <c r="H49" s="350">
        <f t="shared" si="7"/>
        <v>72170</v>
      </c>
      <c r="I49" s="350">
        <f t="shared" si="7"/>
        <v>0</v>
      </c>
      <c r="J49" s="548"/>
      <c r="K49" s="507"/>
      <c r="L49" s="523"/>
      <c r="M49" s="524"/>
      <c r="N49" s="524"/>
      <c r="O49" s="524"/>
      <c r="P49" s="524"/>
      <c r="Q49" s="524"/>
      <c r="R49" s="524"/>
      <c r="S49" s="524"/>
      <c r="T49" s="524"/>
      <c r="U49" s="524"/>
      <c r="V49" s="524"/>
      <c r="W49" s="524"/>
      <c r="X49" s="524"/>
    </row>
    <row r="50" spans="1:25" s="189" customFormat="1" ht="23.25" customHeight="1" x14ac:dyDescent="0.35">
      <c r="A50" s="404" t="s">
        <v>415</v>
      </c>
      <c r="B50" s="405" t="s">
        <v>151</v>
      </c>
      <c r="C50" s="393"/>
      <c r="D50" s="393"/>
      <c r="E50" s="393"/>
      <c r="F50" s="393"/>
      <c r="G50" s="393"/>
      <c r="H50" s="393"/>
      <c r="I50" s="393"/>
      <c r="J50" s="551"/>
      <c r="K50" s="515"/>
      <c r="L50" s="530"/>
      <c r="M50" s="531"/>
      <c r="N50" s="534"/>
      <c r="O50" s="534"/>
      <c r="P50" s="531"/>
      <c r="Q50" s="531"/>
      <c r="R50" s="531"/>
      <c r="S50" s="531"/>
      <c r="T50" s="531"/>
      <c r="U50" s="531"/>
      <c r="V50" s="531"/>
      <c r="W50" s="531"/>
      <c r="X50" s="531"/>
    </row>
    <row r="51" spans="1:25" s="189" customFormat="1" ht="23.25" customHeight="1" x14ac:dyDescent="0.35">
      <c r="A51" s="389" t="s">
        <v>40</v>
      </c>
      <c r="B51" s="396" t="s">
        <v>119</v>
      </c>
      <c r="C51" s="397">
        <v>105463</v>
      </c>
      <c r="D51" s="397">
        <v>17496</v>
      </c>
      <c r="E51" s="397">
        <v>85201</v>
      </c>
      <c r="F51" s="398">
        <f>C51-D51-E51</f>
        <v>2766</v>
      </c>
      <c r="G51" s="398"/>
      <c r="H51" s="398">
        <v>0</v>
      </c>
      <c r="I51" s="398">
        <f>F51-H51</f>
        <v>2766</v>
      </c>
      <c r="J51" s="552"/>
      <c r="K51" s="512"/>
      <c r="L51" s="530"/>
      <c r="M51" s="531"/>
      <c r="N51" s="534"/>
      <c r="O51" s="534"/>
      <c r="P51" s="531"/>
      <c r="Q51" s="531"/>
      <c r="R51" s="531"/>
      <c r="S51" s="531"/>
      <c r="T51" s="531"/>
      <c r="U51" s="531"/>
      <c r="V51" s="531"/>
      <c r="W51" s="531"/>
      <c r="X51" s="531"/>
      <c r="Y51" s="189" t="s">
        <v>494</v>
      </c>
    </row>
    <row r="52" spans="1:25" s="189" customFormat="1" ht="23.25" hidden="1" customHeight="1" x14ac:dyDescent="0.35">
      <c r="A52" s="389" t="s">
        <v>40</v>
      </c>
      <c r="B52" s="396" t="s">
        <v>174</v>
      </c>
      <c r="C52" s="397">
        <v>124041</v>
      </c>
      <c r="D52" s="397">
        <v>15541</v>
      </c>
      <c r="E52" s="397">
        <v>108500</v>
      </c>
      <c r="F52" s="398">
        <f>C52-D52-E52</f>
        <v>0</v>
      </c>
      <c r="G52" s="398"/>
      <c r="H52" s="398"/>
      <c r="I52" s="398"/>
      <c r="J52" s="552"/>
      <c r="K52" s="512"/>
      <c r="L52" s="530"/>
      <c r="M52" s="531"/>
      <c r="N52" s="534"/>
      <c r="O52" s="534"/>
      <c r="P52" s="531"/>
      <c r="Q52" s="531"/>
      <c r="R52" s="531"/>
      <c r="S52" s="531"/>
      <c r="T52" s="531"/>
      <c r="U52" s="531"/>
      <c r="V52" s="531"/>
      <c r="W52" s="531"/>
      <c r="X52" s="531"/>
    </row>
    <row r="53" spans="1:25" s="189" customFormat="1" ht="22.5" hidden="1" customHeight="1" x14ac:dyDescent="0.35">
      <c r="A53" s="404" t="s">
        <v>416</v>
      </c>
      <c r="B53" s="405" t="s">
        <v>152</v>
      </c>
      <c r="C53" s="393">
        <f t="shared" ref="C53:I53" si="8">C54+C55</f>
        <v>123944</v>
      </c>
      <c r="D53" s="393">
        <f t="shared" si="8"/>
        <v>9421</v>
      </c>
      <c r="E53" s="393">
        <f t="shared" si="8"/>
        <v>114523</v>
      </c>
      <c r="F53" s="393">
        <f t="shared" si="8"/>
        <v>0</v>
      </c>
      <c r="G53" s="393"/>
      <c r="H53" s="393">
        <f t="shared" si="8"/>
        <v>0</v>
      </c>
      <c r="I53" s="393">
        <f t="shared" si="8"/>
        <v>0</v>
      </c>
      <c r="J53" s="551"/>
      <c r="K53" s="515"/>
      <c r="L53" s="530"/>
      <c r="M53" s="531"/>
      <c r="N53" s="534"/>
      <c r="O53" s="534"/>
      <c r="P53" s="531"/>
      <c r="Q53" s="531"/>
      <c r="R53" s="531"/>
      <c r="S53" s="531"/>
      <c r="T53" s="531"/>
      <c r="U53" s="531"/>
      <c r="V53" s="531"/>
      <c r="W53" s="531"/>
      <c r="X53" s="531"/>
    </row>
    <row r="54" spans="1:25" s="189" customFormat="1" ht="22.5" hidden="1" customHeight="1" x14ac:dyDescent="0.35">
      <c r="A54" s="389" t="s">
        <v>40</v>
      </c>
      <c r="B54" s="396" t="s">
        <v>119</v>
      </c>
      <c r="C54" s="397">
        <v>96500</v>
      </c>
      <c r="D54" s="397"/>
      <c r="E54" s="397">
        <v>96500</v>
      </c>
      <c r="F54" s="398">
        <f>C54-D54-E54</f>
        <v>0</v>
      </c>
      <c r="G54" s="398"/>
      <c r="H54" s="398"/>
      <c r="I54" s="398"/>
      <c r="J54" s="552"/>
      <c r="K54" s="512"/>
      <c r="L54" s="530"/>
      <c r="M54" s="531"/>
      <c r="N54" s="534"/>
      <c r="O54" s="534"/>
      <c r="P54" s="531"/>
      <c r="Q54" s="531"/>
      <c r="R54" s="531"/>
      <c r="S54" s="531"/>
      <c r="T54" s="531"/>
      <c r="U54" s="531"/>
      <c r="V54" s="531"/>
      <c r="W54" s="531"/>
      <c r="X54" s="531"/>
    </row>
    <row r="55" spans="1:25" s="189" customFormat="1" ht="22.5" hidden="1" customHeight="1" x14ac:dyDescent="0.35">
      <c r="A55" s="389" t="s">
        <v>40</v>
      </c>
      <c r="B55" s="396" t="s">
        <v>174</v>
      </c>
      <c r="C55" s="397">
        <v>27444</v>
      </c>
      <c r="D55" s="397">
        <v>9421</v>
      </c>
      <c r="E55" s="397">
        <v>18023</v>
      </c>
      <c r="F55" s="398">
        <f>C55-D55-E55</f>
        <v>0</v>
      </c>
      <c r="G55" s="398"/>
      <c r="H55" s="398"/>
      <c r="I55" s="398"/>
      <c r="J55" s="552"/>
      <c r="K55" s="512"/>
      <c r="L55" s="530"/>
      <c r="M55" s="531"/>
      <c r="N55" s="534"/>
      <c r="O55" s="534"/>
      <c r="P55" s="531"/>
      <c r="Q55" s="531"/>
      <c r="R55" s="531"/>
      <c r="S55" s="531"/>
      <c r="T55" s="531"/>
      <c r="U55" s="531"/>
      <c r="V55" s="531"/>
      <c r="W55" s="531"/>
      <c r="X55" s="531"/>
    </row>
    <row r="56" spans="1:25" s="189" customFormat="1" ht="22.5" customHeight="1" x14ac:dyDescent="0.35">
      <c r="A56" s="404" t="s">
        <v>417</v>
      </c>
      <c r="B56" s="405" t="s">
        <v>418</v>
      </c>
      <c r="C56" s="393"/>
      <c r="D56" s="393"/>
      <c r="E56" s="393"/>
      <c r="F56" s="393"/>
      <c r="G56" s="393"/>
      <c r="H56" s="393"/>
      <c r="I56" s="393"/>
      <c r="J56" s="551"/>
      <c r="K56" s="515"/>
      <c r="L56" s="530"/>
      <c r="M56" s="531"/>
      <c r="N56" s="534"/>
      <c r="O56" s="534"/>
      <c r="P56" s="531"/>
      <c r="Q56" s="531"/>
      <c r="R56" s="531"/>
      <c r="S56" s="531"/>
      <c r="T56" s="531"/>
      <c r="U56" s="531"/>
      <c r="V56" s="531"/>
      <c r="W56" s="531"/>
      <c r="X56" s="531"/>
    </row>
    <row r="57" spans="1:25" s="189" customFormat="1" ht="22.5" customHeight="1" x14ac:dyDescent="0.35">
      <c r="A57" s="389" t="s">
        <v>40</v>
      </c>
      <c r="B57" s="396" t="s">
        <v>119</v>
      </c>
      <c r="C57" s="397">
        <v>395135</v>
      </c>
      <c r="D57" s="397">
        <v>95718</v>
      </c>
      <c r="E57" s="397">
        <v>208108</v>
      </c>
      <c r="F57" s="398">
        <f>C57-D57-E57</f>
        <v>91309</v>
      </c>
      <c r="G57" s="398"/>
      <c r="H57" s="398">
        <v>34527</v>
      </c>
      <c r="I57" s="398">
        <f>F57-H57</f>
        <v>56782</v>
      </c>
      <c r="J57" s="552"/>
      <c r="K57" s="512"/>
      <c r="L57" s="530"/>
      <c r="M57" s="531"/>
      <c r="N57" s="534"/>
      <c r="O57" s="534"/>
      <c r="P57" s="531"/>
      <c r="Q57" s="531"/>
      <c r="R57" s="531"/>
      <c r="S57" s="531"/>
      <c r="T57" s="531"/>
      <c r="U57" s="531"/>
      <c r="V57" s="531"/>
      <c r="W57" s="531"/>
      <c r="X57" s="531"/>
      <c r="Y57" s="189" t="s">
        <v>494</v>
      </c>
    </row>
    <row r="58" spans="1:25" s="189" customFormat="1" ht="22.5" hidden="1" customHeight="1" x14ac:dyDescent="0.35">
      <c r="A58" s="389" t="s">
        <v>40</v>
      </c>
      <c r="B58" s="396" t="s">
        <v>174</v>
      </c>
      <c r="C58" s="397">
        <v>377235</v>
      </c>
      <c r="D58" s="397">
        <v>53853</v>
      </c>
      <c r="E58" s="397">
        <v>251213</v>
      </c>
      <c r="F58" s="398">
        <f>C58-D58-E58</f>
        <v>72169</v>
      </c>
      <c r="G58" s="398"/>
      <c r="H58" s="398">
        <v>72170</v>
      </c>
      <c r="I58" s="398"/>
      <c r="J58" s="552"/>
      <c r="K58" s="512"/>
      <c r="L58" s="530"/>
      <c r="M58" s="531"/>
      <c r="N58" s="534"/>
      <c r="O58" s="534"/>
      <c r="P58" s="531"/>
      <c r="Q58" s="531"/>
      <c r="R58" s="531"/>
      <c r="S58" s="531"/>
      <c r="T58" s="531"/>
      <c r="U58" s="531"/>
      <c r="V58" s="531"/>
      <c r="W58" s="531"/>
      <c r="X58" s="531"/>
    </row>
    <row r="59" spans="1:25" s="89" customFormat="1" ht="24.75" hidden="1" customHeight="1" x14ac:dyDescent="0.3">
      <c r="A59" s="347" t="s">
        <v>419</v>
      </c>
      <c r="B59" s="338" t="s">
        <v>119</v>
      </c>
      <c r="C59" s="354">
        <f>C60+C61</f>
        <v>1484442</v>
      </c>
      <c r="D59" s="354">
        <f>D60+D61</f>
        <v>1330442</v>
      </c>
      <c r="E59" s="354">
        <f>E60+E61</f>
        <v>0</v>
      </c>
      <c r="F59" s="354">
        <f>F60+F61</f>
        <v>154000</v>
      </c>
      <c r="G59" s="354"/>
      <c r="H59" s="355">
        <f>H60+H61</f>
        <v>154000</v>
      </c>
      <c r="I59" s="346">
        <f>F59-H59</f>
        <v>0</v>
      </c>
      <c r="J59" s="553"/>
      <c r="K59" s="507"/>
      <c r="L59" s="523"/>
      <c r="M59" s="524"/>
      <c r="N59" s="524"/>
      <c r="O59" s="524"/>
      <c r="P59" s="524"/>
      <c r="Q59" s="524"/>
      <c r="R59" s="524"/>
      <c r="S59" s="524"/>
      <c r="T59" s="524"/>
      <c r="U59" s="524"/>
      <c r="V59" s="524"/>
      <c r="W59" s="524"/>
      <c r="X59" s="524"/>
    </row>
    <row r="60" spans="1:25" s="89" customFormat="1" ht="21.75" hidden="1" customHeight="1" x14ac:dyDescent="0.3">
      <c r="A60" s="348">
        <v>1</v>
      </c>
      <c r="B60" s="356" t="s">
        <v>145</v>
      </c>
      <c r="C60" s="352">
        <v>205942</v>
      </c>
      <c r="D60" s="352">
        <f>C60</f>
        <v>205942</v>
      </c>
      <c r="E60" s="352"/>
      <c r="F60" s="357">
        <f>C60-D60</f>
        <v>0</v>
      </c>
      <c r="G60" s="357"/>
      <c r="H60" s="357">
        <v>0</v>
      </c>
      <c r="I60" s="357">
        <f>F60-H60</f>
        <v>0</v>
      </c>
      <c r="J60" s="554"/>
      <c r="K60" s="507"/>
      <c r="L60" s="523"/>
      <c r="M60" s="524"/>
      <c r="N60" s="524"/>
      <c r="O60" s="524"/>
      <c r="P60" s="524"/>
      <c r="Q60" s="524"/>
      <c r="R60" s="524"/>
      <c r="S60" s="524"/>
      <c r="T60" s="524"/>
      <c r="U60" s="524"/>
      <c r="V60" s="524"/>
      <c r="W60" s="524"/>
      <c r="X60" s="524"/>
    </row>
    <row r="61" spans="1:25" s="89" customFormat="1" ht="22.5" hidden="1" customHeight="1" x14ac:dyDescent="0.3">
      <c r="A61" s="348">
        <v>2</v>
      </c>
      <c r="B61" s="356" t="s">
        <v>39</v>
      </c>
      <c r="C61" s="352">
        <f t="shared" ref="C61:I61" si="9">C62+C63</f>
        <v>1278500</v>
      </c>
      <c r="D61" s="352">
        <f t="shared" si="9"/>
        <v>1124500</v>
      </c>
      <c r="E61" s="352">
        <f t="shared" si="9"/>
        <v>0</v>
      </c>
      <c r="F61" s="352">
        <f t="shared" si="9"/>
        <v>154000</v>
      </c>
      <c r="G61" s="352"/>
      <c r="H61" s="352">
        <f t="shared" si="9"/>
        <v>154000</v>
      </c>
      <c r="I61" s="352">
        <f t="shared" si="9"/>
        <v>0</v>
      </c>
      <c r="J61" s="547"/>
      <c r="K61" s="507"/>
      <c r="L61" s="523"/>
      <c r="M61" s="524"/>
      <c r="N61" s="524"/>
      <c r="O61" s="524"/>
      <c r="P61" s="524"/>
      <c r="Q61" s="524"/>
      <c r="R61" s="524"/>
      <c r="S61" s="524"/>
      <c r="T61" s="524"/>
      <c r="U61" s="524"/>
      <c r="V61" s="524"/>
      <c r="W61" s="524"/>
      <c r="X61" s="524"/>
    </row>
    <row r="62" spans="1:25" s="89" customFormat="1" ht="21.75" hidden="1" customHeight="1" x14ac:dyDescent="0.3">
      <c r="A62" s="333" t="s">
        <v>122</v>
      </c>
      <c r="B62" s="331" t="s">
        <v>420</v>
      </c>
      <c r="C62" s="353">
        <v>1124500</v>
      </c>
      <c r="D62" s="353">
        <v>1124500</v>
      </c>
      <c r="E62" s="353"/>
      <c r="F62" s="441">
        <f>C62-D62</f>
        <v>0</v>
      </c>
      <c r="G62" s="441"/>
      <c r="H62" s="332"/>
      <c r="I62" s="332"/>
      <c r="J62" s="542"/>
      <c r="K62" s="507"/>
      <c r="L62" s="523"/>
      <c r="M62" s="524"/>
      <c r="N62" s="524"/>
      <c r="O62" s="524"/>
      <c r="P62" s="524"/>
      <c r="Q62" s="524"/>
      <c r="R62" s="524"/>
      <c r="S62" s="524"/>
      <c r="T62" s="524"/>
      <c r="U62" s="524"/>
      <c r="V62" s="524"/>
      <c r="W62" s="524"/>
      <c r="X62" s="524"/>
    </row>
    <row r="63" spans="1:25" s="89" customFormat="1" ht="19.5" hidden="1" customHeight="1" x14ac:dyDescent="0.3">
      <c r="A63" s="333" t="s">
        <v>123</v>
      </c>
      <c r="B63" s="331" t="s">
        <v>421</v>
      </c>
      <c r="C63" s="353">
        <v>154000</v>
      </c>
      <c r="D63" s="353"/>
      <c r="E63" s="353"/>
      <c r="F63" s="441">
        <f>C63-D63</f>
        <v>154000</v>
      </c>
      <c r="G63" s="441"/>
      <c r="H63" s="332">
        <f>F63</f>
        <v>154000</v>
      </c>
      <c r="I63" s="332">
        <f>F63-H63</f>
        <v>0</v>
      </c>
      <c r="J63" s="542"/>
      <c r="K63" s="511"/>
      <c r="L63" s="523"/>
      <c r="M63" s="524"/>
      <c r="N63" s="524"/>
      <c r="O63" s="524"/>
      <c r="P63" s="524"/>
      <c r="Q63" s="524"/>
      <c r="R63" s="524"/>
      <c r="S63" s="524"/>
      <c r="T63" s="524"/>
      <c r="U63" s="524"/>
      <c r="V63" s="524"/>
      <c r="W63" s="524"/>
      <c r="X63" s="524"/>
    </row>
    <row r="64" spans="1:25" s="501" customFormat="1" ht="36" customHeight="1" x14ac:dyDescent="0.3">
      <c r="A64" s="497" t="s">
        <v>226</v>
      </c>
      <c r="B64" s="570" t="s">
        <v>422</v>
      </c>
      <c r="C64" s="571"/>
      <c r="D64" s="571"/>
      <c r="E64" s="571"/>
      <c r="F64" s="572">
        <f>F65+F74+F102</f>
        <v>363630.52</v>
      </c>
      <c r="G64" s="572"/>
      <c r="H64" s="572">
        <f>H65+H74+H102</f>
        <v>145557.61186899999</v>
      </c>
      <c r="I64" s="572">
        <f>I65+I74+I102</f>
        <v>157294.38742499999</v>
      </c>
      <c r="J64" s="573"/>
      <c r="K64" s="574"/>
      <c r="L64" s="535"/>
      <c r="M64" s="536"/>
      <c r="N64" s="536"/>
      <c r="O64" s="536"/>
      <c r="P64" s="536"/>
      <c r="Q64" s="536"/>
      <c r="R64" s="536"/>
      <c r="S64" s="536"/>
      <c r="T64" s="536"/>
      <c r="U64" s="536"/>
      <c r="V64" s="536"/>
      <c r="W64" s="536"/>
      <c r="X64" s="536"/>
    </row>
    <row r="65" spans="1:25" s="89" customFormat="1" ht="21" hidden="1" customHeight="1" x14ac:dyDescent="0.3">
      <c r="A65" s="347" t="s">
        <v>4</v>
      </c>
      <c r="B65" s="338" t="s">
        <v>43</v>
      </c>
      <c r="C65" s="363">
        <f>SUM(C66:C70)</f>
        <v>0</v>
      </c>
      <c r="D65" s="427"/>
      <c r="E65" s="427"/>
      <c r="F65" s="363">
        <f>F66+F67+F70+F73</f>
        <v>44519.520000000004</v>
      </c>
      <c r="G65" s="363"/>
      <c r="H65" s="363">
        <f>H66+H67+H70+H73</f>
        <v>40815.599999999999</v>
      </c>
      <c r="I65" s="363">
        <f>I66+I67+I70+I73</f>
        <v>3703.9200000000005</v>
      </c>
      <c r="J65" s="546"/>
      <c r="K65" s="509"/>
      <c r="L65" s="523"/>
      <c r="M65" s="524"/>
      <c r="N65" s="524"/>
      <c r="O65" s="524"/>
      <c r="P65" s="524"/>
      <c r="Q65" s="524"/>
      <c r="R65" s="524"/>
      <c r="S65" s="524"/>
      <c r="T65" s="524"/>
      <c r="U65" s="524"/>
      <c r="V65" s="524"/>
      <c r="W65" s="524"/>
      <c r="X65" s="524"/>
    </row>
    <row r="66" spans="1:25" s="89" customFormat="1" ht="32.25" hidden="1" customHeight="1" x14ac:dyDescent="0.3">
      <c r="A66" s="342">
        <v>1</v>
      </c>
      <c r="B66" s="563" t="s">
        <v>456</v>
      </c>
      <c r="C66" s="564"/>
      <c r="D66" s="565"/>
      <c r="E66" s="565"/>
      <c r="F66" s="428">
        <v>4519.5200000000004</v>
      </c>
      <c r="G66" s="428"/>
      <c r="H66" s="341">
        <v>815.6</v>
      </c>
      <c r="I66" s="334">
        <f>F66-H66</f>
        <v>3703.9200000000005</v>
      </c>
      <c r="J66" s="555"/>
      <c r="K66" s="509"/>
      <c r="L66" s="523"/>
      <c r="M66" s="524"/>
      <c r="N66" s="524"/>
      <c r="O66" s="524"/>
      <c r="P66" s="524"/>
      <c r="Q66" s="524"/>
      <c r="R66" s="524"/>
      <c r="S66" s="524"/>
      <c r="T66" s="524"/>
      <c r="U66" s="524"/>
      <c r="V66" s="524"/>
      <c r="W66" s="524"/>
      <c r="X66" s="524"/>
    </row>
    <row r="67" spans="1:25" s="89" customFormat="1" ht="32.25" customHeight="1" x14ac:dyDescent="0.3">
      <c r="A67" s="342">
        <v>2</v>
      </c>
      <c r="B67" s="563" t="s">
        <v>441</v>
      </c>
      <c r="C67" s="564"/>
      <c r="D67" s="565"/>
      <c r="E67" s="565"/>
      <c r="F67" s="428"/>
      <c r="G67" s="428"/>
      <c r="H67" s="428"/>
      <c r="I67" s="428"/>
      <c r="J67" s="556"/>
      <c r="K67" s="509"/>
      <c r="L67" s="523"/>
      <c r="M67" s="524"/>
      <c r="N67" s="524"/>
      <c r="O67" s="524"/>
      <c r="P67" s="524"/>
      <c r="Q67" s="524"/>
      <c r="R67" s="524"/>
      <c r="S67" s="524"/>
      <c r="T67" s="524"/>
      <c r="U67" s="524"/>
      <c r="V67" s="524"/>
      <c r="W67" s="524"/>
      <c r="X67" s="524"/>
    </row>
    <row r="68" spans="1:25" s="89" customFormat="1" ht="20.25" customHeight="1" x14ac:dyDescent="0.3">
      <c r="A68" s="342"/>
      <c r="B68" s="566" t="s">
        <v>454</v>
      </c>
      <c r="C68" s="564"/>
      <c r="D68" s="565"/>
      <c r="E68" s="565"/>
      <c r="F68" s="428">
        <v>8866</v>
      </c>
      <c r="G68" s="428"/>
      <c r="H68" s="341">
        <v>0</v>
      </c>
      <c r="I68" s="334">
        <v>8866</v>
      </c>
      <c r="J68" s="555"/>
      <c r="K68" s="509" t="s">
        <v>459</v>
      </c>
      <c r="L68" s="523"/>
      <c r="M68" s="524"/>
      <c r="N68" s="524"/>
      <c r="O68" s="524"/>
      <c r="P68" s="524"/>
      <c r="Q68" s="524"/>
      <c r="R68" s="524"/>
      <c r="S68" s="524"/>
      <c r="T68" s="524"/>
      <c r="U68" s="524"/>
      <c r="V68" s="524"/>
      <c r="W68" s="524"/>
      <c r="X68" s="524"/>
      <c r="Y68" s="89" t="s">
        <v>494</v>
      </c>
    </row>
    <row r="69" spans="1:25" s="89" customFormat="1" ht="27" hidden="1" customHeight="1" x14ac:dyDescent="0.3">
      <c r="A69" s="342"/>
      <c r="B69" s="566" t="s">
        <v>455</v>
      </c>
      <c r="C69" s="564"/>
      <c r="D69" s="565"/>
      <c r="E69" s="565"/>
      <c r="F69" s="428">
        <v>15322.478999999999</v>
      </c>
      <c r="G69" s="428"/>
      <c r="H69" s="341">
        <v>14732.478999999999</v>
      </c>
      <c r="I69" s="334">
        <v>590</v>
      </c>
      <c r="J69" s="555"/>
      <c r="K69" s="509" t="s">
        <v>447</v>
      </c>
      <c r="L69" s="523"/>
      <c r="M69" s="524"/>
      <c r="N69" s="524"/>
      <c r="O69" s="524"/>
      <c r="P69" s="524"/>
      <c r="Q69" s="524"/>
      <c r="R69" s="524"/>
      <c r="S69" s="524"/>
      <c r="T69" s="524"/>
      <c r="U69" s="524"/>
      <c r="V69" s="524"/>
      <c r="W69" s="524"/>
      <c r="X69" s="524"/>
    </row>
    <row r="70" spans="1:25" s="89" customFormat="1" ht="19.5" customHeight="1" x14ac:dyDescent="0.3">
      <c r="A70" s="342">
        <v>3</v>
      </c>
      <c r="B70" s="563" t="s">
        <v>442</v>
      </c>
      <c r="C70" s="564"/>
      <c r="D70" s="565"/>
      <c r="E70" s="565"/>
      <c r="F70" s="428"/>
      <c r="G70" s="428"/>
      <c r="H70" s="428"/>
      <c r="I70" s="428"/>
      <c r="J70" s="556"/>
      <c r="K70" s="509"/>
      <c r="L70" s="523"/>
      <c r="M70" s="524"/>
      <c r="N70" s="524"/>
      <c r="O70" s="524"/>
      <c r="P70" s="524"/>
      <c r="Q70" s="524"/>
      <c r="R70" s="524"/>
      <c r="S70" s="524"/>
      <c r="T70" s="524"/>
      <c r="U70" s="524"/>
      <c r="V70" s="524"/>
      <c r="W70" s="524"/>
      <c r="X70" s="524"/>
    </row>
    <row r="71" spans="1:25" s="89" customFormat="1" ht="19.5" customHeight="1" x14ac:dyDescent="0.3">
      <c r="A71" s="342"/>
      <c r="B71" s="566" t="s">
        <v>454</v>
      </c>
      <c r="C71" s="564"/>
      <c r="D71" s="565"/>
      <c r="E71" s="565"/>
      <c r="F71" s="428">
        <v>81</v>
      </c>
      <c r="G71" s="428"/>
      <c r="H71" s="428">
        <v>0</v>
      </c>
      <c r="I71" s="334">
        <f>F71-H71</f>
        <v>81</v>
      </c>
      <c r="J71" s="555"/>
      <c r="K71" s="509" t="s">
        <v>459</v>
      </c>
      <c r="L71" s="523"/>
      <c r="M71" s="524"/>
      <c r="N71" s="524"/>
      <c r="O71" s="524"/>
      <c r="P71" s="524"/>
      <c r="Q71" s="524"/>
      <c r="R71" s="524"/>
      <c r="S71" s="524"/>
      <c r="T71" s="524"/>
      <c r="U71" s="524"/>
      <c r="V71" s="524"/>
      <c r="W71" s="524"/>
      <c r="X71" s="524"/>
      <c r="Y71" s="89" t="s">
        <v>494</v>
      </c>
    </row>
    <row r="72" spans="1:25" s="89" customFormat="1" ht="19.5" hidden="1" customHeight="1" x14ac:dyDescent="0.3">
      <c r="A72" s="342"/>
      <c r="B72" s="566" t="s">
        <v>455</v>
      </c>
      <c r="C72" s="564"/>
      <c r="D72" s="565"/>
      <c r="E72" s="565"/>
      <c r="F72" s="428">
        <v>4228.2139999999999</v>
      </c>
      <c r="G72" s="428"/>
      <c r="H72" s="428">
        <f>F72</f>
        <v>4228.2139999999999</v>
      </c>
      <c r="I72" s="334">
        <f>F72-H72</f>
        <v>0</v>
      </c>
      <c r="J72" s="555"/>
      <c r="K72" s="509"/>
      <c r="L72" s="523"/>
      <c r="M72" s="524"/>
      <c r="N72" s="524"/>
      <c r="O72" s="524"/>
      <c r="P72" s="524"/>
      <c r="Q72" s="524"/>
      <c r="R72" s="524"/>
      <c r="S72" s="524"/>
      <c r="T72" s="524"/>
      <c r="U72" s="524"/>
      <c r="V72" s="524"/>
      <c r="W72" s="524"/>
      <c r="X72" s="524"/>
    </row>
    <row r="73" spans="1:25" ht="36" hidden="1" customHeight="1" x14ac:dyDescent="0.35">
      <c r="A73" s="100">
        <v>4</v>
      </c>
      <c r="B73" s="331" t="s">
        <v>405</v>
      </c>
      <c r="C73" s="379"/>
      <c r="D73" s="379"/>
      <c r="E73" s="366"/>
      <c r="F73" s="336">
        <v>40000</v>
      </c>
      <c r="G73" s="336"/>
      <c r="H73" s="336">
        <v>40000</v>
      </c>
      <c r="I73" s="97">
        <f>F73-H73</f>
        <v>0</v>
      </c>
      <c r="J73" s="557"/>
      <c r="K73" s="516"/>
    </row>
    <row r="74" spans="1:25" s="501" customFormat="1" ht="30.75" customHeight="1" x14ac:dyDescent="0.3">
      <c r="A74" s="497" t="s">
        <v>9</v>
      </c>
      <c r="B74" s="498" t="s">
        <v>227</v>
      </c>
      <c r="C74" s="499"/>
      <c r="D74" s="499"/>
      <c r="E74" s="500"/>
      <c r="F74" s="499">
        <f>F76+F77+F78+F79+F80</f>
        <v>269616</v>
      </c>
      <c r="G74" s="499">
        <f>'[2]Chi tiết PA TTTKC sau đc'!$AC$42</f>
        <v>252087.47929400002</v>
      </c>
      <c r="H74" s="499">
        <f>H76+H77+H78+H79+H80</f>
        <v>104742.01186899999</v>
      </c>
      <c r="I74" s="499">
        <f>I76+I77+I78+I79+I80</f>
        <v>104095.467425</v>
      </c>
      <c r="J74" s="558"/>
      <c r="K74" s="517"/>
      <c r="L74" s="535">
        <f>L77</f>
        <v>3114.3</v>
      </c>
      <c r="M74" s="536">
        <f>M81+M84+M91+M95</f>
        <v>31188</v>
      </c>
      <c r="N74" s="536">
        <f>N94</f>
        <v>3500</v>
      </c>
      <c r="O74" s="536">
        <f>O77+O85</f>
        <v>12396.025530999999</v>
      </c>
      <c r="P74" s="536" t="e">
        <f>P79</f>
        <v>#REF!</v>
      </c>
      <c r="Q74" s="536">
        <f>Q78</f>
        <v>1878</v>
      </c>
      <c r="R74" s="536">
        <f>R76</f>
        <v>220</v>
      </c>
      <c r="S74" s="536" t="e">
        <f>S79</f>
        <v>#REF!</v>
      </c>
      <c r="T74" s="536" t="e">
        <f>'Chi tiet bo sung KP'!#REF!</f>
        <v>#REF!</v>
      </c>
      <c r="U74" s="536">
        <f>U86</f>
        <v>24551</v>
      </c>
      <c r="V74" s="536">
        <f>V93</f>
        <v>100</v>
      </c>
      <c r="W74" s="536">
        <f>H90</f>
        <v>24320</v>
      </c>
      <c r="X74" s="536">
        <f>2000</f>
        <v>2000</v>
      </c>
    </row>
    <row r="75" spans="1:25" s="89" customFormat="1" ht="30.75" hidden="1" customHeight="1" x14ac:dyDescent="0.3">
      <c r="A75" s="347"/>
      <c r="B75" s="359"/>
      <c r="C75" s="355"/>
      <c r="D75" s="355"/>
      <c r="E75" s="429"/>
      <c r="F75" s="355"/>
      <c r="G75" s="355"/>
      <c r="H75" s="355"/>
      <c r="I75" s="355"/>
      <c r="J75" s="567"/>
      <c r="K75" s="568"/>
      <c r="L75" s="523"/>
      <c r="M75" s="524"/>
      <c r="N75" s="524"/>
      <c r="O75" s="524"/>
      <c r="P75" s="524"/>
      <c r="Q75" s="524"/>
      <c r="R75" s="524"/>
      <c r="S75" s="524"/>
      <c r="T75" s="524">
        <v>4390.6099999999997</v>
      </c>
      <c r="U75" s="524"/>
      <c r="V75" s="524"/>
      <c r="W75" s="524"/>
      <c r="X75" s="524"/>
    </row>
    <row r="76" spans="1:25" s="89" customFormat="1" ht="43.5" hidden="1" customHeight="1" x14ac:dyDescent="0.3">
      <c r="A76" s="347">
        <v>1</v>
      </c>
      <c r="B76" s="430" t="s">
        <v>424</v>
      </c>
      <c r="C76" s="355"/>
      <c r="D76" s="355"/>
      <c r="E76" s="429"/>
      <c r="F76" s="355">
        <v>2671</v>
      </c>
      <c r="G76" s="355">
        <f>'[2]Chi tiết PA TTTKC sau đc'!$AC$43</f>
        <v>2220</v>
      </c>
      <c r="H76" s="416">
        <f>G76</f>
        <v>2220</v>
      </c>
      <c r="I76" s="363">
        <f>G76-H76</f>
        <v>0</v>
      </c>
      <c r="J76" s="559">
        <f>G76-H76</f>
        <v>0</v>
      </c>
      <c r="K76" s="518" t="s">
        <v>483</v>
      </c>
      <c r="L76" s="523"/>
      <c r="M76" s="524"/>
      <c r="N76" s="524"/>
      <c r="O76" s="524"/>
      <c r="P76" s="524"/>
      <c r="Q76" s="524"/>
      <c r="R76" s="524">
        <v>220</v>
      </c>
      <c r="S76" s="524"/>
      <c r="T76" s="524"/>
      <c r="U76" s="524"/>
      <c r="V76" s="524"/>
      <c r="W76" s="524"/>
      <c r="X76" s="524"/>
    </row>
    <row r="77" spans="1:25" s="89" customFormat="1" ht="21.75" hidden="1" customHeight="1" x14ac:dyDescent="0.3">
      <c r="A77" s="347">
        <v>2</v>
      </c>
      <c r="B77" s="569" t="s">
        <v>401</v>
      </c>
      <c r="C77" s="431"/>
      <c r="D77" s="431"/>
      <c r="E77" s="429"/>
      <c r="F77" s="431">
        <v>15621</v>
      </c>
      <c r="G77" s="431">
        <f>'[2]Chi tiết PA TTTKC sau đc'!$AC$47</f>
        <v>15621</v>
      </c>
      <c r="H77" s="490">
        <f>'[3]PA TTTKC - đc'!$K$47</f>
        <v>11991.3</v>
      </c>
      <c r="I77" s="363">
        <f>G77-H77</f>
        <v>3629.7000000000007</v>
      </c>
      <c r="J77" s="559">
        <f t="shared" ref="J77:J99" si="10">G77-H77</f>
        <v>3629.7000000000007</v>
      </c>
      <c r="K77" s="518" t="s">
        <v>484</v>
      </c>
      <c r="L77" s="523">
        <f>'Chi tiet bo sung KP'!T17</f>
        <v>3114.3</v>
      </c>
      <c r="M77" s="524"/>
      <c r="N77" s="524"/>
      <c r="O77" s="524">
        <f>H77-L77</f>
        <v>8877</v>
      </c>
      <c r="P77" s="524"/>
      <c r="Q77" s="524"/>
      <c r="R77" s="524"/>
      <c r="S77" s="524"/>
      <c r="T77" s="524"/>
      <c r="U77" s="524"/>
      <c r="V77" s="524"/>
      <c r="W77" s="524"/>
      <c r="X77" s="524"/>
    </row>
    <row r="78" spans="1:25" s="89" customFormat="1" ht="23.25" hidden="1" customHeight="1" x14ac:dyDescent="0.3">
      <c r="A78" s="347">
        <v>3</v>
      </c>
      <c r="B78" s="359" t="s">
        <v>425</v>
      </c>
      <c r="C78" s="431"/>
      <c r="D78" s="431"/>
      <c r="E78" s="431"/>
      <c r="F78" s="431">
        <v>16464</v>
      </c>
      <c r="G78" s="431">
        <f>'[2]Chi tiết PA TTTKC sau đc'!$AC$44</f>
        <v>1878</v>
      </c>
      <c r="H78" s="416">
        <f>G78</f>
        <v>1878</v>
      </c>
      <c r="I78" s="363">
        <f>G78-H78</f>
        <v>0</v>
      </c>
      <c r="J78" s="559">
        <f t="shared" si="10"/>
        <v>0</v>
      </c>
      <c r="K78" s="518" t="s">
        <v>485</v>
      </c>
      <c r="L78" s="523"/>
      <c r="M78" s="524"/>
      <c r="N78" s="524"/>
      <c r="O78" s="524"/>
      <c r="P78" s="524"/>
      <c r="Q78" s="524">
        <f>H78</f>
        <v>1878</v>
      </c>
      <c r="R78" s="524"/>
      <c r="S78" s="524"/>
      <c r="T78" s="524"/>
      <c r="U78" s="524"/>
      <c r="V78" s="524"/>
      <c r="W78" s="524"/>
      <c r="X78" s="524"/>
    </row>
    <row r="79" spans="1:25" s="89" customFormat="1" ht="19.5" hidden="1" customHeight="1" x14ac:dyDescent="0.3">
      <c r="A79" s="347">
        <v>4</v>
      </c>
      <c r="B79" s="359" t="s">
        <v>146</v>
      </c>
      <c r="C79" s="431"/>
      <c r="D79" s="362"/>
      <c r="E79" s="362"/>
      <c r="F79" s="431">
        <v>3000</v>
      </c>
      <c r="G79" s="431">
        <f>'[2]Chi tiết PA TTTKC sau đc'!$AC$46</f>
        <v>2230</v>
      </c>
      <c r="H79" s="416">
        <f>'[3]PA TTTKC - đc'!$K$46</f>
        <v>1474.686338</v>
      </c>
      <c r="I79" s="363">
        <f>G79-H79</f>
        <v>755.31366200000002</v>
      </c>
      <c r="J79" s="559">
        <f t="shared" si="10"/>
        <v>755.31366200000002</v>
      </c>
      <c r="K79" s="518" t="s">
        <v>490</v>
      </c>
      <c r="L79" s="523"/>
      <c r="M79" s="524"/>
      <c r="N79" s="524"/>
      <c r="O79" s="524"/>
      <c r="P79" s="524" t="e">
        <f>'Chi tiet bo sung KP'!#REF!</f>
        <v>#REF!</v>
      </c>
      <c r="Q79" s="524"/>
      <c r="R79" s="524"/>
      <c r="S79" s="524" t="e">
        <f>'Chi tiet bo sung KP'!#REF!</f>
        <v>#REF!</v>
      </c>
      <c r="T79" s="524" t="e">
        <f>T74-T75</f>
        <v>#REF!</v>
      </c>
      <c r="U79" s="524"/>
      <c r="V79" s="524"/>
      <c r="W79" s="524"/>
      <c r="X79" s="524"/>
    </row>
    <row r="80" spans="1:25" s="89" customFormat="1" ht="22.5" hidden="1" customHeight="1" x14ac:dyDescent="0.3">
      <c r="A80" s="347">
        <v>5</v>
      </c>
      <c r="B80" s="359" t="s">
        <v>426</v>
      </c>
      <c r="C80" s="362"/>
      <c r="D80" s="362"/>
      <c r="E80" s="362"/>
      <c r="F80" s="411">
        <f>F81+F82+F87</f>
        <v>231860</v>
      </c>
      <c r="G80" s="411">
        <f>'[2]Chi tiết PA TTTKC sau đc'!$AC$49</f>
        <v>230138.47929400002</v>
      </c>
      <c r="H80" s="411">
        <f>H81+H82+H87</f>
        <v>87178.025530999992</v>
      </c>
      <c r="I80" s="411">
        <f>I81+I82+I87</f>
        <v>99710.453762999998</v>
      </c>
      <c r="J80" s="559">
        <f t="shared" si="10"/>
        <v>142960.45376300003</v>
      </c>
      <c r="K80" s="518"/>
      <c r="L80" s="523"/>
      <c r="M80" s="524"/>
      <c r="N80" s="524"/>
      <c r="O80" s="524"/>
      <c r="P80" s="524"/>
      <c r="Q80" s="524"/>
      <c r="R80" s="524"/>
      <c r="S80" s="524"/>
      <c r="T80" s="524"/>
      <c r="U80" s="524"/>
      <c r="V80" s="524"/>
      <c r="W80" s="524"/>
      <c r="X80" s="524"/>
    </row>
    <row r="81" spans="1:25" s="89" customFormat="1" ht="27.75" hidden="1" customHeight="1" x14ac:dyDescent="0.3">
      <c r="A81" s="422" t="s">
        <v>443</v>
      </c>
      <c r="B81" s="423" t="s">
        <v>427</v>
      </c>
      <c r="C81" s="97"/>
      <c r="D81" s="423"/>
      <c r="E81" s="423"/>
      <c r="F81" s="97">
        <v>9188</v>
      </c>
      <c r="G81" s="394">
        <f>F81</f>
        <v>9188</v>
      </c>
      <c r="H81" s="495">
        <f>F81</f>
        <v>9188</v>
      </c>
      <c r="I81" s="496">
        <f>F81-H81</f>
        <v>0</v>
      </c>
      <c r="J81" s="559">
        <f t="shared" si="10"/>
        <v>0</v>
      </c>
      <c r="K81" s="518" t="s">
        <v>486</v>
      </c>
      <c r="L81" s="523"/>
      <c r="M81" s="524">
        <f>H81</f>
        <v>9188</v>
      </c>
      <c r="N81" s="524"/>
      <c r="O81" s="524"/>
      <c r="P81" s="524"/>
      <c r="Q81" s="524"/>
      <c r="R81" s="524"/>
      <c r="S81" s="524"/>
      <c r="T81" s="524"/>
      <c r="U81" s="524"/>
      <c r="V81" s="524"/>
      <c r="W81" s="524"/>
      <c r="X81" s="524"/>
    </row>
    <row r="82" spans="1:25" s="89" customFormat="1" ht="35.25" hidden="1" customHeight="1" x14ac:dyDescent="0.3">
      <c r="A82" s="422" t="s">
        <v>444</v>
      </c>
      <c r="B82" s="423" t="s">
        <v>439</v>
      </c>
      <c r="C82" s="97"/>
      <c r="D82" s="423"/>
      <c r="E82" s="423"/>
      <c r="F82" s="97">
        <f>SUM(F83:F86)</f>
        <v>114102</v>
      </c>
      <c r="G82" s="394">
        <f>G83+G84+G85+G86</f>
        <v>106899</v>
      </c>
      <c r="H82" s="394">
        <f>SUM(H83:H86)</f>
        <v>34070.025530999999</v>
      </c>
      <c r="I82" s="394">
        <f>SUM(I83:I86)</f>
        <v>72828.974468999993</v>
      </c>
      <c r="J82" s="559">
        <f t="shared" si="10"/>
        <v>72828.974469000008</v>
      </c>
      <c r="K82" s="518"/>
      <c r="L82" s="523"/>
      <c r="M82" s="524"/>
      <c r="N82" s="524"/>
      <c r="O82" s="524"/>
      <c r="P82" s="524"/>
      <c r="Q82" s="524"/>
      <c r="R82" s="524"/>
      <c r="S82" s="524"/>
      <c r="T82" s="524"/>
      <c r="U82" s="524"/>
      <c r="V82" s="524"/>
      <c r="W82" s="524"/>
      <c r="X82" s="524"/>
    </row>
    <row r="83" spans="1:25" s="89" customFormat="1" ht="33.75" hidden="1" customHeight="1" x14ac:dyDescent="0.3">
      <c r="A83" s="406"/>
      <c r="B83" s="407" t="s">
        <v>428</v>
      </c>
      <c r="C83" s="409"/>
      <c r="D83" s="362"/>
      <c r="E83" s="362"/>
      <c r="F83" s="409">
        <v>80000</v>
      </c>
      <c r="G83" s="409">
        <f>'[2]Chi tiết PA TTTKC sau đc'!$AC$52</f>
        <v>72797</v>
      </c>
      <c r="H83" s="432"/>
      <c r="I83" s="99">
        <f>G83-H83</f>
        <v>72797</v>
      </c>
      <c r="J83" s="559">
        <f t="shared" si="10"/>
        <v>72797</v>
      </c>
      <c r="K83" s="518" t="s">
        <v>451</v>
      </c>
      <c r="L83" s="523"/>
      <c r="M83" s="524"/>
      <c r="N83" s="524"/>
      <c r="O83" s="524"/>
      <c r="P83" s="524"/>
      <c r="Q83" s="524"/>
      <c r="R83" s="524"/>
      <c r="S83" s="524"/>
      <c r="T83" s="524"/>
      <c r="U83" s="524"/>
      <c r="V83" s="524"/>
      <c r="W83" s="524"/>
      <c r="X83" s="524"/>
    </row>
    <row r="84" spans="1:25" s="89" customFormat="1" ht="22.5" hidden="1" customHeight="1" x14ac:dyDescent="0.3">
      <c r="A84" s="406"/>
      <c r="B84" s="407" t="s">
        <v>400</v>
      </c>
      <c r="C84" s="409"/>
      <c r="D84" s="362"/>
      <c r="E84" s="362"/>
      <c r="F84" s="409">
        <v>6000</v>
      </c>
      <c r="G84" s="409">
        <f>F84</f>
        <v>6000</v>
      </c>
      <c r="H84" s="99">
        <f>F84</f>
        <v>6000</v>
      </c>
      <c r="I84" s="99"/>
      <c r="J84" s="559">
        <f t="shared" si="10"/>
        <v>0</v>
      </c>
      <c r="K84" s="518" t="s">
        <v>486</v>
      </c>
      <c r="L84" s="523"/>
      <c r="M84" s="524">
        <f>H84</f>
        <v>6000</v>
      </c>
      <c r="N84" s="524"/>
      <c r="P84" s="524"/>
      <c r="Q84" s="524"/>
      <c r="R84" s="524"/>
      <c r="S84" s="524"/>
      <c r="T84" s="524"/>
      <c r="U84" s="524"/>
      <c r="V84" s="524"/>
      <c r="W84" s="524"/>
      <c r="X84" s="524"/>
    </row>
    <row r="85" spans="1:25" s="89" customFormat="1" ht="22.5" hidden="1" customHeight="1" x14ac:dyDescent="0.3">
      <c r="A85" s="406"/>
      <c r="B85" s="407" t="s">
        <v>440</v>
      </c>
      <c r="C85" s="409"/>
      <c r="D85" s="362"/>
      <c r="E85" s="362"/>
      <c r="F85" s="409">
        <v>3551</v>
      </c>
      <c r="G85" s="409">
        <f>F85</f>
        <v>3551</v>
      </c>
      <c r="H85" s="99">
        <v>3519.0255309999998</v>
      </c>
      <c r="I85" s="99">
        <f>G85-H85</f>
        <v>31.974469000000227</v>
      </c>
      <c r="J85" s="559">
        <f t="shared" si="10"/>
        <v>31.974469000000227</v>
      </c>
      <c r="K85" s="518" t="s">
        <v>487</v>
      </c>
      <c r="L85" s="523"/>
      <c r="M85" s="524"/>
      <c r="N85" s="524"/>
      <c r="O85" s="524">
        <f>H85</f>
        <v>3519.0255309999998</v>
      </c>
      <c r="P85" s="524"/>
      <c r="Q85" s="524"/>
      <c r="R85" s="524"/>
      <c r="S85" s="524"/>
      <c r="T85" s="524"/>
      <c r="U85" s="524"/>
      <c r="V85" s="524"/>
      <c r="W85" s="524"/>
      <c r="X85" s="524"/>
    </row>
    <row r="86" spans="1:25" s="89" customFormat="1" ht="22.5" hidden="1" customHeight="1" x14ac:dyDescent="0.3">
      <c r="A86" s="406"/>
      <c r="B86" s="407" t="s">
        <v>429</v>
      </c>
      <c r="C86" s="409"/>
      <c r="D86" s="362"/>
      <c r="E86" s="362"/>
      <c r="F86" s="409">
        <v>24551</v>
      </c>
      <c r="G86" s="409">
        <f>F86</f>
        <v>24551</v>
      </c>
      <c r="H86" s="99">
        <f>G86</f>
        <v>24551</v>
      </c>
      <c r="I86" s="99"/>
      <c r="J86" s="559">
        <f t="shared" si="10"/>
        <v>0</v>
      </c>
      <c r="K86" s="518" t="s">
        <v>491</v>
      </c>
      <c r="L86" s="523"/>
      <c r="M86" s="524"/>
      <c r="N86" s="524"/>
      <c r="O86" s="524"/>
      <c r="P86" s="524"/>
      <c r="Q86" s="524"/>
      <c r="R86" s="524"/>
      <c r="S86" s="524"/>
      <c r="T86" s="524"/>
      <c r="U86" s="524">
        <f>H86</f>
        <v>24551</v>
      </c>
      <c r="V86" s="524"/>
      <c r="W86" s="524"/>
      <c r="X86" s="524"/>
    </row>
    <row r="87" spans="1:25" s="89" customFormat="1" ht="22.5" hidden="1" customHeight="1" x14ac:dyDescent="0.3">
      <c r="A87" s="422" t="s">
        <v>445</v>
      </c>
      <c r="B87" s="433" t="s">
        <v>430</v>
      </c>
      <c r="C87" s="97"/>
      <c r="D87" s="423"/>
      <c r="E87" s="423"/>
      <c r="F87" s="97">
        <f>SUM(F88:F95)</f>
        <v>108570</v>
      </c>
      <c r="G87" s="394">
        <f>SUM(G88:G99)</f>
        <v>114051.479294</v>
      </c>
      <c r="H87" s="394">
        <f>SUM(H88:H99)</f>
        <v>43920</v>
      </c>
      <c r="I87" s="394">
        <f>SUM(I88:I99)</f>
        <v>26881.479294000001</v>
      </c>
      <c r="J87" s="559">
        <f t="shared" si="10"/>
        <v>70131.479294000004</v>
      </c>
      <c r="K87" s="518"/>
      <c r="L87" s="523"/>
      <c r="M87" s="524"/>
      <c r="N87" s="524"/>
      <c r="O87" s="524"/>
      <c r="P87" s="524"/>
      <c r="Q87" s="524"/>
      <c r="R87" s="524"/>
      <c r="S87" s="524"/>
      <c r="T87" s="524"/>
      <c r="U87" s="524"/>
      <c r="V87" s="524"/>
      <c r="W87" s="524"/>
      <c r="X87" s="524"/>
    </row>
    <row r="88" spans="1:25" s="89" customFormat="1" ht="48.75" customHeight="1" x14ac:dyDescent="0.3">
      <c r="A88" s="406"/>
      <c r="B88" s="408" t="s">
        <v>431</v>
      </c>
      <c r="C88" s="410"/>
      <c r="D88" s="362"/>
      <c r="E88" s="362"/>
      <c r="F88" s="410">
        <v>39300</v>
      </c>
      <c r="G88" s="410">
        <f t="shared" ref="G88:G95" si="11">F88</f>
        <v>39300</v>
      </c>
      <c r="H88" s="99"/>
      <c r="I88" s="413"/>
      <c r="J88" s="559">
        <f t="shared" si="10"/>
        <v>39300</v>
      </c>
      <c r="K88" s="518" t="s">
        <v>457</v>
      </c>
      <c r="L88" s="892"/>
      <c r="M88" s="524"/>
      <c r="N88" s="524"/>
      <c r="O88" s="524"/>
      <c r="P88" s="524"/>
      <c r="Q88" s="524"/>
      <c r="R88" s="524"/>
      <c r="S88" s="524"/>
      <c r="T88" s="524"/>
      <c r="U88" s="524"/>
      <c r="V88" s="524"/>
      <c r="W88" s="524"/>
      <c r="X88" s="524"/>
      <c r="Y88" s="89" t="s">
        <v>493</v>
      </c>
    </row>
    <row r="89" spans="1:25" s="89" customFormat="1" ht="31.5" customHeight="1" x14ac:dyDescent="0.3">
      <c r="A89" s="406"/>
      <c r="B89" s="408" t="s">
        <v>432</v>
      </c>
      <c r="C89" s="410"/>
      <c r="D89" s="362"/>
      <c r="E89" s="362"/>
      <c r="F89" s="410">
        <v>3950</v>
      </c>
      <c r="G89" s="410">
        <f t="shared" si="11"/>
        <v>3950</v>
      </c>
      <c r="H89" s="99"/>
      <c r="I89" s="413"/>
      <c r="J89" s="559">
        <f t="shared" si="10"/>
        <v>3950</v>
      </c>
      <c r="K89" s="518" t="s">
        <v>457</v>
      </c>
      <c r="L89" s="892"/>
      <c r="M89" s="524"/>
      <c r="N89" s="524"/>
      <c r="O89" s="524"/>
      <c r="P89" s="524"/>
      <c r="Q89" s="524"/>
      <c r="R89" s="524"/>
      <c r="S89" s="524"/>
      <c r="T89" s="524"/>
      <c r="U89" s="524"/>
      <c r="V89" s="524"/>
      <c r="W89" s="524"/>
      <c r="X89" s="524"/>
      <c r="Y89" s="89" t="s">
        <v>492</v>
      </c>
    </row>
    <row r="90" spans="1:25" s="89" customFormat="1" ht="33.75" hidden="1" customHeight="1" x14ac:dyDescent="0.3">
      <c r="A90" s="406"/>
      <c r="B90" s="407" t="s">
        <v>433</v>
      </c>
      <c r="C90" s="409"/>
      <c r="D90" s="362"/>
      <c r="E90" s="362"/>
      <c r="F90" s="409">
        <v>24320</v>
      </c>
      <c r="G90" s="409">
        <f t="shared" si="11"/>
        <v>24320</v>
      </c>
      <c r="H90" s="99">
        <v>24320</v>
      </c>
      <c r="I90" s="413">
        <f>F90-H90</f>
        <v>0</v>
      </c>
      <c r="J90" s="559">
        <f t="shared" si="10"/>
        <v>0</v>
      </c>
      <c r="K90" s="518"/>
      <c r="L90" s="892"/>
      <c r="M90" s="524"/>
      <c r="N90" s="524"/>
      <c r="O90" s="524"/>
      <c r="P90" s="524"/>
      <c r="Q90" s="524"/>
      <c r="R90" s="524"/>
      <c r="S90" s="524"/>
      <c r="T90" s="524"/>
      <c r="U90" s="524"/>
      <c r="V90" s="524"/>
      <c r="W90" s="524"/>
      <c r="X90" s="524"/>
    </row>
    <row r="91" spans="1:25" s="89" customFormat="1" ht="49.5" hidden="1" customHeight="1" x14ac:dyDescent="0.3">
      <c r="A91" s="406"/>
      <c r="B91" s="407" t="s">
        <v>434</v>
      </c>
      <c r="C91" s="409"/>
      <c r="D91" s="364"/>
      <c r="E91" s="364"/>
      <c r="F91" s="409">
        <v>10000</v>
      </c>
      <c r="G91" s="409">
        <f t="shared" si="11"/>
        <v>10000</v>
      </c>
      <c r="H91" s="413">
        <v>10000</v>
      </c>
      <c r="I91" s="99">
        <f t="shared" ref="I91:I99" si="12">G91-H91</f>
        <v>0</v>
      </c>
      <c r="J91" s="559">
        <f t="shared" si="10"/>
        <v>0</v>
      </c>
      <c r="K91" s="518" t="s">
        <v>486</v>
      </c>
      <c r="L91" s="527"/>
      <c r="M91" s="524">
        <f>H91</f>
        <v>10000</v>
      </c>
      <c r="N91" s="524"/>
      <c r="O91" s="524"/>
      <c r="P91" s="524"/>
      <c r="Q91" s="524"/>
      <c r="R91" s="524"/>
      <c r="S91" s="524"/>
      <c r="T91" s="524"/>
      <c r="U91" s="524"/>
      <c r="V91" s="524"/>
      <c r="W91" s="524"/>
      <c r="X91" s="524"/>
    </row>
    <row r="92" spans="1:25" s="89" customFormat="1" ht="21.75" hidden="1" customHeight="1" x14ac:dyDescent="0.3">
      <c r="A92" s="406"/>
      <c r="B92" s="407" t="s">
        <v>435</v>
      </c>
      <c r="C92" s="409"/>
      <c r="D92" s="361"/>
      <c r="E92" s="361"/>
      <c r="F92" s="409">
        <v>1500</v>
      </c>
      <c r="G92" s="409">
        <f t="shared" si="11"/>
        <v>1500</v>
      </c>
      <c r="H92" s="412"/>
      <c r="I92" s="99">
        <f t="shared" si="12"/>
        <v>1500</v>
      </c>
      <c r="J92" s="559">
        <f t="shared" si="10"/>
        <v>1500</v>
      </c>
      <c r="K92" s="518" t="s">
        <v>460</v>
      </c>
      <c r="L92" s="523"/>
      <c r="M92" s="524"/>
      <c r="N92" s="524"/>
      <c r="O92" s="524"/>
      <c r="P92" s="524"/>
      <c r="Q92" s="524"/>
      <c r="R92" s="524"/>
      <c r="S92" s="524"/>
      <c r="T92" s="524"/>
      <c r="U92" s="524"/>
      <c r="V92" s="524"/>
      <c r="W92" s="524"/>
      <c r="X92" s="524"/>
    </row>
    <row r="93" spans="1:25" s="89" customFormat="1" ht="21.75" hidden="1" customHeight="1" x14ac:dyDescent="0.3">
      <c r="A93" s="406"/>
      <c r="B93" s="407" t="s">
        <v>436</v>
      </c>
      <c r="C93" s="409"/>
      <c r="D93" s="364"/>
      <c r="E93" s="364"/>
      <c r="F93" s="409">
        <v>20000</v>
      </c>
      <c r="G93" s="409">
        <f t="shared" si="11"/>
        <v>20000</v>
      </c>
      <c r="H93" s="413">
        <v>100</v>
      </c>
      <c r="I93" s="99">
        <f t="shared" si="12"/>
        <v>19900</v>
      </c>
      <c r="J93" s="559">
        <f t="shared" si="10"/>
        <v>19900</v>
      </c>
      <c r="K93" s="518" t="s">
        <v>489</v>
      </c>
      <c r="L93" s="523"/>
      <c r="M93" s="524"/>
      <c r="N93" s="524"/>
      <c r="O93" s="524"/>
      <c r="P93" s="524"/>
      <c r="Q93" s="524"/>
      <c r="R93" s="524"/>
      <c r="S93" s="524"/>
      <c r="T93" s="524"/>
      <c r="U93" s="524"/>
      <c r="V93" s="524">
        <f>H93</f>
        <v>100</v>
      </c>
      <c r="W93" s="524"/>
      <c r="X93" s="524"/>
    </row>
    <row r="94" spans="1:25" s="89" customFormat="1" ht="38.25" hidden="1" customHeight="1" x14ac:dyDescent="0.3">
      <c r="A94" s="406"/>
      <c r="B94" s="407" t="s">
        <v>437</v>
      </c>
      <c r="C94" s="409"/>
      <c r="D94" s="361"/>
      <c r="E94" s="361"/>
      <c r="F94" s="409">
        <v>3500</v>
      </c>
      <c r="G94" s="409">
        <f t="shared" si="11"/>
        <v>3500</v>
      </c>
      <c r="H94" s="335">
        <f>F94</f>
        <v>3500</v>
      </c>
      <c r="I94" s="99">
        <f t="shared" si="12"/>
        <v>0</v>
      </c>
      <c r="J94" s="559">
        <f t="shared" si="10"/>
        <v>0</v>
      </c>
      <c r="K94" s="518" t="s">
        <v>488</v>
      </c>
      <c r="L94" s="523"/>
      <c r="M94" s="524"/>
      <c r="N94" s="524">
        <f>H94</f>
        <v>3500</v>
      </c>
      <c r="O94" s="524"/>
      <c r="P94" s="524"/>
      <c r="Q94" s="524"/>
      <c r="R94" s="524"/>
      <c r="S94" s="524"/>
      <c r="T94" s="524"/>
      <c r="U94" s="524"/>
      <c r="V94" s="524"/>
      <c r="W94" s="524"/>
      <c r="X94" s="524"/>
    </row>
    <row r="95" spans="1:25" s="89" customFormat="1" ht="36.75" hidden="1" customHeight="1" x14ac:dyDescent="0.3">
      <c r="A95" s="406"/>
      <c r="B95" s="407" t="s">
        <v>438</v>
      </c>
      <c r="C95" s="409"/>
      <c r="D95" s="361"/>
      <c r="E95" s="361"/>
      <c r="F95" s="409">
        <v>6000</v>
      </c>
      <c r="G95" s="409">
        <f t="shared" si="11"/>
        <v>6000</v>
      </c>
      <c r="H95" s="335">
        <v>6000</v>
      </c>
      <c r="I95" s="99">
        <f t="shared" si="12"/>
        <v>0</v>
      </c>
      <c r="J95" s="559">
        <f t="shared" si="10"/>
        <v>0</v>
      </c>
      <c r="K95" s="518" t="s">
        <v>486</v>
      </c>
      <c r="L95" s="523"/>
      <c r="M95" s="524">
        <f>H95</f>
        <v>6000</v>
      </c>
      <c r="N95" s="524"/>
      <c r="O95" s="524"/>
      <c r="P95" s="524"/>
      <c r="Q95" s="524"/>
      <c r="R95" s="524"/>
      <c r="S95" s="524"/>
      <c r="T95" s="524"/>
      <c r="U95" s="524"/>
      <c r="V95" s="524"/>
      <c r="W95" s="524"/>
      <c r="X95" s="524"/>
    </row>
    <row r="96" spans="1:25" s="89" customFormat="1" ht="31" hidden="1" x14ac:dyDescent="0.3">
      <c r="A96" s="406"/>
      <c r="B96" s="491" t="s">
        <v>479</v>
      </c>
      <c r="C96" s="409"/>
      <c r="D96" s="361"/>
      <c r="E96" s="361"/>
      <c r="F96" s="409"/>
      <c r="G96" s="493">
        <v>4711.4792939999998</v>
      </c>
      <c r="H96" s="335"/>
      <c r="I96" s="99">
        <f t="shared" si="12"/>
        <v>4711.4792939999998</v>
      </c>
      <c r="J96" s="559">
        <f t="shared" si="10"/>
        <v>4711.4792939999998</v>
      </c>
      <c r="K96" s="518" t="s">
        <v>460</v>
      </c>
      <c r="L96" s="523"/>
      <c r="M96" s="524"/>
      <c r="N96" s="524"/>
      <c r="O96" s="524"/>
      <c r="P96" s="524"/>
      <c r="Q96" s="524"/>
      <c r="R96" s="524"/>
      <c r="S96" s="524"/>
      <c r="T96" s="524"/>
      <c r="U96" s="524"/>
      <c r="V96" s="524"/>
      <c r="W96" s="524"/>
      <c r="X96" s="524"/>
    </row>
    <row r="97" spans="1:24" s="89" customFormat="1" ht="31" hidden="1" x14ac:dyDescent="0.3">
      <c r="A97" s="406"/>
      <c r="B97" s="491" t="s">
        <v>480</v>
      </c>
      <c r="C97" s="409"/>
      <c r="D97" s="361"/>
      <c r="E97" s="361"/>
      <c r="F97" s="409"/>
      <c r="G97" s="493">
        <v>500</v>
      </c>
      <c r="H97" s="335"/>
      <c r="I97" s="99">
        <f t="shared" si="12"/>
        <v>500</v>
      </c>
      <c r="J97" s="559">
        <f t="shared" si="10"/>
        <v>500</v>
      </c>
      <c r="K97" s="518" t="s">
        <v>460</v>
      </c>
      <c r="L97" s="523"/>
      <c r="M97" s="524"/>
      <c r="N97" s="524"/>
      <c r="O97" s="524"/>
      <c r="P97" s="524"/>
      <c r="Q97" s="524"/>
      <c r="R97" s="524"/>
      <c r="S97" s="524"/>
      <c r="T97" s="524"/>
      <c r="U97" s="524"/>
      <c r="V97" s="524"/>
      <c r="W97" s="524"/>
      <c r="X97" s="524"/>
    </row>
    <row r="98" spans="1:24" s="89" customFormat="1" ht="31" hidden="1" x14ac:dyDescent="0.3">
      <c r="A98" s="406"/>
      <c r="B98" s="491" t="s">
        <v>481</v>
      </c>
      <c r="C98" s="409"/>
      <c r="D98" s="361"/>
      <c r="E98" s="361"/>
      <c r="F98" s="409"/>
      <c r="G98" s="493">
        <v>100</v>
      </c>
      <c r="H98" s="335"/>
      <c r="I98" s="99">
        <f t="shared" si="12"/>
        <v>100</v>
      </c>
      <c r="J98" s="559">
        <f t="shared" si="10"/>
        <v>100</v>
      </c>
      <c r="K98" s="518" t="s">
        <v>460</v>
      </c>
      <c r="L98" s="523"/>
      <c r="M98" s="524"/>
      <c r="N98" s="524"/>
      <c r="O98" s="524"/>
      <c r="P98" s="524"/>
      <c r="Q98" s="524"/>
      <c r="R98" s="524"/>
      <c r="S98" s="524"/>
      <c r="T98" s="524"/>
      <c r="U98" s="524"/>
      <c r="V98" s="524"/>
      <c r="W98" s="524"/>
      <c r="X98" s="524"/>
    </row>
    <row r="99" spans="1:24" s="89" customFormat="1" ht="36.75" hidden="1" customHeight="1" x14ac:dyDescent="0.3">
      <c r="A99" s="406"/>
      <c r="B99" s="492" t="s">
        <v>482</v>
      </c>
      <c r="C99" s="409"/>
      <c r="D99" s="361"/>
      <c r="E99" s="361"/>
      <c r="F99" s="409"/>
      <c r="G99" s="494">
        <v>170</v>
      </c>
      <c r="H99" s="335"/>
      <c r="I99" s="99">
        <f t="shared" si="12"/>
        <v>170</v>
      </c>
      <c r="J99" s="559">
        <f t="shared" si="10"/>
        <v>170</v>
      </c>
      <c r="K99" s="518" t="s">
        <v>460</v>
      </c>
      <c r="L99" s="523"/>
      <c r="M99" s="524"/>
      <c r="N99" s="524"/>
      <c r="O99" s="524"/>
      <c r="P99" s="524"/>
      <c r="Q99" s="524"/>
      <c r="R99" s="524"/>
      <c r="S99" s="524"/>
      <c r="T99" s="524"/>
      <c r="U99" s="524"/>
      <c r="V99" s="524"/>
      <c r="W99" s="524"/>
      <c r="X99" s="524"/>
    </row>
    <row r="100" spans="1:24" s="89" customFormat="1" ht="36.75" hidden="1" customHeight="1" x14ac:dyDescent="0.3">
      <c r="A100" s="406"/>
      <c r="B100" s="407"/>
      <c r="C100" s="409"/>
      <c r="D100" s="361"/>
      <c r="E100" s="361"/>
      <c r="F100" s="409"/>
      <c r="G100" s="409"/>
      <c r="H100" s="335"/>
      <c r="I100" s="413"/>
      <c r="J100" s="519"/>
      <c r="K100" s="506"/>
      <c r="L100" s="523"/>
      <c r="M100" s="524"/>
      <c r="N100" s="524"/>
      <c r="O100" s="524"/>
      <c r="P100" s="524"/>
      <c r="Q100" s="524"/>
      <c r="R100" s="524"/>
      <c r="S100" s="524"/>
      <c r="T100" s="524"/>
      <c r="U100" s="524"/>
      <c r="V100" s="524"/>
      <c r="W100" s="524"/>
      <c r="X100" s="524"/>
    </row>
    <row r="101" spans="1:24" s="89" customFormat="1" ht="19.5" hidden="1" customHeight="1" x14ac:dyDescent="0.3">
      <c r="A101" s="434"/>
      <c r="B101" s="359"/>
      <c r="C101" s="435"/>
      <c r="D101" s="435"/>
      <c r="E101" s="436"/>
      <c r="F101" s="435"/>
      <c r="G101" s="435"/>
      <c r="H101" s="435"/>
      <c r="I101" s="435"/>
      <c r="J101" s="560"/>
      <c r="K101" s="510"/>
      <c r="L101" s="523"/>
      <c r="M101" s="524"/>
      <c r="N101" s="524"/>
      <c r="O101" s="524"/>
      <c r="P101" s="524"/>
      <c r="Q101" s="524"/>
      <c r="R101" s="524"/>
      <c r="S101" s="524"/>
      <c r="T101" s="524"/>
      <c r="U101" s="524"/>
      <c r="V101" s="524"/>
      <c r="W101" s="524"/>
      <c r="X101" s="524"/>
    </row>
    <row r="102" spans="1:24" s="89" customFormat="1" ht="33.65" hidden="1" customHeight="1" x14ac:dyDescent="0.3">
      <c r="A102" s="434" t="s">
        <v>10</v>
      </c>
      <c r="B102" s="359" t="s">
        <v>446</v>
      </c>
      <c r="C102" s="435"/>
      <c r="D102" s="435"/>
      <c r="E102" s="436"/>
      <c r="F102" s="435">
        <f>14734+34761</f>
        <v>49495</v>
      </c>
      <c r="G102" s="435"/>
      <c r="H102" s="435">
        <f>'Chi tiet bo sung KP'!S26</f>
        <v>0</v>
      </c>
      <c r="I102" s="435">
        <f>F102-H102</f>
        <v>49495</v>
      </c>
      <c r="J102" s="560"/>
      <c r="K102" s="519"/>
      <c r="L102" s="523"/>
      <c r="M102" s="524"/>
      <c r="N102" s="524"/>
      <c r="O102" s="524"/>
      <c r="P102" s="524"/>
      <c r="Q102" s="524"/>
      <c r="R102" s="524"/>
      <c r="S102" s="524"/>
      <c r="T102" s="524"/>
      <c r="U102" s="524"/>
      <c r="V102" s="524"/>
      <c r="W102" s="524"/>
      <c r="X102" s="524"/>
    </row>
    <row r="103" spans="1:24" ht="33.75" hidden="1" customHeight="1" x14ac:dyDescent="0.35">
      <c r="A103" s="434" t="s">
        <v>240</v>
      </c>
      <c r="B103" s="345" t="s">
        <v>423</v>
      </c>
      <c r="C103" s="366"/>
      <c r="D103" s="366"/>
      <c r="E103" s="366"/>
      <c r="F103" s="339">
        <f>SUM(F104:F113)</f>
        <v>0</v>
      </c>
      <c r="G103" s="339"/>
      <c r="H103" s="339">
        <f>SUM(H104:H113)</f>
        <v>0</v>
      </c>
      <c r="I103" s="339">
        <f>F103-H103</f>
        <v>0</v>
      </c>
      <c r="J103" s="540"/>
      <c r="K103" s="520"/>
    </row>
    <row r="104" spans="1:24" ht="36" customHeight="1" x14ac:dyDescent="0.35">
      <c r="A104" s="100"/>
      <c r="B104" s="331"/>
      <c r="C104" s="379"/>
      <c r="D104" s="379"/>
      <c r="E104" s="366"/>
      <c r="F104" s="336"/>
      <c r="G104" s="336"/>
      <c r="H104" s="336"/>
      <c r="I104" s="97"/>
      <c r="J104" s="557"/>
      <c r="K104" s="516"/>
    </row>
    <row r="105" spans="1:24" ht="21.65" customHeight="1" x14ac:dyDescent="0.35">
      <c r="A105" s="100"/>
      <c r="B105" s="365"/>
      <c r="C105" s="366"/>
      <c r="D105" s="366"/>
      <c r="E105" s="366"/>
      <c r="F105" s="336"/>
      <c r="G105" s="336"/>
      <c r="H105" s="336"/>
      <c r="I105" s="97"/>
      <c r="J105" s="557"/>
      <c r="K105" s="509"/>
    </row>
    <row r="106" spans="1:24" ht="21.65" customHeight="1" x14ac:dyDescent="0.35">
      <c r="A106" s="100"/>
      <c r="B106" s="365"/>
      <c r="C106" s="366"/>
      <c r="D106" s="366"/>
      <c r="E106" s="366"/>
      <c r="F106" s="336"/>
      <c r="G106" s="336"/>
      <c r="H106" s="336"/>
      <c r="I106" s="97"/>
      <c r="J106" s="557"/>
      <c r="K106" s="509"/>
    </row>
    <row r="107" spans="1:24" ht="21.65" customHeight="1" x14ac:dyDescent="0.35">
      <c r="A107" s="100"/>
      <c r="B107" s="365"/>
      <c r="C107" s="366"/>
      <c r="D107" s="366"/>
      <c r="E107" s="366"/>
      <c r="F107" s="353"/>
      <c r="G107" s="353"/>
      <c r="H107" s="353"/>
      <c r="I107" s="97"/>
      <c r="J107" s="557"/>
      <c r="K107" s="521"/>
    </row>
    <row r="108" spans="1:24" ht="21.65" customHeight="1" x14ac:dyDescent="0.3">
      <c r="A108" s="100"/>
      <c r="B108" s="365"/>
      <c r="C108" s="380"/>
      <c r="D108" s="380"/>
      <c r="E108" s="380"/>
      <c r="F108" s="332"/>
      <c r="G108" s="332"/>
      <c r="H108" s="103"/>
      <c r="I108" s="97"/>
      <c r="J108" s="557"/>
      <c r="K108" s="521"/>
    </row>
    <row r="109" spans="1:24" ht="21.65" customHeight="1" x14ac:dyDescent="0.3">
      <c r="A109" s="100"/>
      <c r="B109" s="365"/>
      <c r="C109" s="380"/>
      <c r="D109" s="380"/>
      <c r="E109" s="380"/>
      <c r="F109" s="332"/>
      <c r="G109" s="332"/>
      <c r="H109" s="360"/>
      <c r="I109" s="97"/>
      <c r="J109" s="557"/>
      <c r="K109" s="521"/>
    </row>
    <row r="110" spans="1:24" ht="21.65" customHeight="1" x14ac:dyDescent="0.3">
      <c r="A110" s="100"/>
      <c r="B110" s="305"/>
      <c r="C110" s="380"/>
      <c r="D110" s="380"/>
      <c r="E110" s="380"/>
      <c r="F110" s="332"/>
      <c r="G110" s="332"/>
      <c r="H110" s="332"/>
      <c r="I110" s="97"/>
      <c r="J110" s="557"/>
      <c r="K110" s="521"/>
    </row>
    <row r="111" spans="1:24" ht="21.65" customHeight="1" x14ac:dyDescent="0.3">
      <c r="A111" s="100"/>
      <c r="B111" s="325"/>
      <c r="C111" s="380"/>
      <c r="D111" s="380"/>
      <c r="E111" s="380"/>
      <c r="F111" s="332"/>
      <c r="G111" s="332"/>
      <c r="H111" s="332"/>
      <c r="I111" s="97"/>
      <c r="J111" s="557"/>
      <c r="K111" s="521"/>
    </row>
    <row r="112" spans="1:24" ht="21.65" customHeight="1" x14ac:dyDescent="0.3">
      <c r="A112" s="100"/>
      <c r="B112" s="325"/>
      <c r="C112" s="380"/>
      <c r="D112" s="380"/>
      <c r="E112" s="380"/>
      <c r="F112" s="332"/>
      <c r="G112" s="332"/>
      <c r="H112" s="332"/>
      <c r="I112" s="97"/>
      <c r="J112" s="557"/>
      <c r="K112" s="521"/>
    </row>
    <row r="113" spans="1:11" ht="21.65" customHeight="1" x14ac:dyDescent="0.3">
      <c r="A113" s="437"/>
      <c r="B113" s="438"/>
      <c r="C113" s="439"/>
      <c r="D113" s="439"/>
      <c r="E113" s="439"/>
      <c r="F113" s="440"/>
      <c r="G113" s="440"/>
      <c r="H113" s="440"/>
      <c r="I113" s="440"/>
      <c r="J113" s="561"/>
      <c r="K113" s="522"/>
    </row>
  </sheetData>
  <mergeCells count="11">
    <mergeCell ref="L88:L90"/>
    <mergeCell ref="A1:K1"/>
    <mergeCell ref="I2:K2"/>
    <mergeCell ref="A3:A4"/>
    <mergeCell ref="B3:B4"/>
    <mergeCell ref="C3:C4"/>
    <mergeCell ref="D3:E3"/>
    <mergeCell ref="F3:F4"/>
    <mergeCell ref="H3:H4"/>
    <mergeCell ref="I3:I4"/>
    <mergeCell ref="K3:K4"/>
  </mergeCells>
  <pageMargins left="0.7" right="0.7" top="0.75" bottom="0.75" header="0.3" footer="0.3"/>
  <legacy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N97"/>
  <sheetViews>
    <sheetView zoomScale="85" zoomScaleNormal="85" workbookViewId="0">
      <selection activeCell="A2" sqref="A2:J2"/>
    </sheetView>
  </sheetViews>
  <sheetFormatPr defaultColWidth="9.1796875" defaultRowHeight="12.5" x14ac:dyDescent="0.25"/>
  <cols>
    <col min="1" max="1" width="6" style="597" customWidth="1"/>
    <col min="2" max="2" width="43.54296875" style="597" customWidth="1"/>
    <col min="3" max="3" width="11.81640625" style="621" customWidth="1"/>
    <col min="4" max="4" width="12.453125" style="621" customWidth="1"/>
    <col min="5" max="5" width="11.81640625" style="621" customWidth="1"/>
    <col min="6" max="7" width="0" style="621" hidden="1" customWidth="1"/>
    <col min="8" max="8" width="12.1796875" style="621" customWidth="1"/>
    <col min="9" max="9" width="15" style="621" customWidth="1"/>
    <col min="10" max="10" width="30.7265625" style="597" customWidth="1"/>
    <col min="11" max="11" width="9.1796875" style="597"/>
    <col min="12" max="12" width="16.1796875" style="597" bestFit="1" customWidth="1"/>
    <col min="13" max="13" width="9.1796875" style="597"/>
    <col min="14" max="14" width="84.453125" style="599" customWidth="1"/>
    <col min="15" max="16384" width="9.1796875" style="597"/>
  </cols>
  <sheetData>
    <row r="1" spans="1:13" ht="25.5" customHeight="1" x14ac:dyDescent="0.3">
      <c r="A1" s="903" t="s">
        <v>519</v>
      </c>
      <c r="B1" s="903"/>
      <c r="C1" s="903"/>
      <c r="D1" s="903"/>
      <c r="E1" s="903"/>
      <c r="F1" s="903"/>
      <c r="G1" s="903"/>
      <c r="H1" s="903"/>
      <c r="I1" s="903"/>
      <c r="J1" s="903"/>
    </row>
    <row r="2" spans="1:13" ht="15.5" x14ac:dyDescent="0.25">
      <c r="A2" s="908" t="s">
        <v>511</v>
      </c>
      <c r="B2" s="908"/>
      <c r="C2" s="908"/>
      <c r="D2" s="908"/>
      <c r="E2" s="908"/>
      <c r="F2" s="908"/>
      <c r="G2" s="908"/>
      <c r="H2" s="908"/>
      <c r="I2" s="908"/>
      <c r="J2" s="908"/>
    </row>
    <row r="3" spans="1:13" ht="17.5" x14ac:dyDescent="0.35">
      <c r="A3" s="620"/>
    </row>
    <row r="4" spans="1:13" ht="15.5" x14ac:dyDescent="0.25">
      <c r="J4" s="622" t="str">
        <f>'[4]02'!C5</f>
        <v>ĐVT: Triệu đồng</v>
      </c>
    </row>
    <row r="5" spans="1:13" ht="31.5" customHeight="1" x14ac:dyDescent="0.25">
      <c r="A5" s="904" t="s">
        <v>504</v>
      </c>
      <c r="B5" s="905" t="s">
        <v>1</v>
      </c>
      <c r="C5" s="906" t="s">
        <v>505</v>
      </c>
      <c r="D5" s="906" t="s">
        <v>515</v>
      </c>
      <c r="E5" s="906" t="s">
        <v>506</v>
      </c>
      <c r="F5" s="904" t="s">
        <v>507</v>
      </c>
      <c r="G5" s="904"/>
      <c r="H5" s="904" t="s">
        <v>516</v>
      </c>
      <c r="I5" s="904" t="s">
        <v>543</v>
      </c>
      <c r="J5" s="904" t="s">
        <v>2</v>
      </c>
    </row>
    <row r="6" spans="1:13" ht="40.5" customHeight="1" x14ac:dyDescent="0.25">
      <c r="A6" s="904"/>
      <c r="B6" s="905"/>
      <c r="C6" s="907"/>
      <c r="D6" s="907"/>
      <c r="E6" s="907"/>
      <c r="F6" s="587" t="s">
        <v>508</v>
      </c>
      <c r="G6" s="587" t="s">
        <v>509</v>
      </c>
      <c r="H6" s="904"/>
      <c r="I6" s="904"/>
      <c r="J6" s="904"/>
    </row>
    <row r="7" spans="1:13" ht="40.5" hidden="1" customHeight="1" x14ac:dyDescent="0.25">
      <c r="A7" s="585"/>
      <c r="B7" s="586"/>
      <c r="C7" s="604" t="e">
        <f>C9+D53+E89</f>
        <v>#REF!</v>
      </c>
      <c r="D7" s="587"/>
      <c r="E7" s="587"/>
      <c r="F7" s="587"/>
      <c r="G7" s="587"/>
      <c r="H7" s="604" t="e">
        <f>H9+H53+H89</f>
        <v>#REF!</v>
      </c>
      <c r="I7" s="585"/>
      <c r="J7" s="585"/>
    </row>
    <row r="8" spans="1:13" ht="37.5" customHeight="1" x14ac:dyDescent="0.25">
      <c r="A8" s="588"/>
      <c r="B8" s="589" t="s">
        <v>294</v>
      </c>
      <c r="C8" s="623" t="e">
        <f>C10+C34+C54+C63+C88+C93+C94</f>
        <v>#REF!</v>
      </c>
      <c r="D8" s="623" t="e">
        <f t="shared" ref="D8:I8" si="0">D10+D34+D54+D63+D88+D93+D94</f>
        <v>#REF!</v>
      </c>
      <c r="E8" s="623" t="e">
        <f t="shared" si="0"/>
        <v>#REF!</v>
      </c>
      <c r="F8" s="623">
        <f t="shared" si="0"/>
        <v>0</v>
      </c>
      <c r="G8" s="623">
        <f t="shared" si="0"/>
        <v>0</v>
      </c>
      <c r="H8" s="623" t="e">
        <f t="shared" si="0"/>
        <v>#REF!</v>
      </c>
      <c r="I8" s="623" t="e">
        <f t="shared" si="0"/>
        <v>#REF!</v>
      </c>
      <c r="J8" s="652" t="s">
        <v>542</v>
      </c>
      <c r="L8" s="653" t="e">
        <f>C8+D8+E8</f>
        <v>#REF!</v>
      </c>
      <c r="M8" s="653" t="e">
        <f>L8-C17</f>
        <v>#REF!</v>
      </c>
    </row>
    <row r="9" spans="1:13" ht="37.5" customHeight="1" x14ac:dyDescent="0.25">
      <c r="A9" s="648" t="s">
        <v>222</v>
      </c>
      <c r="B9" s="649" t="s">
        <v>523</v>
      </c>
      <c r="C9" s="650" t="e">
        <f>C10+C34</f>
        <v>#REF!</v>
      </c>
      <c r="D9" s="650"/>
      <c r="E9" s="650" t="e">
        <f>E10</f>
        <v>#REF!</v>
      </c>
      <c r="F9" s="650"/>
      <c r="G9" s="650"/>
      <c r="H9" s="650" t="e">
        <f>H10+H34</f>
        <v>#REF!</v>
      </c>
      <c r="I9" s="650" t="e">
        <f>I10+I34</f>
        <v>#REF!</v>
      </c>
      <c r="J9" s="651"/>
      <c r="L9" s="653"/>
      <c r="M9" s="653"/>
    </row>
    <row r="10" spans="1:13" ht="15" x14ac:dyDescent="0.25">
      <c r="A10" s="624" t="s">
        <v>4</v>
      </c>
      <c r="B10" s="625" t="s">
        <v>518</v>
      </c>
      <c r="C10" s="626" t="e">
        <f t="shared" ref="C10:I10" si="1">C12+C18+C33</f>
        <v>#REF!</v>
      </c>
      <c r="D10" s="626">
        <f t="shared" si="1"/>
        <v>0</v>
      </c>
      <c r="E10" s="626" t="e">
        <f t="shared" si="1"/>
        <v>#REF!</v>
      </c>
      <c r="F10" s="626">
        <f t="shared" si="1"/>
        <v>0</v>
      </c>
      <c r="G10" s="626">
        <f t="shared" si="1"/>
        <v>0</v>
      </c>
      <c r="H10" s="626" t="e">
        <f t="shared" si="1"/>
        <v>#REF!</v>
      </c>
      <c r="I10" s="626" t="e">
        <f t="shared" si="1"/>
        <v>#REF!</v>
      </c>
      <c r="J10" s="626"/>
      <c r="L10" s="612"/>
    </row>
    <row r="11" spans="1:13" ht="15" hidden="1" x14ac:dyDescent="0.25">
      <c r="A11" s="590" t="s">
        <v>4</v>
      </c>
      <c r="B11" s="591" t="s">
        <v>251</v>
      </c>
      <c r="C11" s="339" t="e">
        <f>C12+C18+C33</f>
        <v>#REF!</v>
      </c>
      <c r="D11" s="339"/>
      <c r="E11" s="339" t="e">
        <f>E12+E18+E33</f>
        <v>#REF!</v>
      </c>
      <c r="F11" s="339">
        <f>F12+F18+F33</f>
        <v>0</v>
      </c>
      <c r="G11" s="339">
        <f>G12+G18+G33</f>
        <v>0</v>
      </c>
      <c r="H11" s="339" t="e">
        <f>H12+H18+H33</f>
        <v>#REF!</v>
      </c>
      <c r="I11" s="339" t="e">
        <f>I12+I18+I33</f>
        <v>#REF!</v>
      </c>
      <c r="J11" s="339"/>
    </row>
    <row r="12" spans="1:13" ht="15" x14ac:dyDescent="0.25">
      <c r="A12" s="590">
        <v>1</v>
      </c>
      <c r="B12" s="591" t="s">
        <v>119</v>
      </c>
      <c r="C12" s="339" t="e">
        <f>C13+C14+C15+C16+C17</f>
        <v>#REF!</v>
      </c>
      <c r="D12" s="339"/>
      <c r="E12" s="339"/>
      <c r="F12" s="339">
        <f>F13+F14+F15+F16+F17</f>
        <v>0</v>
      </c>
      <c r="G12" s="339">
        <f>G13+G14+G15+G16+G17</f>
        <v>0</v>
      </c>
      <c r="H12" s="339" t="e">
        <f>H13+H14+H15+H16+H17</f>
        <v>#REF!</v>
      </c>
      <c r="I12" s="339">
        <f>I13+I14+I15+I16</f>
        <v>18492</v>
      </c>
      <c r="J12" s="339"/>
    </row>
    <row r="13" spans="1:13" ht="15.5" x14ac:dyDescent="0.25">
      <c r="A13" s="342" t="s">
        <v>135</v>
      </c>
      <c r="B13" s="331" t="s">
        <v>132</v>
      </c>
      <c r="C13" s="428">
        <v>33955</v>
      </c>
      <c r="D13" s="428"/>
      <c r="E13" s="428"/>
      <c r="F13" s="428"/>
      <c r="G13" s="428"/>
      <c r="H13" s="428">
        <v>30173</v>
      </c>
      <c r="I13" s="428">
        <f>C13-H13</f>
        <v>3782</v>
      </c>
      <c r="J13" s="332"/>
    </row>
    <row r="14" spans="1:13" ht="31" x14ac:dyDescent="0.25">
      <c r="A14" s="342" t="s">
        <v>136</v>
      </c>
      <c r="B14" s="331" t="s">
        <v>50</v>
      </c>
      <c r="C14" s="428">
        <v>14910</v>
      </c>
      <c r="D14" s="428"/>
      <c r="E14" s="428"/>
      <c r="F14" s="428"/>
      <c r="G14" s="428"/>
      <c r="H14" s="428">
        <v>200</v>
      </c>
      <c r="I14" s="428">
        <f>C14-H14</f>
        <v>14710</v>
      </c>
      <c r="J14" s="332"/>
    </row>
    <row r="15" spans="1:13" ht="15.5" x14ac:dyDescent="0.25">
      <c r="A15" s="342" t="s">
        <v>163</v>
      </c>
      <c r="B15" s="331" t="s">
        <v>208</v>
      </c>
      <c r="C15" s="428">
        <v>4932</v>
      </c>
      <c r="D15" s="428"/>
      <c r="E15" s="428"/>
      <c r="F15" s="428"/>
      <c r="G15" s="428"/>
      <c r="H15" s="428">
        <v>4932</v>
      </c>
      <c r="I15" s="428"/>
      <c r="J15" s="332"/>
    </row>
    <row r="16" spans="1:13" ht="15.5" x14ac:dyDescent="0.25">
      <c r="A16" s="342" t="s">
        <v>209</v>
      </c>
      <c r="B16" s="331" t="s">
        <v>409</v>
      </c>
      <c r="C16" s="428">
        <v>67250</v>
      </c>
      <c r="D16" s="428"/>
      <c r="E16" s="428"/>
      <c r="F16" s="428"/>
      <c r="G16" s="428"/>
      <c r="H16" s="428">
        <v>67250</v>
      </c>
      <c r="I16" s="428"/>
      <c r="J16" s="332"/>
    </row>
    <row r="17" spans="1:10" ht="15.5" x14ac:dyDescent="0.25">
      <c r="A17" s="342" t="s">
        <v>406</v>
      </c>
      <c r="B17" s="331" t="e">
        <f>#REF!</f>
        <v>#REF!</v>
      </c>
      <c r="C17" s="428" t="e">
        <f>#REF!</f>
        <v>#REF!</v>
      </c>
      <c r="D17" s="428"/>
      <c r="E17" s="428"/>
      <c r="F17" s="428"/>
      <c r="G17" s="428"/>
      <c r="H17" s="428" t="e">
        <f>C17</f>
        <v>#REF!</v>
      </c>
      <c r="I17" s="428"/>
      <c r="J17" s="332"/>
    </row>
    <row r="18" spans="1:10" ht="15.5" x14ac:dyDescent="0.25">
      <c r="A18" s="590">
        <v>2</v>
      </c>
      <c r="B18" s="591" t="s">
        <v>262</v>
      </c>
      <c r="C18" s="339">
        <f>SUM(C19:C32)</f>
        <v>325870</v>
      </c>
      <c r="D18" s="339"/>
      <c r="E18" s="339" t="e">
        <f>E19+E20</f>
        <v>#REF!</v>
      </c>
      <c r="F18" s="339">
        <f>SUM(F19:F32)</f>
        <v>0</v>
      </c>
      <c r="G18" s="339">
        <f>SUM(G19:G32)</f>
        <v>0</v>
      </c>
      <c r="H18" s="339" t="e">
        <f>SUM(H19:H32)</f>
        <v>#REF!</v>
      </c>
      <c r="I18" s="339" t="e">
        <f>SUM(I19:I32)</f>
        <v>#REF!</v>
      </c>
      <c r="J18" s="332"/>
    </row>
    <row r="19" spans="1:10" ht="15.5" x14ac:dyDescent="0.25">
      <c r="A19" s="593" t="s">
        <v>122</v>
      </c>
      <c r="B19" s="340" t="s">
        <v>5</v>
      </c>
      <c r="C19" s="332">
        <v>68436</v>
      </c>
      <c r="D19" s="614"/>
      <c r="E19" s="332" t="e">
        <f>-'Chi tiet bo sung KP'!#REF!-'Chi tiet bo sung KP'!#REF!</f>
        <v>#REF!</v>
      </c>
      <c r="F19" s="614"/>
      <c r="G19" s="614"/>
      <c r="H19" s="332" t="e">
        <f>'Chi tiet bo sung KP'!I26-'Chi tiet bo sung KP'!#REF!-'Chi tiet bo sung KP'!#REF!</f>
        <v>#REF!</v>
      </c>
      <c r="I19" s="332" t="e">
        <f>C19+E19-H19</f>
        <v>#REF!</v>
      </c>
      <c r="J19" s="332"/>
    </row>
    <row r="20" spans="1:10" ht="15.5" x14ac:dyDescent="0.25">
      <c r="A20" s="593" t="s">
        <v>123</v>
      </c>
      <c r="B20" s="331" t="s">
        <v>6</v>
      </c>
      <c r="C20" s="332">
        <v>209813</v>
      </c>
      <c r="D20" s="614"/>
      <c r="E20" s="332" t="e">
        <f>-'Chi tiet bo sung KP'!#REF!-'Chi tiet bo sung KP'!#REF!-'Chi tiet bo sung KP'!#REF!</f>
        <v>#REF!</v>
      </c>
      <c r="F20" s="614"/>
      <c r="G20" s="614"/>
      <c r="H20" s="332" t="e">
        <f>'Chi tiet bo sung KP'!J26+E20</f>
        <v>#REF!</v>
      </c>
      <c r="I20" s="332" t="e">
        <f>C20+E20-H20</f>
        <v>#REF!</v>
      </c>
      <c r="J20" s="332"/>
    </row>
    <row r="21" spans="1:10" ht="15.5" x14ac:dyDescent="0.25">
      <c r="A21" s="593" t="s">
        <v>137</v>
      </c>
      <c r="B21" s="340" t="s">
        <v>42</v>
      </c>
      <c r="C21" s="332"/>
      <c r="D21" s="614"/>
      <c r="E21" s="614"/>
      <c r="F21" s="614"/>
      <c r="G21" s="614"/>
      <c r="H21" s="332"/>
      <c r="I21" s="332"/>
      <c r="J21" s="332"/>
    </row>
    <row r="22" spans="1:10" ht="15.5" x14ac:dyDescent="0.25">
      <c r="A22" s="593" t="s">
        <v>138</v>
      </c>
      <c r="B22" s="340" t="s">
        <v>7</v>
      </c>
      <c r="C22" s="332"/>
      <c r="D22" s="614"/>
      <c r="E22" s="614"/>
      <c r="F22" s="614"/>
      <c r="G22" s="614"/>
      <c r="H22" s="332"/>
      <c r="I22" s="332"/>
      <c r="J22" s="332"/>
    </row>
    <row r="23" spans="1:10" ht="15.5" x14ac:dyDescent="0.25">
      <c r="A23" s="593" t="s">
        <v>139</v>
      </c>
      <c r="B23" s="340" t="s">
        <v>212</v>
      </c>
      <c r="C23" s="332"/>
      <c r="D23" s="614"/>
      <c r="E23" s="614"/>
      <c r="F23" s="614"/>
      <c r="G23" s="614"/>
      <c r="H23" s="332"/>
      <c r="I23" s="332"/>
      <c r="J23" s="332"/>
    </row>
    <row r="24" spans="1:10" ht="15.5" x14ac:dyDescent="0.25">
      <c r="A24" s="593" t="s">
        <v>140</v>
      </c>
      <c r="B24" s="340" t="s">
        <v>167</v>
      </c>
      <c r="C24" s="332"/>
      <c r="D24" s="614"/>
      <c r="E24" s="614"/>
      <c r="F24" s="614"/>
      <c r="G24" s="614"/>
      <c r="H24" s="332"/>
      <c r="I24" s="332"/>
      <c r="J24" s="332"/>
    </row>
    <row r="25" spans="1:10" ht="15.5" x14ac:dyDescent="0.25">
      <c r="A25" s="593" t="s">
        <v>141</v>
      </c>
      <c r="B25" s="340" t="s">
        <v>213</v>
      </c>
      <c r="C25" s="332"/>
      <c r="D25" s="614"/>
      <c r="E25" s="614"/>
      <c r="F25" s="614"/>
      <c r="G25" s="614"/>
      <c r="H25" s="332"/>
      <c r="I25" s="332"/>
      <c r="J25" s="332"/>
    </row>
    <row r="26" spans="1:10" ht="15.5" x14ac:dyDescent="0.25">
      <c r="A26" s="593" t="s">
        <v>142</v>
      </c>
      <c r="B26" s="340" t="s">
        <v>214</v>
      </c>
      <c r="C26" s="332"/>
      <c r="D26" s="614"/>
      <c r="E26" s="614"/>
      <c r="F26" s="614"/>
      <c r="G26" s="614"/>
      <c r="H26" s="332"/>
      <c r="I26" s="332"/>
      <c r="J26" s="332"/>
    </row>
    <row r="27" spans="1:10" ht="15.5" x14ac:dyDescent="0.25">
      <c r="A27" s="593" t="s">
        <v>143</v>
      </c>
      <c r="B27" s="340" t="s">
        <v>215</v>
      </c>
      <c r="C27" s="332"/>
      <c r="D27" s="614"/>
      <c r="E27" s="614"/>
      <c r="F27" s="614"/>
      <c r="G27" s="614"/>
      <c r="H27" s="332"/>
      <c r="I27" s="332"/>
      <c r="J27" s="332"/>
    </row>
    <row r="28" spans="1:10" ht="15.5" x14ac:dyDescent="0.25">
      <c r="A28" s="593" t="s">
        <v>144</v>
      </c>
      <c r="B28" s="340" t="s">
        <v>8</v>
      </c>
      <c r="C28" s="332"/>
      <c r="D28" s="614"/>
      <c r="E28" s="614"/>
      <c r="F28" s="614"/>
      <c r="G28" s="614"/>
      <c r="H28" s="332"/>
      <c r="I28" s="332"/>
      <c r="J28" s="332"/>
    </row>
    <row r="29" spans="1:10" ht="15.5" x14ac:dyDescent="0.25">
      <c r="A29" s="593" t="s">
        <v>180</v>
      </c>
      <c r="B29" s="340" t="s">
        <v>216</v>
      </c>
      <c r="C29" s="332"/>
      <c r="D29" s="614"/>
      <c r="E29" s="614"/>
      <c r="F29" s="614"/>
      <c r="G29" s="614"/>
      <c r="H29" s="332"/>
      <c r="I29" s="332"/>
      <c r="J29" s="332"/>
    </row>
    <row r="30" spans="1:10" ht="15.5" x14ac:dyDescent="0.25">
      <c r="A30" s="593" t="s">
        <v>219</v>
      </c>
      <c r="B30" s="340" t="s">
        <v>217</v>
      </c>
      <c r="C30" s="332"/>
      <c r="D30" s="614"/>
      <c r="E30" s="614"/>
      <c r="F30" s="614"/>
      <c r="G30" s="614"/>
      <c r="H30" s="332"/>
      <c r="I30" s="332"/>
      <c r="J30" s="332"/>
    </row>
    <row r="31" spans="1:10" ht="15.5" x14ac:dyDescent="0.25">
      <c r="A31" s="593" t="s">
        <v>220</v>
      </c>
      <c r="B31" s="340" t="s">
        <v>134</v>
      </c>
      <c r="C31" s="332"/>
      <c r="D31" s="614"/>
      <c r="E31" s="332"/>
      <c r="F31" s="614"/>
      <c r="G31" s="614"/>
      <c r="H31" s="332"/>
      <c r="I31" s="332"/>
      <c r="J31" s="333"/>
    </row>
    <row r="32" spans="1:10" ht="15.5" x14ac:dyDescent="0.25">
      <c r="A32" s="593" t="s">
        <v>221</v>
      </c>
      <c r="B32" s="343" t="s">
        <v>218</v>
      </c>
      <c r="C32" s="332">
        <v>47621</v>
      </c>
      <c r="D32" s="614"/>
      <c r="E32" s="332">
        <f>'Nguon TW'!F14</f>
        <v>105056</v>
      </c>
      <c r="F32" s="614"/>
      <c r="G32" s="614"/>
      <c r="H32" s="332">
        <f>'Chi tiet bo sung KP'!O26-'Chi tiet bo sung KP'!O18+E32</f>
        <v>133042.459</v>
      </c>
      <c r="I32" s="332">
        <f>C32-H32+E32</f>
        <v>19634.540999999997</v>
      </c>
      <c r="J32" s="333"/>
    </row>
    <row r="33" spans="1:14" ht="15.5" x14ac:dyDescent="0.25">
      <c r="A33" s="590">
        <v>3</v>
      </c>
      <c r="B33" s="591" t="s">
        <v>260</v>
      </c>
      <c r="C33" s="339" t="e">
        <f>#REF!</f>
        <v>#REF!</v>
      </c>
      <c r="D33" s="339"/>
      <c r="E33" s="339" t="e">
        <f>-('Chi tiet bo sung KP'!#REF!+'Chi tiet bo sung KP'!#REF!+'Chi tiet bo sung KP'!#REF!+'Chi tiet bo sung KP'!#REF!)</f>
        <v>#REF!</v>
      </c>
      <c r="F33" s="339"/>
      <c r="G33" s="339"/>
      <c r="H33" s="339" t="e">
        <f>'Chi tiet bo sung KP'!R26+E33</f>
        <v>#REF!</v>
      </c>
      <c r="I33" s="339" t="e">
        <f>C33+E33-H33</f>
        <v>#REF!</v>
      </c>
      <c r="J33" s="376" t="s">
        <v>517</v>
      </c>
    </row>
    <row r="34" spans="1:14" ht="30" x14ac:dyDescent="0.25">
      <c r="A34" s="590" t="s">
        <v>9</v>
      </c>
      <c r="B34" s="591" t="s">
        <v>510</v>
      </c>
      <c r="C34" s="339">
        <f>C38+C48</f>
        <v>320244</v>
      </c>
      <c r="D34" s="339"/>
      <c r="E34" s="339"/>
      <c r="F34" s="339">
        <f>F38+F48</f>
        <v>0</v>
      </c>
      <c r="G34" s="339">
        <f>G38+G48</f>
        <v>0</v>
      </c>
      <c r="H34" s="339">
        <f>H38+H48</f>
        <v>320244</v>
      </c>
      <c r="I34" s="339"/>
      <c r="J34" s="339"/>
    </row>
    <row r="35" spans="1:14" ht="15" x14ac:dyDescent="0.25">
      <c r="A35" s="590">
        <v>1</v>
      </c>
      <c r="B35" s="591" t="s">
        <v>262</v>
      </c>
      <c r="C35" s="339"/>
      <c r="D35" s="339"/>
      <c r="E35" s="339"/>
      <c r="F35" s="339"/>
      <c r="G35" s="339"/>
      <c r="H35" s="339"/>
      <c r="I35" s="339"/>
      <c r="J35" s="339"/>
    </row>
    <row r="36" spans="1:14" s="600" customFormat="1" ht="15.5" x14ac:dyDescent="0.35">
      <c r="A36" s="594"/>
      <c r="B36" s="595" t="s">
        <v>145</v>
      </c>
      <c r="C36" s="352"/>
      <c r="D36" s="627"/>
      <c r="E36" s="627"/>
      <c r="F36" s="627"/>
      <c r="G36" s="627"/>
      <c r="H36" s="352"/>
      <c r="I36" s="352"/>
      <c r="J36" s="352"/>
      <c r="K36" s="597"/>
      <c r="M36" s="597"/>
      <c r="N36" s="599"/>
    </row>
    <row r="37" spans="1:14" s="600" customFormat="1" ht="15.5" x14ac:dyDescent="0.35">
      <c r="A37" s="594"/>
      <c r="B37" s="595" t="s">
        <v>39</v>
      </c>
      <c r="C37" s="352"/>
      <c r="D37" s="627"/>
      <c r="E37" s="627"/>
      <c r="F37" s="627"/>
      <c r="G37" s="627"/>
      <c r="H37" s="352"/>
      <c r="I37" s="352"/>
      <c r="J37" s="352"/>
      <c r="K37" s="597"/>
      <c r="M37" s="597"/>
      <c r="N37" s="599"/>
    </row>
    <row r="38" spans="1:14" s="600" customFormat="1" ht="15.5" x14ac:dyDescent="0.35">
      <c r="A38" s="415">
        <v>2</v>
      </c>
      <c r="B38" s="402" t="s">
        <v>150</v>
      </c>
      <c r="C38" s="607">
        <f>C39+C45</f>
        <v>166244</v>
      </c>
      <c r="D38" s="627"/>
      <c r="E38" s="627"/>
      <c r="F38" s="627"/>
      <c r="G38" s="627"/>
      <c r="H38" s="607">
        <f>H39+H45</f>
        <v>166244</v>
      </c>
      <c r="I38" s="352"/>
      <c r="J38" s="352"/>
      <c r="K38" s="597"/>
      <c r="M38" s="597"/>
      <c r="N38" s="599"/>
    </row>
    <row r="39" spans="1:14" s="600" customFormat="1" ht="15.5" x14ac:dyDescent="0.35">
      <c r="A39" s="404" t="s">
        <v>122</v>
      </c>
      <c r="B39" s="405" t="s">
        <v>151</v>
      </c>
      <c r="C39" s="393">
        <v>2766</v>
      </c>
      <c r="D39" s="627"/>
      <c r="E39" s="627"/>
      <c r="F39" s="627"/>
      <c r="G39" s="627"/>
      <c r="H39" s="393">
        <v>2766</v>
      </c>
      <c r="I39" s="352"/>
      <c r="J39" s="352"/>
      <c r="K39" s="597"/>
      <c r="M39" s="597"/>
      <c r="N39" s="599"/>
    </row>
    <row r="40" spans="1:14" s="600" customFormat="1" ht="15.5" x14ac:dyDescent="0.35">
      <c r="A40" s="389" t="s">
        <v>40</v>
      </c>
      <c r="B40" s="396" t="s">
        <v>119</v>
      </c>
      <c r="C40" s="398">
        <v>2766</v>
      </c>
      <c r="D40" s="627"/>
      <c r="E40" s="627"/>
      <c r="F40" s="627"/>
      <c r="G40" s="627"/>
      <c r="H40" s="398">
        <v>2766</v>
      </c>
      <c r="I40" s="352"/>
      <c r="J40" s="352"/>
      <c r="K40" s="597"/>
      <c r="M40" s="597"/>
      <c r="N40" s="599"/>
    </row>
    <row r="41" spans="1:14" s="600" customFormat="1" ht="15.5" hidden="1" x14ac:dyDescent="0.35">
      <c r="A41" s="389" t="s">
        <v>40</v>
      </c>
      <c r="B41" s="396" t="s">
        <v>174</v>
      </c>
      <c r="C41" s="398"/>
      <c r="D41" s="627"/>
      <c r="E41" s="627"/>
      <c r="F41" s="627"/>
      <c r="G41" s="627"/>
      <c r="H41" s="398"/>
      <c r="I41" s="352"/>
      <c r="J41" s="352"/>
      <c r="K41" s="597"/>
      <c r="M41" s="597"/>
      <c r="N41" s="599"/>
    </row>
    <row r="42" spans="1:14" s="600" customFormat="1" ht="15.5" hidden="1" x14ac:dyDescent="0.35">
      <c r="A42" s="404">
        <v>2</v>
      </c>
      <c r="B42" s="405" t="s">
        <v>152</v>
      </c>
      <c r="C42" s="393"/>
      <c r="D42" s="627"/>
      <c r="E42" s="627"/>
      <c r="F42" s="627"/>
      <c r="G42" s="627"/>
      <c r="H42" s="393"/>
      <c r="I42" s="352"/>
      <c r="J42" s="352"/>
      <c r="K42" s="597"/>
      <c r="M42" s="597"/>
      <c r="N42" s="599"/>
    </row>
    <row r="43" spans="1:14" s="600" customFormat="1" ht="15.5" hidden="1" x14ac:dyDescent="0.35">
      <c r="A43" s="389" t="s">
        <v>40</v>
      </c>
      <c r="B43" s="396" t="s">
        <v>119</v>
      </c>
      <c r="C43" s="398"/>
      <c r="D43" s="627"/>
      <c r="E43" s="627"/>
      <c r="F43" s="627"/>
      <c r="G43" s="627"/>
      <c r="H43" s="398"/>
      <c r="I43" s="352"/>
      <c r="J43" s="352"/>
      <c r="K43" s="597"/>
      <c r="M43" s="597"/>
      <c r="N43" s="599"/>
    </row>
    <row r="44" spans="1:14" s="600" customFormat="1" ht="15.5" hidden="1" x14ac:dyDescent="0.35">
      <c r="A44" s="389" t="s">
        <v>40</v>
      </c>
      <c r="B44" s="396" t="s">
        <v>174</v>
      </c>
      <c r="C44" s="398"/>
      <c r="D44" s="627"/>
      <c r="E44" s="627"/>
      <c r="F44" s="627"/>
      <c r="G44" s="627"/>
      <c r="H44" s="398"/>
      <c r="I44" s="352"/>
      <c r="J44" s="352"/>
      <c r="K44" s="597"/>
      <c r="M44" s="597"/>
      <c r="N44" s="599"/>
    </row>
    <row r="45" spans="1:14" s="600" customFormat="1" ht="15.5" x14ac:dyDescent="0.35">
      <c r="A45" s="404" t="s">
        <v>123</v>
      </c>
      <c r="B45" s="405" t="s">
        <v>418</v>
      </c>
      <c r="C45" s="393">
        <v>163478</v>
      </c>
      <c r="D45" s="627"/>
      <c r="E45" s="627"/>
      <c r="F45" s="627"/>
      <c r="G45" s="627"/>
      <c r="H45" s="393">
        <v>163478</v>
      </c>
      <c r="I45" s="352"/>
      <c r="J45" s="352"/>
      <c r="K45" s="597"/>
      <c r="M45" s="597"/>
      <c r="N45" s="599"/>
    </row>
    <row r="46" spans="1:14" s="600" customFormat="1" ht="15.5" x14ac:dyDescent="0.35">
      <c r="A46" s="389" t="s">
        <v>40</v>
      </c>
      <c r="B46" s="396" t="s">
        <v>119</v>
      </c>
      <c r="C46" s="398">
        <v>91309</v>
      </c>
      <c r="D46" s="627"/>
      <c r="E46" s="627"/>
      <c r="F46" s="627"/>
      <c r="G46" s="627"/>
      <c r="H46" s="398">
        <v>91309</v>
      </c>
      <c r="I46" s="352"/>
      <c r="J46" s="352"/>
      <c r="K46" s="597"/>
      <c r="M46" s="597"/>
      <c r="N46" s="599"/>
    </row>
    <row r="47" spans="1:14" s="600" customFormat="1" ht="15.5" x14ac:dyDescent="0.35">
      <c r="A47" s="389" t="s">
        <v>40</v>
      </c>
      <c r="B47" s="396" t="s">
        <v>174</v>
      </c>
      <c r="C47" s="398">
        <v>72169</v>
      </c>
      <c r="D47" s="627"/>
      <c r="E47" s="627"/>
      <c r="F47" s="627"/>
      <c r="G47" s="627"/>
      <c r="H47" s="398">
        <v>72169</v>
      </c>
      <c r="I47" s="352"/>
      <c r="J47" s="352"/>
      <c r="K47" s="597"/>
      <c r="M47" s="597"/>
      <c r="N47" s="599"/>
    </row>
    <row r="48" spans="1:14" ht="15.5" x14ac:dyDescent="0.25">
      <c r="A48" s="596">
        <v>3</v>
      </c>
      <c r="B48" s="591" t="s">
        <v>119</v>
      </c>
      <c r="C48" s="339">
        <f>C50</f>
        <v>154000</v>
      </c>
      <c r="D48" s="614"/>
      <c r="E48" s="614"/>
      <c r="F48" s="614"/>
      <c r="G48" s="614"/>
      <c r="H48" s="339">
        <f>H50</f>
        <v>154000</v>
      </c>
      <c r="I48" s="614"/>
      <c r="J48" s="614"/>
    </row>
    <row r="49" spans="1:12" ht="15.5" x14ac:dyDescent="0.25">
      <c r="A49" s="601"/>
      <c r="B49" s="602" t="s">
        <v>145</v>
      </c>
      <c r="C49" s="352"/>
      <c r="D49" s="614"/>
      <c r="E49" s="614"/>
      <c r="F49" s="614"/>
      <c r="G49" s="614"/>
      <c r="H49" s="352"/>
      <c r="I49" s="614"/>
      <c r="J49" s="614"/>
    </row>
    <row r="50" spans="1:12" ht="15.5" x14ac:dyDescent="0.25">
      <c r="A50" s="601"/>
      <c r="B50" s="602" t="s">
        <v>39</v>
      </c>
      <c r="C50" s="352">
        <f>C52</f>
        <v>154000</v>
      </c>
      <c r="D50" s="614"/>
      <c r="E50" s="614"/>
      <c r="F50" s="614"/>
      <c r="G50" s="614"/>
      <c r="H50" s="352">
        <f>H52</f>
        <v>154000</v>
      </c>
      <c r="I50" s="614"/>
      <c r="J50" s="614"/>
    </row>
    <row r="51" spans="1:12" ht="15.5" hidden="1" x14ac:dyDescent="0.25">
      <c r="A51" s="333" t="s">
        <v>122</v>
      </c>
      <c r="B51" s="331" t="s">
        <v>420</v>
      </c>
      <c r="C51" s="352"/>
      <c r="D51" s="614"/>
      <c r="E51" s="614"/>
      <c r="F51" s="614"/>
      <c r="G51" s="614"/>
      <c r="H51" s="352"/>
      <c r="I51" s="614"/>
      <c r="J51" s="614"/>
    </row>
    <row r="52" spans="1:12" ht="15.5" x14ac:dyDescent="0.25">
      <c r="A52" s="608" t="s">
        <v>466</v>
      </c>
      <c r="B52" s="609" t="s">
        <v>421</v>
      </c>
      <c r="C52" s="628">
        <v>154000</v>
      </c>
      <c r="D52" s="629"/>
      <c r="E52" s="629"/>
      <c r="F52" s="629"/>
      <c r="G52" s="629"/>
      <c r="H52" s="628">
        <v>154000</v>
      </c>
      <c r="I52" s="629"/>
      <c r="J52" s="629"/>
    </row>
    <row r="53" spans="1:12" ht="47.25" customHeight="1" x14ac:dyDescent="0.25">
      <c r="A53" s="643" t="s">
        <v>226</v>
      </c>
      <c r="B53" s="644" t="s">
        <v>524</v>
      </c>
      <c r="C53" s="645"/>
      <c r="D53" s="646" t="e">
        <f>D54+D63+D88</f>
        <v>#REF!</v>
      </c>
      <c r="E53" s="647"/>
      <c r="F53" s="647"/>
      <c r="G53" s="647"/>
      <c r="H53" s="646" t="e">
        <f>H54+H63+H88</f>
        <v>#REF!</v>
      </c>
      <c r="I53" s="646" t="e">
        <f>I54+I63+I88</f>
        <v>#REF!</v>
      </c>
      <c r="J53" s="647"/>
    </row>
    <row r="54" spans="1:12" ht="30" x14ac:dyDescent="0.25">
      <c r="A54" s="630" t="s">
        <v>4</v>
      </c>
      <c r="B54" s="631" t="s">
        <v>513</v>
      </c>
      <c r="C54" s="632"/>
      <c r="D54" s="633">
        <f>D55+D56+D59+D62</f>
        <v>73017.213000000003</v>
      </c>
      <c r="E54" s="633"/>
      <c r="F54" s="633">
        <f>F55+F56+F59+F62</f>
        <v>0</v>
      </c>
      <c r="G54" s="633">
        <f>G55+G56+G59+G62</f>
        <v>0</v>
      </c>
      <c r="H54" s="633">
        <f>H55+H56+H59+H62</f>
        <v>70755.376000000004</v>
      </c>
      <c r="I54" s="633">
        <f>I55+I56+I59+I62</f>
        <v>2261.8370000000004</v>
      </c>
      <c r="J54" s="632"/>
    </row>
    <row r="55" spans="1:12" ht="31" x14ac:dyDescent="0.25">
      <c r="A55" s="342">
        <v>1</v>
      </c>
      <c r="B55" s="563" t="s">
        <v>456</v>
      </c>
      <c r="C55" s="614"/>
      <c r="D55" s="428">
        <v>4519.5200000000004</v>
      </c>
      <c r="E55" s="614"/>
      <c r="F55" s="614"/>
      <c r="G55" s="614"/>
      <c r="H55" s="428">
        <v>2847.683</v>
      </c>
      <c r="I55" s="428">
        <v>1671.8370000000004</v>
      </c>
      <c r="J55" s="614" t="s">
        <v>556</v>
      </c>
    </row>
    <row r="56" spans="1:12" ht="31" x14ac:dyDescent="0.25">
      <c r="A56" s="342">
        <v>2</v>
      </c>
      <c r="B56" s="563" t="s">
        <v>441</v>
      </c>
      <c r="C56" s="614"/>
      <c r="D56" s="428">
        <v>24188.478999999999</v>
      </c>
      <c r="E56" s="614"/>
      <c r="F56" s="614"/>
      <c r="G56" s="614"/>
      <c r="H56" s="428">
        <v>23598.478999999999</v>
      </c>
      <c r="I56" s="428">
        <v>590</v>
      </c>
      <c r="J56" s="614"/>
    </row>
    <row r="57" spans="1:12" ht="15.5" x14ac:dyDescent="0.25">
      <c r="A57" s="342"/>
      <c r="B57" s="566" t="s">
        <v>454</v>
      </c>
      <c r="C57" s="614"/>
      <c r="D57" s="598">
        <v>8866</v>
      </c>
      <c r="E57" s="614"/>
      <c r="F57" s="614"/>
      <c r="G57" s="614"/>
      <c r="H57" s="598">
        <v>8866</v>
      </c>
      <c r="I57" s="598"/>
      <c r="J57" s="614"/>
    </row>
    <row r="58" spans="1:12" ht="15.5" x14ac:dyDescent="0.25">
      <c r="A58" s="342"/>
      <c r="B58" s="566" t="s">
        <v>455</v>
      </c>
      <c r="C58" s="614"/>
      <c r="D58" s="598">
        <v>15322.478999999999</v>
      </c>
      <c r="E58" s="614"/>
      <c r="F58" s="614"/>
      <c r="G58" s="614"/>
      <c r="H58" s="598">
        <v>14732.478999999999</v>
      </c>
      <c r="I58" s="598">
        <v>590</v>
      </c>
      <c r="J58" s="614"/>
    </row>
    <row r="59" spans="1:12" ht="15.5" x14ac:dyDescent="0.25">
      <c r="A59" s="342">
        <v>3</v>
      </c>
      <c r="B59" s="563" t="s">
        <v>442</v>
      </c>
      <c r="C59" s="614"/>
      <c r="D59" s="428">
        <v>4309.2139999999999</v>
      </c>
      <c r="E59" s="614"/>
      <c r="F59" s="614"/>
      <c r="G59" s="614"/>
      <c r="H59" s="428">
        <v>4309.2139999999999</v>
      </c>
      <c r="I59" s="428"/>
      <c r="J59" s="614"/>
    </row>
    <row r="60" spans="1:12" ht="15.5" x14ac:dyDescent="0.25">
      <c r="A60" s="342"/>
      <c r="B60" s="566" t="s">
        <v>454</v>
      </c>
      <c r="C60" s="614"/>
      <c r="D60" s="598">
        <v>81</v>
      </c>
      <c r="E60" s="614"/>
      <c r="F60" s="614"/>
      <c r="G60" s="614"/>
      <c r="H60" s="598">
        <v>81</v>
      </c>
      <c r="I60" s="598"/>
      <c r="J60" s="614"/>
    </row>
    <row r="61" spans="1:12" ht="15.5" x14ac:dyDescent="0.25">
      <c r="A61" s="342"/>
      <c r="B61" s="566" t="s">
        <v>455</v>
      </c>
      <c r="C61" s="614"/>
      <c r="D61" s="598">
        <v>4228.2139999999999</v>
      </c>
      <c r="E61" s="614"/>
      <c r="F61" s="614"/>
      <c r="G61" s="614"/>
      <c r="H61" s="598">
        <v>4228.2139999999999</v>
      </c>
      <c r="I61" s="598"/>
      <c r="J61" s="614"/>
    </row>
    <row r="62" spans="1:12" ht="31" x14ac:dyDescent="0.25">
      <c r="A62" s="100">
        <v>4</v>
      </c>
      <c r="B62" s="331" t="s">
        <v>405</v>
      </c>
      <c r="C62" s="614"/>
      <c r="D62" s="336">
        <v>40000</v>
      </c>
      <c r="E62" s="614"/>
      <c r="F62" s="614"/>
      <c r="G62" s="614"/>
      <c r="H62" s="336">
        <v>40000</v>
      </c>
      <c r="I62" s="336"/>
      <c r="J62" s="614"/>
    </row>
    <row r="63" spans="1:12" ht="30" x14ac:dyDescent="0.25">
      <c r="A63" s="590" t="s">
        <v>9</v>
      </c>
      <c r="B63" s="634" t="s">
        <v>514</v>
      </c>
      <c r="C63" s="614"/>
      <c r="D63" s="339" t="e">
        <f>#REF!</f>
        <v>#REF!</v>
      </c>
      <c r="E63" s="614"/>
      <c r="F63" s="614"/>
      <c r="G63" s="614"/>
      <c r="H63" s="339" t="e">
        <f>#REF!</f>
        <v>#REF!</v>
      </c>
      <c r="I63" s="339" t="e">
        <f>D63-H63</f>
        <v>#REF!</v>
      </c>
      <c r="J63" s="635"/>
      <c r="K63" s="612" t="e">
        <f>D63-H63</f>
        <v>#REF!</v>
      </c>
      <c r="L63" s="612" t="e">
        <f>6378-I63</f>
        <v>#REF!</v>
      </c>
    </row>
    <row r="64" spans="1:12" ht="15" x14ac:dyDescent="0.25">
      <c r="A64" s="347">
        <v>1</v>
      </c>
      <c r="B64" s="430" t="s">
        <v>424</v>
      </c>
      <c r="C64" s="636"/>
      <c r="D64" s="355">
        <v>2220</v>
      </c>
      <c r="E64" s="636"/>
      <c r="F64" s="636"/>
      <c r="G64" s="636"/>
      <c r="H64" s="416">
        <v>2220</v>
      </c>
      <c r="I64" s="363">
        <v>0</v>
      </c>
      <c r="J64" s="363"/>
      <c r="K64" s="612">
        <f t="shared" ref="K64:K88" si="2">D64-H64</f>
        <v>0</v>
      </c>
    </row>
    <row r="65" spans="1:11" ht="15" x14ac:dyDescent="0.25">
      <c r="A65" s="347">
        <v>2</v>
      </c>
      <c r="B65" s="425" t="s">
        <v>401</v>
      </c>
      <c r="C65" s="636"/>
      <c r="D65" s="431">
        <v>15621</v>
      </c>
      <c r="E65" s="636"/>
      <c r="F65" s="636"/>
      <c r="G65" s="636"/>
      <c r="H65" s="490">
        <v>11991.3</v>
      </c>
      <c r="I65" s="363">
        <v>3629.7000000000007</v>
      </c>
      <c r="J65" s="363"/>
      <c r="K65" s="612">
        <f t="shared" si="2"/>
        <v>3629.7000000000007</v>
      </c>
    </row>
    <row r="66" spans="1:11" ht="15" x14ac:dyDescent="0.25">
      <c r="A66" s="347">
        <v>3</v>
      </c>
      <c r="B66" s="359" t="s">
        <v>425</v>
      </c>
      <c r="C66" s="636"/>
      <c r="D66" s="431">
        <v>1878</v>
      </c>
      <c r="E66" s="636"/>
      <c r="F66" s="636"/>
      <c r="G66" s="636"/>
      <c r="H66" s="416">
        <v>1878</v>
      </c>
      <c r="I66" s="363">
        <v>0</v>
      </c>
      <c r="J66" s="363"/>
      <c r="K66" s="612">
        <f t="shared" si="2"/>
        <v>0</v>
      </c>
    </row>
    <row r="67" spans="1:11" ht="15" x14ac:dyDescent="0.25">
      <c r="A67" s="347">
        <v>4</v>
      </c>
      <c r="B67" s="359" t="s">
        <v>146</v>
      </c>
      <c r="C67" s="636"/>
      <c r="D67" s="431">
        <v>2230</v>
      </c>
      <c r="E67" s="636"/>
      <c r="F67" s="636"/>
      <c r="G67" s="636"/>
      <c r="H67" s="416">
        <f>15+1503.686338</f>
        <v>1518.686338</v>
      </c>
      <c r="I67" s="363">
        <f>D67-H67</f>
        <v>711.31366200000002</v>
      </c>
      <c r="J67" s="363"/>
      <c r="K67" s="612">
        <f t="shared" si="2"/>
        <v>711.31366200000002</v>
      </c>
    </row>
    <row r="68" spans="1:11" ht="15" x14ac:dyDescent="0.25">
      <c r="A68" s="347">
        <v>5</v>
      </c>
      <c r="B68" s="359" t="s">
        <v>426</v>
      </c>
      <c r="C68" s="636"/>
      <c r="D68" s="411">
        <f>D69+D70+D75</f>
        <v>230138.47929400002</v>
      </c>
      <c r="E68" s="411"/>
      <c r="F68" s="411">
        <f>F69+F70+F75</f>
        <v>0</v>
      </c>
      <c r="G68" s="411">
        <f>G69+G70+G75</f>
        <v>0</v>
      </c>
      <c r="H68" s="411">
        <f>H69+H70+H75</f>
        <v>228101.02553099999</v>
      </c>
      <c r="I68" s="411">
        <f>I69+I70+I75</f>
        <v>2037.453763</v>
      </c>
      <c r="J68" s="411"/>
      <c r="K68" s="612">
        <f t="shared" si="2"/>
        <v>2037.4537630000268</v>
      </c>
    </row>
    <row r="69" spans="1:11" ht="31" x14ac:dyDescent="0.25">
      <c r="A69" s="422" t="s">
        <v>443</v>
      </c>
      <c r="B69" s="579" t="s">
        <v>427</v>
      </c>
      <c r="C69" s="636"/>
      <c r="D69" s="394">
        <v>9188</v>
      </c>
      <c r="E69" s="636"/>
      <c r="F69" s="636"/>
      <c r="G69" s="636"/>
      <c r="H69" s="496">
        <v>9188</v>
      </c>
      <c r="I69" s="496"/>
      <c r="J69" s="496"/>
      <c r="K69" s="612">
        <f t="shared" si="2"/>
        <v>0</v>
      </c>
    </row>
    <row r="70" spans="1:11" ht="46.5" x14ac:dyDescent="0.25">
      <c r="A70" s="422" t="s">
        <v>444</v>
      </c>
      <c r="B70" s="579" t="s">
        <v>439</v>
      </c>
      <c r="C70" s="636"/>
      <c r="D70" s="394">
        <v>106899</v>
      </c>
      <c r="E70" s="636"/>
      <c r="F70" s="636"/>
      <c r="G70" s="636"/>
      <c r="H70" s="394">
        <f>H71+H72+H73+H74</f>
        <v>106867.02553100001</v>
      </c>
      <c r="I70" s="394">
        <f>I71+I72+I73+I74</f>
        <v>31.974469000000227</v>
      </c>
      <c r="J70" s="394"/>
      <c r="K70" s="612">
        <f t="shared" si="2"/>
        <v>31.974468999993405</v>
      </c>
    </row>
    <row r="71" spans="1:11" ht="31" x14ac:dyDescent="0.25">
      <c r="A71" s="406" t="s">
        <v>466</v>
      </c>
      <c r="B71" s="407" t="s">
        <v>428</v>
      </c>
      <c r="C71" s="636"/>
      <c r="D71" s="409">
        <v>72797</v>
      </c>
      <c r="E71" s="636"/>
      <c r="F71" s="636"/>
      <c r="G71" s="636"/>
      <c r="H71" s="99">
        <f>D71</f>
        <v>72797</v>
      </c>
      <c r="I71" s="99"/>
      <c r="J71" s="99"/>
      <c r="K71" s="612">
        <f t="shared" si="2"/>
        <v>0</v>
      </c>
    </row>
    <row r="72" spans="1:11" ht="27.75" customHeight="1" x14ac:dyDescent="0.25">
      <c r="A72" s="406" t="s">
        <v>466</v>
      </c>
      <c r="B72" s="407" t="s">
        <v>400</v>
      </c>
      <c r="C72" s="636"/>
      <c r="D72" s="409">
        <v>6000</v>
      </c>
      <c r="E72" s="636"/>
      <c r="F72" s="636"/>
      <c r="G72" s="636"/>
      <c r="H72" s="99">
        <v>6000</v>
      </c>
      <c r="I72" s="99"/>
      <c r="J72" s="99"/>
      <c r="K72" s="612">
        <f t="shared" si="2"/>
        <v>0</v>
      </c>
    </row>
    <row r="73" spans="1:11" ht="15.5" x14ac:dyDescent="0.25">
      <c r="A73" s="406" t="s">
        <v>466</v>
      </c>
      <c r="B73" s="407" t="s">
        <v>440</v>
      </c>
      <c r="C73" s="636"/>
      <c r="D73" s="409">
        <v>3551</v>
      </c>
      <c r="E73" s="636"/>
      <c r="F73" s="636"/>
      <c r="G73" s="636"/>
      <c r="H73" s="99">
        <v>3519.0255309999998</v>
      </c>
      <c r="I73" s="99">
        <v>31.974469000000227</v>
      </c>
      <c r="J73" s="99"/>
      <c r="K73" s="612">
        <f t="shared" si="2"/>
        <v>31.974469000000227</v>
      </c>
    </row>
    <row r="74" spans="1:11" ht="15.5" x14ac:dyDescent="0.25">
      <c r="A74" s="406" t="s">
        <v>466</v>
      </c>
      <c r="B74" s="407" t="s">
        <v>429</v>
      </c>
      <c r="C74" s="636"/>
      <c r="D74" s="409">
        <v>24551</v>
      </c>
      <c r="E74" s="636"/>
      <c r="F74" s="636"/>
      <c r="G74" s="636"/>
      <c r="H74" s="99">
        <v>24551</v>
      </c>
      <c r="I74" s="99"/>
      <c r="J74" s="99"/>
      <c r="K74" s="612">
        <f t="shared" si="2"/>
        <v>0</v>
      </c>
    </row>
    <row r="75" spans="1:11" ht="15.5" x14ac:dyDescent="0.25">
      <c r="A75" s="422" t="s">
        <v>445</v>
      </c>
      <c r="B75" s="613" t="s">
        <v>430</v>
      </c>
      <c r="C75" s="636"/>
      <c r="D75" s="394">
        <v>114051.479294</v>
      </c>
      <c r="E75" s="636"/>
      <c r="F75" s="636"/>
      <c r="G75" s="636"/>
      <c r="H75" s="394">
        <f>SUM(H76:H87)</f>
        <v>112046</v>
      </c>
      <c r="I75" s="394">
        <f>SUM(I76:I87)</f>
        <v>2005.4792939999998</v>
      </c>
      <c r="J75" s="394"/>
      <c r="K75" s="612">
        <f t="shared" si="2"/>
        <v>2005.4792940000043</v>
      </c>
    </row>
    <row r="76" spans="1:11" ht="52.5" customHeight="1" x14ac:dyDescent="0.25">
      <c r="A76" s="406" t="s">
        <v>466</v>
      </c>
      <c r="B76" s="408" t="s">
        <v>431</v>
      </c>
      <c r="C76" s="636"/>
      <c r="D76" s="410">
        <v>39300</v>
      </c>
      <c r="E76" s="636"/>
      <c r="F76" s="636"/>
      <c r="G76" s="636"/>
      <c r="H76" s="99">
        <v>39300</v>
      </c>
      <c r="I76" s="413"/>
      <c r="J76" s="413"/>
      <c r="K76" s="612">
        <f t="shared" si="2"/>
        <v>0</v>
      </c>
    </row>
    <row r="77" spans="1:11" ht="37.5" customHeight="1" x14ac:dyDescent="0.25">
      <c r="A77" s="406" t="s">
        <v>466</v>
      </c>
      <c r="B77" s="408" t="s">
        <v>432</v>
      </c>
      <c r="C77" s="636"/>
      <c r="D77" s="410">
        <v>3950</v>
      </c>
      <c r="E77" s="636"/>
      <c r="F77" s="636"/>
      <c r="G77" s="636"/>
      <c r="H77" s="99">
        <v>3950</v>
      </c>
      <c r="I77" s="413"/>
      <c r="J77" s="413"/>
      <c r="K77" s="612">
        <f t="shared" si="2"/>
        <v>0</v>
      </c>
    </row>
    <row r="78" spans="1:11" ht="52.5" customHeight="1" x14ac:dyDescent="0.25">
      <c r="A78" s="406" t="s">
        <v>466</v>
      </c>
      <c r="B78" s="407" t="s">
        <v>433</v>
      </c>
      <c r="C78" s="636"/>
      <c r="D78" s="409">
        <v>24320</v>
      </c>
      <c r="E78" s="636"/>
      <c r="F78" s="636"/>
      <c r="G78" s="636"/>
      <c r="H78" s="99">
        <v>24320</v>
      </c>
      <c r="I78" s="413"/>
      <c r="J78" s="413"/>
      <c r="K78" s="612">
        <f t="shared" si="2"/>
        <v>0</v>
      </c>
    </row>
    <row r="79" spans="1:11" ht="49.5" customHeight="1" x14ac:dyDescent="0.25">
      <c r="A79" s="406" t="s">
        <v>466</v>
      </c>
      <c r="B79" s="407" t="s">
        <v>434</v>
      </c>
      <c r="C79" s="636"/>
      <c r="D79" s="409">
        <v>10000</v>
      </c>
      <c r="E79" s="636"/>
      <c r="F79" s="636"/>
      <c r="G79" s="636"/>
      <c r="H79" s="413">
        <v>10000</v>
      </c>
      <c r="I79" s="99"/>
      <c r="J79" s="99"/>
      <c r="K79" s="612">
        <f t="shared" si="2"/>
        <v>0</v>
      </c>
    </row>
    <row r="80" spans="1:11" ht="31" x14ac:dyDescent="0.25">
      <c r="A80" s="406" t="s">
        <v>466</v>
      </c>
      <c r="B80" s="407" t="s">
        <v>435</v>
      </c>
      <c r="C80" s="636"/>
      <c r="D80" s="409">
        <v>1500</v>
      </c>
      <c r="E80" s="636"/>
      <c r="F80" s="636"/>
      <c r="G80" s="636"/>
      <c r="H80" s="412">
        <f>1500-1500</f>
        <v>0</v>
      </c>
      <c r="I80" s="99">
        <f>D80</f>
        <v>1500</v>
      </c>
      <c r="J80" s="99" t="s">
        <v>600</v>
      </c>
      <c r="K80" s="612">
        <f t="shared" si="2"/>
        <v>1500</v>
      </c>
    </row>
    <row r="81" spans="1:14" ht="15.5" x14ac:dyDescent="0.25">
      <c r="A81" s="406" t="s">
        <v>466</v>
      </c>
      <c r="B81" s="407" t="s">
        <v>436</v>
      </c>
      <c r="C81" s="636"/>
      <c r="D81" s="409">
        <v>20000</v>
      </c>
      <c r="E81" s="636"/>
      <c r="F81" s="636"/>
      <c r="G81" s="636"/>
      <c r="H81" s="413">
        <f>D81</f>
        <v>20000</v>
      </c>
      <c r="I81" s="99"/>
      <c r="J81" s="99"/>
      <c r="K81" s="612">
        <f t="shared" si="2"/>
        <v>0</v>
      </c>
    </row>
    <row r="82" spans="1:14" ht="41.25" customHeight="1" x14ac:dyDescent="0.25">
      <c r="A82" s="406" t="s">
        <v>466</v>
      </c>
      <c r="B82" s="407" t="s">
        <v>437</v>
      </c>
      <c r="C82" s="636"/>
      <c r="D82" s="409">
        <v>3500</v>
      </c>
      <c r="E82" s="636"/>
      <c r="F82" s="636"/>
      <c r="G82" s="636"/>
      <c r="H82" s="335">
        <v>3500</v>
      </c>
      <c r="I82" s="99"/>
      <c r="J82" s="99"/>
      <c r="K82" s="612">
        <f t="shared" si="2"/>
        <v>0</v>
      </c>
    </row>
    <row r="83" spans="1:14" ht="46.5" x14ac:dyDescent="0.25">
      <c r="A83" s="406" t="s">
        <v>466</v>
      </c>
      <c r="B83" s="407" t="s">
        <v>438</v>
      </c>
      <c r="C83" s="636"/>
      <c r="D83" s="409">
        <v>6000</v>
      </c>
      <c r="E83" s="636"/>
      <c r="F83" s="636"/>
      <c r="G83" s="636"/>
      <c r="H83" s="335">
        <v>6000</v>
      </c>
      <c r="I83" s="99"/>
      <c r="J83" s="99"/>
      <c r="K83" s="612">
        <f t="shared" si="2"/>
        <v>0</v>
      </c>
    </row>
    <row r="84" spans="1:14" ht="31" x14ac:dyDescent="0.4">
      <c r="A84" s="406" t="s">
        <v>466</v>
      </c>
      <c r="B84" s="423" t="s">
        <v>479</v>
      </c>
      <c r="C84" s="636"/>
      <c r="D84" s="409">
        <v>4711.4792939999998</v>
      </c>
      <c r="E84" s="636"/>
      <c r="F84" s="636"/>
      <c r="G84" s="636"/>
      <c r="H84" s="664">
        <v>4376</v>
      </c>
      <c r="I84" s="99">
        <f>D84-H84</f>
        <v>335.47929399999975</v>
      </c>
      <c r="J84" s="99"/>
      <c r="K84" s="612">
        <f t="shared" si="2"/>
        <v>335.47929399999975</v>
      </c>
      <c r="L84" s="663">
        <v>6375.2889180000002</v>
      </c>
    </row>
    <row r="85" spans="1:14" ht="31" x14ac:dyDescent="0.25">
      <c r="A85" s="406" t="s">
        <v>466</v>
      </c>
      <c r="B85" s="423" t="s">
        <v>480</v>
      </c>
      <c r="C85" s="636"/>
      <c r="D85" s="409">
        <v>500</v>
      </c>
      <c r="E85" s="636"/>
      <c r="F85" s="636"/>
      <c r="G85" s="636"/>
      <c r="H85" s="335">
        <f>D85</f>
        <v>500</v>
      </c>
      <c r="I85" s="99"/>
      <c r="J85" s="99"/>
      <c r="K85" s="612">
        <f t="shared" si="2"/>
        <v>0</v>
      </c>
    </row>
    <row r="86" spans="1:14" ht="31" x14ac:dyDescent="0.25">
      <c r="A86" s="406" t="s">
        <v>466</v>
      </c>
      <c r="B86" s="423" t="s">
        <v>481</v>
      </c>
      <c r="C86" s="636"/>
      <c r="D86" s="409">
        <v>100</v>
      </c>
      <c r="E86" s="636"/>
      <c r="F86" s="636"/>
      <c r="G86" s="636"/>
      <c r="H86" s="335">
        <v>100</v>
      </c>
      <c r="I86" s="99"/>
      <c r="J86" s="635"/>
      <c r="K86" s="612">
        <f t="shared" si="2"/>
        <v>0</v>
      </c>
    </row>
    <row r="87" spans="1:14" ht="66.75" customHeight="1" x14ac:dyDescent="0.25">
      <c r="A87" s="406" t="s">
        <v>466</v>
      </c>
      <c r="B87" s="423" t="s">
        <v>482</v>
      </c>
      <c r="C87" s="636"/>
      <c r="D87" s="409">
        <v>170</v>
      </c>
      <c r="E87" s="636"/>
      <c r="F87" s="636"/>
      <c r="G87" s="636"/>
      <c r="H87" s="335"/>
      <c r="I87" s="99">
        <v>170</v>
      </c>
      <c r="J87" s="635"/>
      <c r="K87" s="612">
        <f t="shared" si="2"/>
        <v>170</v>
      </c>
    </row>
    <row r="88" spans="1:14" ht="30" x14ac:dyDescent="0.25">
      <c r="A88" s="605" t="s">
        <v>10</v>
      </c>
      <c r="B88" s="606" t="s">
        <v>446</v>
      </c>
      <c r="C88" s="614"/>
      <c r="D88" s="339" t="e">
        <f>#REF!</f>
        <v>#REF!</v>
      </c>
      <c r="E88" s="614"/>
      <c r="F88" s="614"/>
      <c r="G88" s="614"/>
      <c r="H88" s="607" t="e">
        <f>D88</f>
        <v>#REF!</v>
      </c>
      <c r="I88" s="654"/>
      <c r="J88" s="339"/>
      <c r="K88" s="612" t="e">
        <f t="shared" si="2"/>
        <v>#REF!</v>
      </c>
    </row>
    <row r="89" spans="1:14" s="618" customFormat="1" ht="45" customHeight="1" x14ac:dyDescent="0.25">
      <c r="A89" s="637" t="s">
        <v>240</v>
      </c>
      <c r="B89" s="638" t="s">
        <v>525</v>
      </c>
      <c r="C89" s="639"/>
      <c r="D89" s="640"/>
      <c r="E89" s="641" t="e">
        <f>E94+E93</f>
        <v>#REF!</v>
      </c>
      <c r="F89" s="642"/>
      <c r="G89" s="642"/>
      <c r="H89" s="641">
        <f>H94</f>
        <v>30623</v>
      </c>
      <c r="I89" s="640" t="e">
        <f>E89-H89</f>
        <v>#REF!</v>
      </c>
      <c r="J89" s="640"/>
      <c r="K89" s="597"/>
      <c r="N89" s="619"/>
    </row>
    <row r="90" spans="1:14" ht="36" customHeight="1" x14ac:dyDescent="0.25">
      <c r="A90" s="610" t="s">
        <v>4</v>
      </c>
      <c r="B90" s="611" t="s">
        <v>512</v>
      </c>
      <c r="C90" s="615"/>
      <c r="D90" s="615"/>
      <c r="E90" s="615">
        <f>E91</f>
        <v>52.5</v>
      </c>
      <c r="F90" s="615">
        <f>SUM(F91:F93)</f>
        <v>0</v>
      </c>
      <c r="G90" s="615">
        <f>SUM(G91:G93)</f>
        <v>0</v>
      </c>
      <c r="H90" s="615"/>
      <c r="I90" s="615"/>
      <c r="J90" s="616"/>
    </row>
    <row r="91" spans="1:14" ht="31" x14ac:dyDescent="0.25">
      <c r="A91" s="593"/>
      <c r="B91" s="592" t="e">
        <f>#REF!</f>
        <v>#REF!</v>
      </c>
      <c r="C91" s="332"/>
      <c r="D91" s="614"/>
      <c r="E91" s="332">
        <v>52.5</v>
      </c>
      <c r="F91" s="614"/>
      <c r="G91" s="614"/>
      <c r="H91" s="332"/>
      <c r="I91" s="332"/>
      <c r="J91" s="353" t="s">
        <v>522</v>
      </c>
    </row>
    <row r="92" spans="1:14" ht="69" customHeight="1" x14ac:dyDescent="0.25">
      <c r="A92" s="610" t="s">
        <v>9</v>
      </c>
      <c r="B92" s="611" t="s">
        <v>527</v>
      </c>
      <c r="C92" s="615"/>
      <c r="D92" s="615"/>
      <c r="E92" s="615">
        <v>68006.875272000005</v>
      </c>
      <c r="F92" s="615"/>
      <c r="G92" s="615"/>
      <c r="H92" s="615"/>
      <c r="I92" s="615"/>
      <c r="J92" s="617" t="s">
        <v>545</v>
      </c>
    </row>
    <row r="93" spans="1:14" ht="63.75" customHeight="1" x14ac:dyDescent="0.25">
      <c r="A93" s="610" t="s">
        <v>10</v>
      </c>
      <c r="B93" s="611" t="s">
        <v>528</v>
      </c>
      <c r="C93" s="615"/>
      <c r="D93" s="615"/>
      <c r="E93" s="615" t="e">
        <f>1903.414-'Chi tiet bo sung KP'!#REF!</f>
        <v>#REF!</v>
      </c>
      <c r="F93" s="615"/>
      <c r="G93" s="615"/>
      <c r="H93" s="615"/>
      <c r="I93" s="615" t="e">
        <f>E93</f>
        <v>#REF!</v>
      </c>
      <c r="J93" s="616" t="s">
        <v>526</v>
      </c>
    </row>
    <row r="94" spans="1:14" ht="20.25" customHeight="1" x14ac:dyDescent="0.25">
      <c r="A94" s="610" t="s">
        <v>11</v>
      </c>
      <c r="B94" s="611" t="s">
        <v>20</v>
      </c>
      <c r="C94" s="615"/>
      <c r="D94" s="615"/>
      <c r="E94" s="615">
        <f>E95+E96+E97</f>
        <v>30623</v>
      </c>
      <c r="F94" s="615">
        <f>F95+F96</f>
        <v>0</v>
      </c>
      <c r="G94" s="615">
        <f>G95+G96</f>
        <v>0</v>
      </c>
      <c r="H94" s="615">
        <f>H95+H96+H97</f>
        <v>30623</v>
      </c>
      <c r="I94" s="615">
        <f>I97</f>
        <v>0</v>
      </c>
      <c r="J94" s="615"/>
    </row>
    <row r="95" spans="1:14" ht="38.25" customHeight="1" x14ac:dyDescent="0.25">
      <c r="A95" s="593">
        <v>1</v>
      </c>
      <c r="B95" s="592" t="s">
        <v>520</v>
      </c>
      <c r="C95" s="332"/>
      <c r="D95" s="332"/>
      <c r="E95" s="332">
        <v>500</v>
      </c>
      <c r="F95" s="332"/>
      <c r="G95" s="332"/>
      <c r="H95" s="332">
        <v>500</v>
      </c>
      <c r="I95" s="332"/>
      <c r="J95" s="332"/>
    </row>
    <row r="96" spans="1:14" ht="46.5" x14ac:dyDescent="0.25">
      <c r="A96" s="593">
        <v>2</v>
      </c>
      <c r="B96" s="592" t="s">
        <v>521</v>
      </c>
      <c r="C96" s="332"/>
      <c r="D96" s="332"/>
      <c r="E96" s="332">
        <v>123</v>
      </c>
      <c r="F96" s="332"/>
      <c r="G96" s="332"/>
      <c r="H96" s="332">
        <v>123</v>
      </c>
      <c r="I96" s="332"/>
      <c r="J96" s="332"/>
    </row>
    <row r="97" spans="1:10" ht="38.25" customHeight="1" x14ac:dyDescent="0.25">
      <c r="A97" s="593">
        <v>3</v>
      </c>
      <c r="B97" s="592" t="s">
        <v>544</v>
      </c>
      <c r="C97" s="332"/>
      <c r="D97" s="332"/>
      <c r="E97" s="332">
        <v>30000</v>
      </c>
      <c r="F97" s="332"/>
      <c r="G97" s="332"/>
      <c r="H97" s="332">
        <f>E97</f>
        <v>30000</v>
      </c>
      <c r="I97" s="332"/>
      <c r="J97" s="332"/>
    </row>
  </sheetData>
  <mergeCells count="11">
    <mergeCell ref="A1:J1"/>
    <mergeCell ref="A5:A6"/>
    <mergeCell ref="B5:B6"/>
    <mergeCell ref="C5:C6"/>
    <mergeCell ref="D5:D6"/>
    <mergeCell ref="E5:E6"/>
    <mergeCell ref="F5:G5"/>
    <mergeCell ref="H5:H6"/>
    <mergeCell ref="I5:I6"/>
    <mergeCell ref="J5:J6"/>
    <mergeCell ref="A2:J2"/>
  </mergeCells>
  <pageMargins left="0.43307086614173229" right="0.27559055118110237" top="0.35433070866141736" bottom="0.39370078740157483" header="0.31496062992125984" footer="0.31496062992125984"/>
  <pageSetup paperSize="9" scale="68" fitToHeight="0" orientation="portrait"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pageSetUpPr fitToPage="1"/>
  </sheetPr>
  <dimension ref="A1:H41"/>
  <sheetViews>
    <sheetView topLeftCell="A4" zoomScale="85" zoomScaleNormal="85" workbookViewId="0">
      <selection activeCell="B11" sqref="B11"/>
    </sheetView>
  </sheetViews>
  <sheetFormatPr defaultColWidth="9.1796875" defaultRowHeight="15.5" x14ac:dyDescent="0.25"/>
  <cols>
    <col min="1" max="1" width="9" style="790" customWidth="1"/>
    <col min="2" max="2" width="97.1796875" style="790" customWidth="1"/>
    <col min="3" max="3" width="20" style="790" customWidth="1"/>
    <col min="4" max="4" width="26.26953125" style="791" customWidth="1"/>
    <col min="5" max="5" width="9.1796875" style="791"/>
    <col min="6" max="6" width="10" style="791" bestFit="1" customWidth="1"/>
    <col min="7" max="7" width="15.7265625" style="791" customWidth="1"/>
    <col min="8" max="8" width="18.7265625" style="791" customWidth="1"/>
    <col min="9" max="16384" width="9.1796875" style="791"/>
  </cols>
  <sheetData>
    <row r="1" spans="1:8" x14ac:dyDescent="0.25">
      <c r="D1" s="829" t="s">
        <v>649</v>
      </c>
    </row>
    <row r="2" spans="1:8" s="784" customFormat="1" ht="25.5" customHeight="1" x14ac:dyDescent="0.25">
      <c r="A2" s="910" t="s">
        <v>658</v>
      </c>
      <c r="B2" s="910"/>
      <c r="C2" s="910"/>
      <c r="D2" s="910"/>
    </row>
    <row r="3" spans="1:8" s="784" customFormat="1" ht="27" customHeight="1" x14ac:dyDescent="0.25">
      <c r="A3" s="909" t="s">
        <v>659</v>
      </c>
      <c r="B3" s="909"/>
      <c r="C3" s="909"/>
      <c r="D3" s="909"/>
    </row>
    <row r="4" spans="1:8" s="784" customFormat="1" ht="24" customHeight="1" x14ac:dyDescent="0.25">
      <c r="A4" s="785"/>
      <c r="B4" s="785"/>
      <c r="D4" s="786" t="s">
        <v>643</v>
      </c>
    </row>
    <row r="5" spans="1:8" s="784" customFormat="1" ht="32.25" customHeight="1" x14ac:dyDescent="0.25">
      <c r="A5" s="780" t="s">
        <v>0</v>
      </c>
      <c r="B5" s="780" t="s">
        <v>13</v>
      </c>
      <c r="C5" s="780" t="s">
        <v>249</v>
      </c>
      <c r="D5" s="780" t="s">
        <v>617</v>
      </c>
    </row>
    <row r="6" spans="1:8" s="784" customFormat="1" ht="18.75" customHeight="1" x14ac:dyDescent="0.25">
      <c r="A6" s="807">
        <v>1</v>
      </c>
      <c r="B6" s="807">
        <v>2</v>
      </c>
      <c r="C6" s="807">
        <v>3</v>
      </c>
      <c r="D6" s="807">
        <v>4</v>
      </c>
    </row>
    <row r="7" spans="1:8" s="784" customFormat="1" ht="31" customHeight="1" x14ac:dyDescent="0.25">
      <c r="A7" s="833" t="s">
        <v>222</v>
      </c>
      <c r="B7" s="833" t="s">
        <v>667</v>
      </c>
      <c r="C7" s="834">
        <f>C8+C9</f>
        <v>8935598000</v>
      </c>
      <c r="D7" s="807"/>
    </row>
    <row r="8" spans="1:8" s="784" customFormat="1" ht="35.15" customHeight="1" x14ac:dyDescent="0.25">
      <c r="A8" s="803" t="s">
        <v>4</v>
      </c>
      <c r="B8" s="804" t="s">
        <v>502</v>
      </c>
      <c r="C8" s="805">
        <v>7014602000</v>
      </c>
      <c r="D8" s="803"/>
      <c r="H8" s="831"/>
    </row>
    <row r="9" spans="1:8" s="784" customFormat="1" ht="35.15" customHeight="1" x14ac:dyDescent="0.25">
      <c r="A9" s="787" t="s">
        <v>9</v>
      </c>
      <c r="B9" s="792" t="s">
        <v>503</v>
      </c>
      <c r="C9" s="794">
        <f>C10</f>
        <v>1920996000</v>
      </c>
      <c r="D9" s="787"/>
    </row>
    <row r="10" spans="1:8" s="784" customFormat="1" ht="35.15" customHeight="1" x14ac:dyDescent="0.25">
      <c r="A10" s="800">
        <v>1</v>
      </c>
      <c r="B10" s="798" t="s">
        <v>666</v>
      </c>
      <c r="C10" s="794">
        <f>C11</f>
        <v>1920996000</v>
      </c>
      <c r="D10" s="787"/>
    </row>
    <row r="11" spans="1:8" s="784" customFormat="1" ht="46" customHeight="1" x14ac:dyDescent="0.25">
      <c r="A11" s="819" t="s">
        <v>466</v>
      </c>
      <c r="B11" s="811" t="s">
        <v>665</v>
      </c>
      <c r="C11" s="812">
        <v>1920996000</v>
      </c>
      <c r="D11" s="814"/>
    </row>
    <row r="12" spans="1:8" s="784" customFormat="1" ht="35.15" customHeight="1" x14ac:dyDescent="0.25">
      <c r="A12" s="787" t="s">
        <v>226</v>
      </c>
      <c r="B12" s="792" t="s">
        <v>622</v>
      </c>
      <c r="C12" s="794">
        <f>C13+C16+C19+C21+C23+C29+C31+C36</f>
        <v>5616202453</v>
      </c>
      <c r="D12" s="787"/>
    </row>
    <row r="13" spans="1:8" s="784" customFormat="1" ht="25" customHeight="1" x14ac:dyDescent="0.25">
      <c r="A13" s="800">
        <v>1</v>
      </c>
      <c r="B13" s="798" t="s">
        <v>625</v>
      </c>
      <c r="C13" s="801">
        <f>SUM(C14:C15)</f>
        <v>167717000</v>
      </c>
      <c r="D13" s="802"/>
    </row>
    <row r="14" spans="1:8" s="788" customFormat="1" ht="35.15" customHeight="1" x14ac:dyDescent="0.25">
      <c r="A14" s="796" t="s">
        <v>466</v>
      </c>
      <c r="B14" s="782" t="s">
        <v>626</v>
      </c>
      <c r="C14" s="781">
        <v>114797000</v>
      </c>
      <c r="D14" s="783" t="s">
        <v>628</v>
      </c>
    </row>
    <row r="15" spans="1:8" s="788" customFormat="1" ht="35.15" customHeight="1" x14ac:dyDescent="0.25">
      <c r="A15" s="796" t="s">
        <v>466</v>
      </c>
      <c r="B15" s="782" t="s">
        <v>627</v>
      </c>
      <c r="C15" s="781">
        <v>52920000</v>
      </c>
      <c r="D15" s="783" t="s">
        <v>629</v>
      </c>
    </row>
    <row r="16" spans="1:8" s="788" customFormat="1" ht="25" customHeight="1" x14ac:dyDescent="0.25">
      <c r="A16" s="797">
        <v>2</v>
      </c>
      <c r="B16" s="798" t="s">
        <v>623</v>
      </c>
      <c r="C16" s="799">
        <f>SUM(C17:C18)</f>
        <v>532361310</v>
      </c>
      <c r="D16" s="806"/>
    </row>
    <row r="17" spans="1:8" s="788" customFormat="1" ht="44.15" customHeight="1" x14ac:dyDescent="0.25">
      <c r="A17" s="796" t="s">
        <v>466</v>
      </c>
      <c r="B17" s="782" t="s">
        <v>656</v>
      </c>
      <c r="C17" s="781">
        <v>82361310</v>
      </c>
      <c r="D17" s="783" t="s">
        <v>630</v>
      </c>
    </row>
    <row r="18" spans="1:8" s="788" customFormat="1" ht="35.15" customHeight="1" x14ac:dyDescent="0.25">
      <c r="A18" s="796" t="s">
        <v>466</v>
      </c>
      <c r="B18" s="782" t="s">
        <v>624</v>
      </c>
      <c r="C18" s="781">
        <v>450000000</v>
      </c>
      <c r="D18" s="783" t="s">
        <v>661</v>
      </c>
    </row>
    <row r="19" spans="1:8" s="788" customFormat="1" ht="35.15" customHeight="1" x14ac:dyDescent="0.25">
      <c r="A19" s="797">
        <v>3</v>
      </c>
      <c r="B19" s="798" t="s">
        <v>642</v>
      </c>
      <c r="C19" s="799">
        <f>SUM(C20)</f>
        <v>240330000</v>
      </c>
      <c r="D19" s="806"/>
      <c r="H19" s="822"/>
    </row>
    <row r="20" spans="1:8" s="788" customFormat="1" ht="35.15" customHeight="1" x14ac:dyDescent="0.25">
      <c r="A20" s="796" t="s">
        <v>466</v>
      </c>
      <c r="B20" s="782" t="s">
        <v>631</v>
      </c>
      <c r="C20" s="781">
        <v>240330000</v>
      </c>
      <c r="D20" s="783" t="s">
        <v>632</v>
      </c>
    </row>
    <row r="21" spans="1:8" s="788" customFormat="1" ht="35.15" customHeight="1" x14ac:dyDescent="0.25">
      <c r="A21" s="818">
        <v>4</v>
      </c>
      <c r="B21" s="798" t="s">
        <v>644</v>
      </c>
      <c r="C21" s="799">
        <f>C22</f>
        <v>10000000</v>
      </c>
      <c r="D21" s="806"/>
    </row>
    <row r="22" spans="1:8" s="788" customFormat="1" ht="35.15" customHeight="1" x14ac:dyDescent="0.25">
      <c r="A22" s="819" t="s">
        <v>466</v>
      </c>
      <c r="B22" s="830" t="s">
        <v>655</v>
      </c>
      <c r="C22" s="813">
        <v>10000000</v>
      </c>
      <c r="D22" s="820" t="s">
        <v>630</v>
      </c>
    </row>
    <row r="23" spans="1:8" s="788" customFormat="1" ht="35.15" customHeight="1" x14ac:dyDescent="0.25">
      <c r="A23" s="818">
        <v>5</v>
      </c>
      <c r="B23" s="798" t="s">
        <v>638</v>
      </c>
      <c r="C23" s="799">
        <f>SUM(C24:C28)</f>
        <v>2875794143</v>
      </c>
      <c r="D23" s="806"/>
    </row>
    <row r="24" spans="1:8" s="788" customFormat="1" ht="39.65" customHeight="1" x14ac:dyDescent="0.25">
      <c r="A24" s="796" t="s">
        <v>466</v>
      </c>
      <c r="B24" s="821" t="s">
        <v>636</v>
      </c>
      <c r="C24" s="813">
        <v>500000000</v>
      </c>
      <c r="D24" s="820" t="s">
        <v>630</v>
      </c>
    </row>
    <row r="25" spans="1:8" s="788" customFormat="1" ht="39.65" customHeight="1" x14ac:dyDescent="0.25">
      <c r="A25" s="796" t="s">
        <v>466</v>
      </c>
      <c r="B25" s="821" t="s">
        <v>637</v>
      </c>
      <c r="C25" s="813">
        <v>900000000</v>
      </c>
      <c r="D25" s="820" t="s">
        <v>630</v>
      </c>
      <c r="H25" s="822"/>
    </row>
    <row r="26" spans="1:8" s="788" customFormat="1" ht="35.15" customHeight="1" x14ac:dyDescent="0.25">
      <c r="A26" s="796" t="s">
        <v>466</v>
      </c>
      <c r="B26" s="821" t="s">
        <v>633</v>
      </c>
      <c r="C26" s="813">
        <v>710000000</v>
      </c>
      <c r="D26" s="820" t="s">
        <v>640</v>
      </c>
      <c r="H26" s="822"/>
    </row>
    <row r="27" spans="1:8" s="788" customFormat="1" ht="35.15" customHeight="1" x14ac:dyDescent="0.25">
      <c r="A27" s="796" t="s">
        <v>466</v>
      </c>
      <c r="B27" s="821" t="s">
        <v>651</v>
      </c>
      <c r="C27" s="813">
        <v>90000000</v>
      </c>
      <c r="D27" s="820" t="s">
        <v>661</v>
      </c>
      <c r="H27" s="822"/>
    </row>
    <row r="28" spans="1:8" s="788" customFormat="1" ht="41.5" customHeight="1" x14ac:dyDescent="0.25">
      <c r="A28" s="796" t="s">
        <v>466</v>
      </c>
      <c r="B28" s="830" t="s">
        <v>634</v>
      </c>
      <c r="C28" s="813">
        <v>675794143</v>
      </c>
      <c r="D28" s="820" t="s">
        <v>641</v>
      </c>
    </row>
    <row r="29" spans="1:8" s="788" customFormat="1" ht="35.15" customHeight="1" x14ac:dyDescent="0.25">
      <c r="A29" s="818">
        <v>6</v>
      </c>
      <c r="B29" s="798" t="s">
        <v>663</v>
      </c>
      <c r="C29" s="799">
        <f>C30</f>
        <v>290000000</v>
      </c>
      <c r="D29" s="806"/>
      <c r="H29" s="822"/>
    </row>
    <row r="30" spans="1:8" s="788" customFormat="1" ht="35.15" customHeight="1" x14ac:dyDescent="0.25">
      <c r="A30" s="796" t="s">
        <v>466</v>
      </c>
      <c r="B30" s="830" t="s">
        <v>655</v>
      </c>
      <c r="C30" s="813">
        <v>290000000</v>
      </c>
      <c r="D30" s="820" t="s">
        <v>630</v>
      </c>
    </row>
    <row r="31" spans="1:8" s="788" customFormat="1" ht="35.15" customHeight="1" x14ac:dyDescent="0.25">
      <c r="A31" s="818">
        <v>7</v>
      </c>
      <c r="B31" s="798" t="s">
        <v>664</v>
      </c>
      <c r="C31" s="799">
        <f>SUM(C32:C35)</f>
        <v>60000000</v>
      </c>
      <c r="D31" s="806"/>
      <c r="H31" s="822"/>
    </row>
    <row r="32" spans="1:8" s="788" customFormat="1" ht="35.15" customHeight="1" x14ac:dyDescent="0.25">
      <c r="A32" s="796" t="s">
        <v>466</v>
      </c>
      <c r="B32" s="830" t="s">
        <v>652</v>
      </c>
      <c r="C32" s="813">
        <v>5000000</v>
      </c>
      <c r="D32" s="911" t="s">
        <v>630</v>
      </c>
      <c r="H32" s="822"/>
    </row>
    <row r="33" spans="1:8" s="788" customFormat="1" ht="35.15" customHeight="1" x14ac:dyDescent="0.25">
      <c r="A33" s="796" t="s">
        <v>466</v>
      </c>
      <c r="B33" s="830" t="s">
        <v>653</v>
      </c>
      <c r="C33" s="813">
        <v>5000000</v>
      </c>
      <c r="D33" s="911"/>
      <c r="H33" s="822"/>
    </row>
    <row r="34" spans="1:8" s="788" customFormat="1" ht="35.15" customHeight="1" x14ac:dyDescent="0.25">
      <c r="A34" s="796" t="s">
        <v>466</v>
      </c>
      <c r="B34" s="830" t="s">
        <v>654</v>
      </c>
      <c r="C34" s="813">
        <v>20000000</v>
      </c>
      <c r="D34" s="911"/>
      <c r="H34" s="822"/>
    </row>
    <row r="35" spans="1:8" s="788" customFormat="1" ht="35.15" customHeight="1" x14ac:dyDescent="0.25">
      <c r="A35" s="796" t="s">
        <v>466</v>
      </c>
      <c r="B35" s="830" t="s">
        <v>660</v>
      </c>
      <c r="C35" s="813">
        <v>30000000</v>
      </c>
      <c r="D35" s="911"/>
    </row>
    <row r="36" spans="1:8" s="788" customFormat="1" ht="35.15" customHeight="1" x14ac:dyDescent="0.25">
      <c r="A36" s="818">
        <v>8</v>
      </c>
      <c r="B36" s="798" t="s">
        <v>662</v>
      </c>
      <c r="C36" s="799">
        <f>SUM(C37:C40)</f>
        <v>1440000000</v>
      </c>
      <c r="D36" s="806"/>
    </row>
    <row r="37" spans="1:8" s="788" customFormat="1" ht="35.15" customHeight="1" x14ac:dyDescent="0.25">
      <c r="A37" s="796" t="s">
        <v>466</v>
      </c>
      <c r="B37" s="830" t="s">
        <v>652</v>
      </c>
      <c r="C37" s="813">
        <v>145000000</v>
      </c>
      <c r="D37" s="911" t="s">
        <v>630</v>
      </c>
    </row>
    <row r="38" spans="1:8" s="788" customFormat="1" ht="35.15" customHeight="1" x14ac:dyDescent="0.25">
      <c r="A38" s="796" t="s">
        <v>466</v>
      </c>
      <c r="B38" s="830" t="s">
        <v>653</v>
      </c>
      <c r="C38" s="813">
        <v>195000000</v>
      </c>
      <c r="D38" s="911"/>
    </row>
    <row r="39" spans="1:8" s="788" customFormat="1" ht="35.15" customHeight="1" x14ac:dyDescent="0.25">
      <c r="A39" s="796" t="s">
        <v>466</v>
      </c>
      <c r="B39" s="830" t="s">
        <v>654</v>
      </c>
      <c r="C39" s="813">
        <v>430000000</v>
      </c>
      <c r="D39" s="911"/>
    </row>
    <row r="40" spans="1:8" s="788" customFormat="1" ht="35.15" customHeight="1" x14ac:dyDescent="0.25">
      <c r="A40" s="832" t="s">
        <v>466</v>
      </c>
      <c r="B40" s="815" t="s">
        <v>660</v>
      </c>
      <c r="C40" s="816">
        <v>670000000</v>
      </c>
      <c r="D40" s="912"/>
    </row>
    <row r="41" spans="1:8" s="784" customFormat="1" ht="27.75" customHeight="1" x14ac:dyDescent="0.25">
      <c r="A41" s="780" t="s">
        <v>668</v>
      </c>
      <c r="B41" s="793" t="s">
        <v>657</v>
      </c>
      <c r="C41" s="795">
        <f>C7-C12</f>
        <v>3319395547</v>
      </c>
      <c r="D41" s="789"/>
    </row>
  </sheetData>
  <mergeCells count="4">
    <mergeCell ref="A3:D3"/>
    <mergeCell ref="A2:D2"/>
    <mergeCell ref="D32:D35"/>
    <mergeCell ref="D37:D40"/>
  </mergeCells>
  <pageMargins left="0.47244094488188998" right="0.23622047244094499" top="0.27559055118110198" bottom="0.31496062992126" header="0.27559055118110198" footer="0.31496062992126"/>
  <pageSetup paperSize="9" scale="93" fitToHeight="0" orientation="landscape" useFirstPageNumber="1" r:id="rId1"/>
  <headerFooter>
    <oddFooter>&amp;C&amp;"Times New Roman,Regular"&amp;P</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7"/>
  <sheetViews>
    <sheetView tabSelected="1" topLeftCell="A25" zoomScale="85" zoomScaleNormal="85" workbookViewId="0">
      <selection activeCell="C27" sqref="C27"/>
    </sheetView>
  </sheetViews>
  <sheetFormatPr defaultColWidth="9.1796875" defaultRowHeight="15.5" x14ac:dyDescent="0.25"/>
  <cols>
    <col min="1" max="1" width="8" style="790" customWidth="1"/>
    <col min="2" max="2" width="46.26953125" style="790" customWidth="1"/>
    <col min="3" max="3" width="18.54296875" style="790" customWidth="1"/>
    <col min="4" max="4" width="17.08984375" style="790" customWidth="1"/>
    <col min="5" max="5" width="18" style="790" customWidth="1"/>
    <col min="6" max="6" width="16.26953125" style="790" customWidth="1"/>
    <col min="7" max="7" width="18.6328125" style="790" customWidth="1"/>
    <col min="8" max="8" width="17.54296875" style="790" customWidth="1"/>
    <col min="9" max="9" width="40.90625" style="791" customWidth="1"/>
    <col min="10" max="10" width="9.1796875" style="791"/>
    <col min="11" max="11" width="10" style="791" bestFit="1" customWidth="1"/>
    <col min="12" max="12" width="15.7265625" style="791" customWidth="1"/>
    <col min="13" max="13" width="18.7265625" style="791" customWidth="1"/>
    <col min="14" max="16384" width="9.1796875" style="791"/>
  </cols>
  <sheetData>
    <row r="1" spans="1:13" x14ac:dyDescent="0.25">
      <c r="I1" s="829" t="s">
        <v>650</v>
      </c>
    </row>
    <row r="2" spans="1:13" s="784" customFormat="1" ht="25.5" customHeight="1" x14ac:dyDescent="0.25">
      <c r="A2" s="910" t="s">
        <v>688</v>
      </c>
      <c r="B2" s="910"/>
      <c r="C2" s="910"/>
      <c r="D2" s="910"/>
      <c r="E2" s="910"/>
      <c r="F2" s="910"/>
      <c r="G2" s="910"/>
      <c r="H2" s="910"/>
      <c r="I2" s="910"/>
    </row>
    <row r="3" spans="1:13" s="784" customFormat="1" ht="27" customHeight="1" x14ac:dyDescent="0.25">
      <c r="A3" s="909" t="s">
        <v>678</v>
      </c>
      <c r="B3" s="909"/>
      <c r="C3" s="909"/>
      <c r="D3" s="909"/>
      <c r="E3" s="909"/>
      <c r="F3" s="909"/>
      <c r="G3" s="909"/>
      <c r="H3" s="909"/>
      <c r="I3" s="909"/>
    </row>
    <row r="4" spans="1:13" s="784" customFormat="1" ht="24" customHeight="1" x14ac:dyDescent="0.25">
      <c r="A4" s="785"/>
      <c r="B4" s="785"/>
      <c r="I4" s="786" t="s">
        <v>643</v>
      </c>
    </row>
    <row r="5" spans="1:13" s="784" customFormat="1" ht="66" x14ac:dyDescent="0.25">
      <c r="A5" s="780" t="s">
        <v>0</v>
      </c>
      <c r="B5" s="780" t="s">
        <v>676</v>
      </c>
      <c r="C5" s="780" t="s">
        <v>680</v>
      </c>
      <c r="D5" s="780" t="s">
        <v>686</v>
      </c>
      <c r="E5" s="780" t="s">
        <v>671</v>
      </c>
      <c r="F5" s="780" t="s">
        <v>683</v>
      </c>
      <c r="G5" s="780" t="s">
        <v>687</v>
      </c>
      <c r="H5" s="780" t="s">
        <v>679</v>
      </c>
      <c r="I5" s="780" t="s">
        <v>685</v>
      </c>
    </row>
    <row r="6" spans="1:13" s="784" customFormat="1" ht="18.75" customHeight="1" x14ac:dyDescent="0.25">
      <c r="A6" s="850">
        <v>1</v>
      </c>
      <c r="B6" s="850">
        <v>3</v>
      </c>
      <c r="C6" s="850">
        <v>4</v>
      </c>
      <c r="D6" s="850">
        <v>5</v>
      </c>
      <c r="E6" s="850">
        <v>6</v>
      </c>
      <c r="F6" s="850" t="s">
        <v>684</v>
      </c>
      <c r="G6" s="850" t="s">
        <v>681</v>
      </c>
      <c r="H6" s="850" t="s">
        <v>682</v>
      </c>
      <c r="I6" s="850">
        <v>10</v>
      </c>
    </row>
    <row r="7" spans="1:13" s="784" customFormat="1" ht="29.5" customHeight="1" x14ac:dyDescent="0.25">
      <c r="A7" s="780"/>
      <c r="B7" s="793"/>
      <c r="C7" s="962">
        <f>C8+C22</f>
        <v>5616202453</v>
      </c>
      <c r="D7" s="962">
        <f>D8+D22</f>
        <v>1753841143</v>
      </c>
      <c r="E7" s="962">
        <f>E8+E22</f>
        <v>4881456013</v>
      </c>
      <c r="F7" s="962">
        <f>F8+F22</f>
        <v>734746440</v>
      </c>
      <c r="G7" s="963">
        <f>D7/C7%</f>
        <v>31.228239325011383</v>
      </c>
      <c r="H7" s="963">
        <f>E7/C7%</f>
        <v>86.917379739266323</v>
      </c>
      <c r="I7" s="962"/>
    </row>
    <row r="8" spans="1:13" s="784" customFormat="1" ht="35.15" customHeight="1" x14ac:dyDescent="0.25">
      <c r="A8" s="958" t="s">
        <v>4</v>
      </c>
      <c r="B8" s="959" t="s">
        <v>677</v>
      </c>
      <c r="C8" s="960">
        <f>C9+C11+C13</f>
        <v>4532361310</v>
      </c>
      <c r="D8" s="960">
        <f t="shared" ref="D8:E8" si="0">D9+D11+D13</f>
        <v>670000000</v>
      </c>
      <c r="E8" s="960">
        <f t="shared" si="0"/>
        <v>3797614870</v>
      </c>
      <c r="F8" s="960">
        <f>F9+F11+F13</f>
        <v>734746440</v>
      </c>
      <c r="G8" s="961">
        <f t="shared" ref="G8:G13" si="1">D8/C8%</f>
        <v>14.782581400157614</v>
      </c>
      <c r="H8" s="961">
        <f t="shared" ref="H8:H13" si="2">E8/C8%</f>
        <v>83.788882003319372</v>
      </c>
      <c r="I8" s="960"/>
    </row>
    <row r="9" spans="1:13" s="784" customFormat="1" ht="35.15" customHeight="1" x14ac:dyDescent="0.25">
      <c r="A9" s="840">
        <v>1</v>
      </c>
      <c r="B9" s="841" t="s">
        <v>661</v>
      </c>
      <c r="C9" s="842">
        <f>C10</f>
        <v>540000000</v>
      </c>
      <c r="D9" s="842">
        <f t="shared" ref="D9:E9" si="3">D10</f>
        <v>0</v>
      </c>
      <c r="E9" s="842">
        <f t="shared" si="3"/>
        <v>540000000</v>
      </c>
      <c r="F9" s="842">
        <f>F10</f>
        <v>0</v>
      </c>
      <c r="G9" s="844">
        <f t="shared" si="1"/>
        <v>0</v>
      </c>
      <c r="H9" s="844">
        <f t="shared" si="2"/>
        <v>100</v>
      </c>
      <c r="I9" s="840"/>
    </row>
    <row r="10" spans="1:13" s="788" customFormat="1" ht="64" customHeight="1" x14ac:dyDescent="0.25">
      <c r="A10" s="852" t="s">
        <v>466</v>
      </c>
      <c r="B10" s="853" t="s">
        <v>624</v>
      </c>
      <c r="C10" s="854">
        <v>540000000</v>
      </c>
      <c r="D10" s="854"/>
      <c r="E10" s="854">
        <v>540000000</v>
      </c>
      <c r="F10" s="854">
        <f>C10-E10</f>
        <v>0</v>
      </c>
      <c r="G10" s="855">
        <f t="shared" si="1"/>
        <v>0</v>
      </c>
      <c r="H10" s="855">
        <f t="shared" si="2"/>
        <v>100</v>
      </c>
      <c r="I10" s="856" t="s">
        <v>690</v>
      </c>
    </row>
    <row r="11" spans="1:13" s="788" customFormat="1" ht="35.15" customHeight="1" x14ac:dyDescent="0.25">
      <c r="A11" s="837">
        <v>2</v>
      </c>
      <c r="B11" s="849" t="s">
        <v>640</v>
      </c>
      <c r="C11" s="839">
        <f>C12</f>
        <v>710000000</v>
      </c>
      <c r="D11" s="839">
        <f t="shared" ref="D11:E11" si="4">D12</f>
        <v>0</v>
      </c>
      <c r="E11" s="839">
        <f t="shared" si="4"/>
        <v>710000000</v>
      </c>
      <c r="F11" s="839">
        <f>F12</f>
        <v>0</v>
      </c>
      <c r="G11" s="844">
        <f t="shared" si="1"/>
        <v>0</v>
      </c>
      <c r="H11" s="844">
        <f t="shared" si="2"/>
        <v>100</v>
      </c>
      <c r="I11" s="864"/>
    </row>
    <row r="12" spans="1:13" s="788" customFormat="1" ht="47" customHeight="1" x14ac:dyDescent="0.25">
      <c r="A12" s="857" t="s">
        <v>466</v>
      </c>
      <c r="B12" s="858" t="s">
        <v>633</v>
      </c>
      <c r="C12" s="859">
        <v>710000000</v>
      </c>
      <c r="D12" s="859"/>
      <c r="E12" s="859">
        <v>710000000</v>
      </c>
      <c r="F12" s="860">
        <f>C12-E12</f>
        <v>0</v>
      </c>
      <c r="G12" s="861">
        <f t="shared" si="1"/>
        <v>0</v>
      </c>
      <c r="H12" s="861">
        <f t="shared" si="2"/>
        <v>100</v>
      </c>
      <c r="I12" s="862" t="s">
        <v>689</v>
      </c>
      <c r="M12" s="822"/>
    </row>
    <row r="13" spans="1:13" s="788" customFormat="1" ht="36" customHeight="1" x14ac:dyDescent="0.25">
      <c r="A13" s="837">
        <v>3</v>
      </c>
      <c r="B13" s="849" t="s">
        <v>630</v>
      </c>
      <c r="C13" s="839">
        <f>SUM(C14:C21)</f>
        <v>3282361310</v>
      </c>
      <c r="D13" s="839">
        <f t="shared" ref="D13:E13" si="5">SUM(D14:D21)</f>
        <v>670000000</v>
      </c>
      <c r="E13" s="839">
        <f t="shared" si="5"/>
        <v>2547614870</v>
      </c>
      <c r="F13" s="839">
        <f>SUM(F14:F21)</f>
        <v>734746440</v>
      </c>
      <c r="G13" s="844">
        <f t="shared" si="1"/>
        <v>20.412134336301936</v>
      </c>
      <c r="H13" s="844">
        <f t="shared" si="2"/>
        <v>77.615308900896096</v>
      </c>
      <c r="I13" s="864"/>
      <c r="M13" s="822"/>
    </row>
    <row r="14" spans="1:13" s="788" customFormat="1" ht="45" customHeight="1" x14ac:dyDescent="0.25">
      <c r="A14" s="852" t="s">
        <v>466</v>
      </c>
      <c r="B14" s="853" t="s">
        <v>636</v>
      </c>
      <c r="C14" s="854">
        <v>500000000</v>
      </c>
      <c r="D14" s="854">
        <v>350000000</v>
      </c>
      <c r="E14" s="854">
        <f>D14</f>
        <v>350000000</v>
      </c>
      <c r="F14" s="854">
        <f>C14-E14</f>
        <v>150000000</v>
      </c>
      <c r="G14" s="855">
        <f>D14/C14%</f>
        <v>70</v>
      </c>
      <c r="H14" s="855">
        <f>E14/C14%</f>
        <v>70</v>
      </c>
      <c r="I14" s="856" t="s">
        <v>691</v>
      </c>
      <c r="M14" s="822"/>
    </row>
    <row r="15" spans="1:13" s="788" customFormat="1" ht="47.5" customHeight="1" x14ac:dyDescent="0.25">
      <c r="A15" s="852" t="s">
        <v>466</v>
      </c>
      <c r="B15" s="853" t="s">
        <v>637</v>
      </c>
      <c r="C15" s="854">
        <v>900000000</v>
      </c>
      <c r="D15" s="854">
        <v>320000000</v>
      </c>
      <c r="E15" s="854">
        <f>D15</f>
        <v>320000000</v>
      </c>
      <c r="F15" s="854">
        <f t="shared" ref="F15:F21" si="6">C15-E15</f>
        <v>580000000</v>
      </c>
      <c r="G15" s="855">
        <f t="shared" ref="G15:G21" si="7">D15/C15%</f>
        <v>35.555555555555557</v>
      </c>
      <c r="H15" s="855">
        <f t="shared" ref="H15:H21" si="8">E15/C15%</f>
        <v>35.555555555555557</v>
      </c>
      <c r="I15" s="856" t="s">
        <v>691</v>
      </c>
      <c r="M15" s="822"/>
    </row>
    <row r="16" spans="1:13" s="788" customFormat="1" ht="61.5" customHeight="1" x14ac:dyDescent="0.25">
      <c r="A16" s="852" t="s">
        <v>466</v>
      </c>
      <c r="B16" s="853" t="s">
        <v>674</v>
      </c>
      <c r="C16" s="854">
        <v>82361310</v>
      </c>
      <c r="D16" s="854">
        <v>0</v>
      </c>
      <c r="E16" s="854">
        <v>79932600</v>
      </c>
      <c r="F16" s="854">
        <f t="shared" si="6"/>
        <v>2428710</v>
      </c>
      <c r="G16" s="855">
        <f t="shared" si="7"/>
        <v>0</v>
      </c>
      <c r="H16" s="855">
        <f t="shared" si="8"/>
        <v>97.051151809022954</v>
      </c>
      <c r="I16" s="856" t="s">
        <v>693</v>
      </c>
      <c r="M16" s="822"/>
    </row>
    <row r="17" spans="1:9" s="788" customFormat="1" ht="61.5" customHeight="1" x14ac:dyDescent="0.25">
      <c r="A17" s="852" t="s">
        <v>466</v>
      </c>
      <c r="B17" s="863" t="s">
        <v>655</v>
      </c>
      <c r="C17" s="854">
        <v>300000000</v>
      </c>
      <c r="D17" s="854">
        <v>0</v>
      </c>
      <c r="E17" s="854">
        <v>299960890</v>
      </c>
      <c r="F17" s="854">
        <f t="shared" si="6"/>
        <v>39110</v>
      </c>
      <c r="G17" s="855">
        <f t="shared" si="7"/>
        <v>0</v>
      </c>
      <c r="H17" s="855">
        <f t="shared" si="8"/>
        <v>99.986963333333335</v>
      </c>
      <c r="I17" s="856" t="s">
        <v>694</v>
      </c>
    </row>
    <row r="18" spans="1:9" s="788" customFormat="1" ht="49.5" x14ac:dyDescent="0.25">
      <c r="A18" s="852" t="s">
        <v>466</v>
      </c>
      <c r="B18" s="863" t="s">
        <v>652</v>
      </c>
      <c r="C18" s="854">
        <v>150000000</v>
      </c>
      <c r="D18" s="854">
        <v>0</v>
      </c>
      <c r="E18" s="854">
        <v>148746424</v>
      </c>
      <c r="F18" s="854">
        <f t="shared" si="6"/>
        <v>1253576</v>
      </c>
      <c r="G18" s="855">
        <f t="shared" si="7"/>
        <v>0</v>
      </c>
      <c r="H18" s="855">
        <f t="shared" si="8"/>
        <v>99.164282666666665</v>
      </c>
      <c r="I18" s="856" t="s">
        <v>692</v>
      </c>
    </row>
    <row r="19" spans="1:9" s="788" customFormat="1" ht="58.5" customHeight="1" x14ac:dyDescent="0.25">
      <c r="A19" s="852" t="s">
        <v>466</v>
      </c>
      <c r="B19" s="863" t="s">
        <v>653</v>
      </c>
      <c r="C19" s="854">
        <v>200000000</v>
      </c>
      <c r="D19" s="854">
        <v>0</v>
      </c>
      <c r="E19" s="854">
        <v>199656467</v>
      </c>
      <c r="F19" s="854">
        <f t="shared" si="6"/>
        <v>343533</v>
      </c>
      <c r="G19" s="855">
        <f t="shared" si="7"/>
        <v>0</v>
      </c>
      <c r="H19" s="855">
        <f t="shared" si="8"/>
        <v>99.828233499999996</v>
      </c>
      <c r="I19" s="856" t="s">
        <v>694</v>
      </c>
    </row>
    <row r="20" spans="1:9" s="788" customFormat="1" ht="60.5" customHeight="1" x14ac:dyDescent="0.25">
      <c r="A20" s="852" t="s">
        <v>466</v>
      </c>
      <c r="B20" s="863" t="s">
        <v>654</v>
      </c>
      <c r="C20" s="854">
        <v>450000000</v>
      </c>
      <c r="D20" s="854">
        <v>0</v>
      </c>
      <c r="E20" s="854">
        <v>449379057</v>
      </c>
      <c r="F20" s="854">
        <f t="shared" si="6"/>
        <v>620943</v>
      </c>
      <c r="G20" s="855">
        <f t="shared" si="7"/>
        <v>0</v>
      </c>
      <c r="H20" s="855">
        <f t="shared" si="8"/>
        <v>99.862012666666672</v>
      </c>
      <c r="I20" s="856" t="s">
        <v>694</v>
      </c>
    </row>
    <row r="21" spans="1:9" s="788" customFormat="1" ht="58" customHeight="1" x14ac:dyDescent="0.25">
      <c r="A21" s="852" t="s">
        <v>466</v>
      </c>
      <c r="B21" s="863" t="s">
        <v>660</v>
      </c>
      <c r="C21" s="854">
        <v>700000000</v>
      </c>
      <c r="D21" s="854">
        <v>0</v>
      </c>
      <c r="E21" s="854">
        <v>699939432</v>
      </c>
      <c r="F21" s="854">
        <f t="shared" si="6"/>
        <v>60568</v>
      </c>
      <c r="G21" s="855">
        <f t="shared" si="7"/>
        <v>0</v>
      </c>
      <c r="H21" s="855">
        <f t="shared" si="8"/>
        <v>99.99134742857143</v>
      </c>
      <c r="I21" s="856" t="s">
        <v>694</v>
      </c>
    </row>
    <row r="22" spans="1:9" s="788" customFormat="1" ht="35.15" customHeight="1" x14ac:dyDescent="0.25">
      <c r="A22" s="837" t="s">
        <v>9</v>
      </c>
      <c r="B22" s="838" t="s">
        <v>675</v>
      </c>
      <c r="C22" s="839">
        <f>SUM(C23:C26)</f>
        <v>1083841143</v>
      </c>
      <c r="D22" s="839">
        <f>SUM(D23:D26)</f>
        <v>1083841143</v>
      </c>
      <c r="E22" s="839">
        <f>SUM(E23:E26)</f>
        <v>1083841143</v>
      </c>
      <c r="F22" s="839">
        <f>SUM(F23:F26)</f>
        <v>0</v>
      </c>
      <c r="G22" s="844">
        <f t="shared" ref="G22" si="9">D22/C22%</f>
        <v>100</v>
      </c>
      <c r="H22" s="844">
        <f t="shared" ref="H22" si="10">E22/C22%</f>
        <v>100</v>
      </c>
      <c r="I22" s="847"/>
    </row>
    <row r="23" spans="1:9" ht="44" customHeight="1" x14ac:dyDescent="0.25">
      <c r="A23" s="796">
        <v>1</v>
      </c>
      <c r="B23" s="782" t="s">
        <v>626</v>
      </c>
      <c r="C23" s="781">
        <v>114797000</v>
      </c>
      <c r="D23" s="781">
        <v>114797000</v>
      </c>
      <c r="E23" s="781">
        <v>114797000</v>
      </c>
      <c r="F23" s="781">
        <f t="shared" ref="F23:F26" si="11">C23-E23</f>
        <v>0</v>
      </c>
      <c r="G23" s="843">
        <f>D23/C23%</f>
        <v>100</v>
      </c>
      <c r="H23" s="843">
        <f>E23/C23%</f>
        <v>100</v>
      </c>
      <c r="I23" s="846"/>
    </row>
    <row r="24" spans="1:9" ht="42" customHeight="1" x14ac:dyDescent="0.25">
      <c r="A24" s="796">
        <v>2</v>
      </c>
      <c r="B24" s="782" t="s">
        <v>627</v>
      </c>
      <c r="C24" s="781">
        <v>52920000</v>
      </c>
      <c r="D24" s="781">
        <v>52920000</v>
      </c>
      <c r="E24" s="781">
        <v>52920000</v>
      </c>
      <c r="F24" s="781">
        <f t="shared" si="11"/>
        <v>0</v>
      </c>
      <c r="G24" s="843">
        <f>D24/C24%</f>
        <v>100</v>
      </c>
      <c r="H24" s="843">
        <f>E24/C24%</f>
        <v>100</v>
      </c>
      <c r="I24" s="846"/>
    </row>
    <row r="25" spans="1:9" ht="35.15" customHeight="1" x14ac:dyDescent="0.25">
      <c r="A25" s="796">
        <v>3</v>
      </c>
      <c r="B25" s="782" t="s">
        <v>631</v>
      </c>
      <c r="C25" s="781">
        <v>240330000</v>
      </c>
      <c r="D25" s="781">
        <v>240330000</v>
      </c>
      <c r="E25" s="781">
        <v>240330000</v>
      </c>
      <c r="F25" s="781">
        <f t="shared" si="11"/>
        <v>0</v>
      </c>
      <c r="G25" s="843">
        <f>D25/C25%</f>
        <v>100</v>
      </c>
      <c r="H25" s="843">
        <f>E25/C25%</f>
        <v>100</v>
      </c>
      <c r="I25" s="846"/>
    </row>
    <row r="26" spans="1:9" ht="62.5" customHeight="1" x14ac:dyDescent="0.25">
      <c r="A26" s="832">
        <v>4</v>
      </c>
      <c r="B26" s="815" t="s">
        <v>634</v>
      </c>
      <c r="C26" s="816">
        <v>675794143</v>
      </c>
      <c r="D26" s="816">
        <v>675794143</v>
      </c>
      <c r="E26" s="816">
        <v>675794143</v>
      </c>
      <c r="F26" s="851">
        <f t="shared" si="11"/>
        <v>0</v>
      </c>
      <c r="G26" s="845">
        <f>D26/C26%</f>
        <v>100</v>
      </c>
      <c r="H26" s="845">
        <f>E26/C26%</f>
        <v>100</v>
      </c>
      <c r="I26" s="848"/>
    </row>
    <row r="27" spans="1:9" ht="26.5" customHeight="1" x14ac:dyDescent="0.25"/>
  </sheetData>
  <mergeCells count="2">
    <mergeCell ref="A2:I2"/>
    <mergeCell ref="A3:I3"/>
  </mergeCells>
  <pageMargins left="0.39" right="0.23622047244094499" top="0.55000000000000004" bottom="0.32" header="0.27559055118110198" footer="0.2"/>
  <pageSetup paperSize="9" scale="70" fitToHeight="0" orientation="landscape" useFirstPageNumber="1" r:id="rId1"/>
  <headerFooter>
    <oddFooter>&amp;C&amp;"Times New Roman,Regular"&amp;P</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2"/>
  <sheetViews>
    <sheetView topLeftCell="A3" zoomScale="85" zoomScaleNormal="85" workbookViewId="0">
      <selection activeCell="C10" sqref="C10"/>
    </sheetView>
  </sheetViews>
  <sheetFormatPr defaultColWidth="9.1796875" defaultRowHeight="15.5" x14ac:dyDescent="0.25"/>
  <cols>
    <col min="1" max="1" width="9" style="790" customWidth="1"/>
    <col min="2" max="2" width="31.54296875" style="790" customWidth="1"/>
    <col min="3" max="3" width="63" style="790" customWidth="1"/>
    <col min="4" max="8" width="20" style="790" customWidth="1"/>
    <col min="9" max="9" width="26.26953125" style="791" customWidth="1"/>
    <col min="10" max="10" width="9.1796875" style="791"/>
    <col min="11" max="11" width="10" style="791" bestFit="1" customWidth="1"/>
    <col min="12" max="12" width="15.7265625" style="791" customWidth="1"/>
    <col min="13" max="13" width="18.7265625" style="791" customWidth="1"/>
    <col min="14" max="16384" width="9.1796875" style="791"/>
  </cols>
  <sheetData>
    <row r="1" spans="1:13" x14ac:dyDescent="0.25">
      <c r="I1" s="829" t="s">
        <v>649</v>
      </c>
    </row>
    <row r="2" spans="1:13" s="784" customFormat="1" ht="25.5" customHeight="1" x14ac:dyDescent="0.25">
      <c r="A2" s="910" t="s">
        <v>658</v>
      </c>
      <c r="B2" s="910"/>
      <c r="C2" s="910"/>
      <c r="D2" s="910"/>
      <c r="E2" s="910"/>
      <c r="F2" s="910"/>
      <c r="G2" s="910"/>
      <c r="H2" s="910"/>
      <c r="I2" s="910"/>
    </row>
    <row r="3" spans="1:13" s="784" customFormat="1" ht="27" customHeight="1" x14ac:dyDescent="0.25">
      <c r="A3" s="909" t="s">
        <v>659</v>
      </c>
      <c r="B3" s="909"/>
      <c r="C3" s="909"/>
      <c r="D3" s="909"/>
      <c r="E3" s="909"/>
      <c r="F3" s="909"/>
      <c r="G3" s="909"/>
      <c r="H3" s="909"/>
      <c r="I3" s="909"/>
    </row>
    <row r="4" spans="1:13" s="784" customFormat="1" ht="24" customHeight="1" x14ac:dyDescent="0.25">
      <c r="A4" s="785"/>
      <c r="B4" s="785"/>
      <c r="C4" s="785"/>
      <c r="I4" s="786" t="s">
        <v>643</v>
      </c>
    </row>
    <row r="5" spans="1:13" s="784" customFormat="1" ht="53.25" customHeight="1" x14ac:dyDescent="0.25">
      <c r="A5" s="780" t="s">
        <v>0</v>
      </c>
      <c r="B5" s="780"/>
      <c r="C5" s="780" t="s">
        <v>13</v>
      </c>
      <c r="D5" s="780" t="s">
        <v>249</v>
      </c>
      <c r="E5" s="780" t="s">
        <v>670</v>
      </c>
      <c r="F5" s="780" t="s">
        <v>671</v>
      </c>
      <c r="G5" s="780" t="s">
        <v>672</v>
      </c>
      <c r="H5" s="780" t="s">
        <v>673</v>
      </c>
      <c r="I5" s="780" t="s">
        <v>669</v>
      </c>
    </row>
    <row r="6" spans="1:13" s="784" customFormat="1" ht="18.75" customHeight="1" x14ac:dyDescent="0.25">
      <c r="A6" s="807">
        <v>1</v>
      </c>
      <c r="B6" s="807"/>
      <c r="C6" s="807">
        <v>2</v>
      </c>
      <c r="D6" s="807">
        <v>3</v>
      </c>
      <c r="E6" s="807"/>
      <c r="F6" s="807"/>
      <c r="G6" s="807"/>
      <c r="H6" s="807"/>
      <c r="I6" s="807">
        <v>4</v>
      </c>
    </row>
    <row r="7" spans="1:13" s="784" customFormat="1" ht="35.15" customHeight="1" x14ac:dyDescent="0.25">
      <c r="A7" s="787"/>
      <c r="B7" s="787" t="s">
        <v>360</v>
      </c>
      <c r="C7" s="792"/>
      <c r="D7" s="794">
        <f>SUM(D8:D22)</f>
        <v>5616202453</v>
      </c>
      <c r="E7" s="794">
        <f t="shared" ref="E7:F7" si="0">SUM(E8:E22)</f>
        <v>408047000</v>
      </c>
      <c r="F7" s="794">
        <f t="shared" si="0"/>
        <v>408047000</v>
      </c>
      <c r="G7" s="781">
        <f>E7/D7%</f>
        <v>7.2655322420229709</v>
      </c>
      <c r="H7" s="781">
        <f>F7/D7%</f>
        <v>7.2655322420229709</v>
      </c>
      <c r="I7" s="787"/>
    </row>
    <row r="8" spans="1:13" s="788" customFormat="1" ht="35.15" customHeight="1" x14ac:dyDescent="0.25">
      <c r="A8" s="796">
        <v>1</v>
      </c>
      <c r="B8" s="782" t="s">
        <v>628</v>
      </c>
      <c r="C8" s="782" t="s">
        <v>626</v>
      </c>
      <c r="D8" s="781">
        <v>114797000</v>
      </c>
      <c r="E8" s="781">
        <v>114797000</v>
      </c>
      <c r="F8" s="781">
        <v>114797000</v>
      </c>
      <c r="G8" s="781">
        <f>E8/D8%</f>
        <v>100</v>
      </c>
      <c r="H8" s="781">
        <f>F8/D8%</f>
        <v>100</v>
      </c>
      <c r="I8" s="783"/>
    </row>
    <row r="9" spans="1:13" s="788" customFormat="1" ht="35.15" customHeight="1" x14ac:dyDescent="0.25">
      <c r="A9" s="796">
        <v>2</v>
      </c>
      <c r="B9" s="782" t="s">
        <v>629</v>
      </c>
      <c r="C9" s="782" t="s">
        <v>627</v>
      </c>
      <c r="D9" s="781">
        <v>52920000</v>
      </c>
      <c r="E9" s="781">
        <v>52920000</v>
      </c>
      <c r="F9" s="781">
        <v>52920000</v>
      </c>
      <c r="G9" s="781">
        <f t="shared" ref="G9:G22" si="1">E9/D9%</f>
        <v>100</v>
      </c>
      <c r="H9" s="781">
        <f t="shared" ref="H9:H22" si="2">F9/D9%</f>
        <v>100</v>
      </c>
      <c r="I9" s="783"/>
    </row>
    <row r="10" spans="1:13" s="788" customFormat="1" ht="44.15" customHeight="1" x14ac:dyDescent="0.25">
      <c r="A10" s="796">
        <v>3</v>
      </c>
      <c r="B10" s="782" t="s">
        <v>630</v>
      </c>
      <c r="C10" s="782" t="s">
        <v>674</v>
      </c>
      <c r="D10" s="781">
        <v>82361310</v>
      </c>
      <c r="E10" s="781"/>
      <c r="F10" s="781"/>
      <c r="G10" s="781">
        <f t="shared" si="1"/>
        <v>0</v>
      </c>
      <c r="H10" s="781">
        <f t="shared" si="2"/>
        <v>0</v>
      </c>
      <c r="I10" s="783"/>
    </row>
    <row r="11" spans="1:13" s="788" customFormat="1" ht="35.15" customHeight="1" x14ac:dyDescent="0.25">
      <c r="A11" s="796">
        <v>4</v>
      </c>
      <c r="B11" s="782" t="s">
        <v>661</v>
      </c>
      <c r="C11" s="782" t="s">
        <v>624</v>
      </c>
      <c r="D11" s="781">
        <v>450000000</v>
      </c>
      <c r="E11" s="781"/>
      <c r="F11" s="781"/>
      <c r="G11" s="781">
        <f t="shared" si="1"/>
        <v>0</v>
      </c>
      <c r="H11" s="781">
        <f t="shared" si="2"/>
        <v>0</v>
      </c>
      <c r="I11" s="783"/>
    </row>
    <row r="12" spans="1:13" s="788" customFormat="1" ht="35.15" customHeight="1" x14ac:dyDescent="0.25">
      <c r="A12" s="796">
        <v>5</v>
      </c>
      <c r="B12" s="782" t="s">
        <v>632</v>
      </c>
      <c r="C12" s="782" t="s">
        <v>631</v>
      </c>
      <c r="D12" s="781">
        <v>240330000</v>
      </c>
      <c r="E12" s="781">
        <v>240330000</v>
      </c>
      <c r="F12" s="781">
        <v>240330000</v>
      </c>
      <c r="G12" s="781">
        <f t="shared" si="1"/>
        <v>100</v>
      </c>
      <c r="H12" s="781">
        <f t="shared" si="2"/>
        <v>100</v>
      </c>
      <c r="I12" s="783"/>
    </row>
    <row r="13" spans="1:13" s="788" customFormat="1" ht="39.65" customHeight="1" x14ac:dyDescent="0.25">
      <c r="A13" s="796">
        <v>6</v>
      </c>
      <c r="B13" s="836" t="s">
        <v>630</v>
      </c>
      <c r="C13" s="836" t="s">
        <v>636</v>
      </c>
      <c r="D13" s="813">
        <v>500000000</v>
      </c>
      <c r="E13" s="813"/>
      <c r="F13" s="813"/>
      <c r="G13" s="781">
        <f t="shared" si="1"/>
        <v>0</v>
      </c>
      <c r="H13" s="781">
        <f t="shared" si="2"/>
        <v>0</v>
      </c>
      <c r="I13" s="835"/>
    </row>
    <row r="14" spans="1:13" s="788" customFormat="1" ht="39.65" customHeight="1" x14ac:dyDescent="0.25">
      <c r="A14" s="796">
        <v>7</v>
      </c>
      <c r="B14" s="836" t="s">
        <v>630</v>
      </c>
      <c r="C14" s="836" t="s">
        <v>637</v>
      </c>
      <c r="D14" s="813">
        <v>900000000</v>
      </c>
      <c r="E14" s="813"/>
      <c r="F14" s="813"/>
      <c r="G14" s="781">
        <f t="shared" si="1"/>
        <v>0</v>
      </c>
      <c r="H14" s="781">
        <f t="shared" si="2"/>
        <v>0</v>
      </c>
      <c r="I14" s="835"/>
      <c r="M14" s="822"/>
    </row>
    <row r="15" spans="1:13" s="788" customFormat="1" ht="35.15" customHeight="1" x14ac:dyDescent="0.25">
      <c r="A15" s="796">
        <v>8</v>
      </c>
      <c r="B15" s="836" t="s">
        <v>640</v>
      </c>
      <c r="C15" s="836" t="s">
        <v>633</v>
      </c>
      <c r="D15" s="813">
        <v>710000000</v>
      </c>
      <c r="E15" s="813"/>
      <c r="F15" s="813"/>
      <c r="G15" s="781">
        <f t="shared" si="1"/>
        <v>0</v>
      </c>
      <c r="H15" s="781">
        <f t="shared" si="2"/>
        <v>0</v>
      </c>
      <c r="I15" s="835"/>
      <c r="M15" s="822"/>
    </row>
    <row r="16" spans="1:13" s="788" customFormat="1" ht="35.15" customHeight="1" x14ac:dyDescent="0.25">
      <c r="A16" s="796">
        <v>9</v>
      </c>
      <c r="B16" s="836" t="s">
        <v>661</v>
      </c>
      <c r="C16" s="836" t="s">
        <v>651</v>
      </c>
      <c r="D16" s="813">
        <v>90000000</v>
      </c>
      <c r="E16" s="813"/>
      <c r="F16" s="813"/>
      <c r="G16" s="781">
        <f t="shared" si="1"/>
        <v>0</v>
      </c>
      <c r="H16" s="781">
        <f t="shared" si="2"/>
        <v>0</v>
      </c>
      <c r="I16" s="835"/>
      <c r="M16" s="822"/>
    </row>
    <row r="17" spans="1:9" s="788" customFormat="1" ht="41.5" customHeight="1" x14ac:dyDescent="0.25">
      <c r="A17" s="796">
        <v>10</v>
      </c>
      <c r="B17" s="836" t="s">
        <v>641</v>
      </c>
      <c r="C17" s="830" t="s">
        <v>634</v>
      </c>
      <c r="D17" s="813">
        <v>675794143</v>
      </c>
      <c r="E17" s="813"/>
      <c r="F17" s="813"/>
      <c r="G17" s="781">
        <f t="shared" si="1"/>
        <v>0</v>
      </c>
      <c r="H17" s="781">
        <f t="shared" si="2"/>
        <v>0</v>
      </c>
      <c r="I17" s="835"/>
    </row>
    <row r="18" spans="1:9" s="788" customFormat="1" ht="35.15" customHeight="1" x14ac:dyDescent="0.25">
      <c r="A18" s="796">
        <v>11</v>
      </c>
      <c r="B18" s="836" t="s">
        <v>630</v>
      </c>
      <c r="C18" s="830" t="s">
        <v>655</v>
      </c>
      <c r="D18" s="813">
        <v>300000000</v>
      </c>
      <c r="E18" s="813"/>
      <c r="F18" s="813"/>
      <c r="G18" s="781">
        <f t="shared" si="1"/>
        <v>0</v>
      </c>
      <c r="H18" s="781">
        <f t="shared" si="2"/>
        <v>0</v>
      </c>
      <c r="I18" s="835"/>
    </row>
    <row r="19" spans="1:9" s="788" customFormat="1" ht="35.15" customHeight="1" x14ac:dyDescent="0.25">
      <c r="A19" s="796">
        <v>12</v>
      </c>
      <c r="B19" s="913" t="s">
        <v>630</v>
      </c>
      <c r="C19" s="830" t="s">
        <v>652</v>
      </c>
      <c r="D19" s="813">
        <v>150000000</v>
      </c>
      <c r="E19" s="813"/>
      <c r="F19" s="813"/>
      <c r="G19" s="781">
        <f t="shared" si="1"/>
        <v>0</v>
      </c>
      <c r="H19" s="781">
        <f t="shared" si="2"/>
        <v>0</v>
      </c>
      <c r="I19" s="911"/>
    </row>
    <row r="20" spans="1:9" s="788" customFormat="1" ht="35.15" customHeight="1" x14ac:dyDescent="0.25">
      <c r="A20" s="796">
        <v>13</v>
      </c>
      <c r="B20" s="913"/>
      <c r="C20" s="830" t="s">
        <v>653</v>
      </c>
      <c r="D20" s="813">
        <v>200000000</v>
      </c>
      <c r="E20" s="813"/>
      <c r="F20" s="813"/>
      <c r="G20" s="781">
        <f t="shared" si="1"/>
        <v>0</v>
      </c>
      <c r="H20" s="781">
        <f t="shared" si="2"/>
        <v>0</v>
      </c>
      <c r="I20" s="911"/>
    </row>
    <row r="21" spans="1:9" s="788" customFormat="1" ht="35.15" customHeight="1" x14ac:dyDescent="0.25">
      <c r="A21" s="796">
        <v>14</v>
      </c>
      <c r="B21" s="913"/>
      <c r="C21" s="830" t="s">
        <v>654</v>
      </c>
      <c r="D21" s="813">
        <v>450000000</v>
      </c>
      <c r="E21" s="813"/>
      <c r="F21" s="813"/>
      <c r="G21" s="781">
        <f t="shared" si="1"/>
        <v>0</v>
      </c>
      <c r="H21" s="781">
        <f t="shared" si="2"/>
        <v>0</v>
      </c>
      <c r="I21" s="911"/>
    </row>
    <row r="22" spans="1:9" s="788" customFormat="1" ht="35.15" customHeight="1" x14ac:dyDescent="0.25">
      <c r="A22" s="796">
        <v>15</v>
      </c>
      <c r="B22" s="914"/>
      <c r="C22" s="815" t="s">
        <v>660</v>
      </c>
      <c r="D22" s="816">
        <v>700000000</v>
      </c>
      <c r="E22" s="816"/>
      <c r="F22" s="816"/>
      <c r="G22" s="781">
        <f t="shared" si="1"/>
        <v>0</v>
      </c>
      <c r="H22" s="781">
        <f t="shared" si="2"/>
        <v>0</v>
      </c>
      <c r="I22" s="912"/>
    </row>
  </sheetData>
  <mergeCells count="4">
    <mergeCell ref="A2:I2"/>
    <mergeCell ref="A3:I3"/>
    <mergeCell ref="B19:B22"/>
    <mergeCell ref="I19:I22"/>
  </mergeCells>
  <pageMargins left="0.47244094488188998" right="0.23622047244094499" top="0.27559055118110198" bottom="0.31496062992126" header="0.27559055118110198" footer="0.31496062992126"/>
  <pageSetup paperSize="9" scale="62" fitToHeight="0" orientation="landscape" useFirstPageNumber="1" r:id="rId1"/>
  <headerFooter>
    <oddFooter>&amp;C&amp;"Times New Roman,Regular"&amp;P</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3"/>
  <sheetViews>
    <sheetView zoomScale="85" zoomScaleNormal="85" workbookViewId="0">
      <selection activeCell="C12" sqref="C12"/>
    </sheetView>
  </sheetViews>
  <sheetFormatPr defaultColWidth="9.1796875" defaultRowHeight="15.5" x14ac:dyDescent="0.25"/>
  <cols>
    <col min="1" max="1" width="9" style="790" customWidth="1"/>
    <col min="2" max="2" width="92" style="790" customWidth="1"/>
    <col min="3" max="3" width="20" style="790" customWidth="1"/>
    <col min="4" max="4" width="31.54296875" style="791" customWidth="1"/>
    <col min="5" max="5" width="9.1796875" style="791"/>
    <col min="6" max="6" width="10" style="791" bestFit="1" customWidth="1"/>
    <col min="7" max="16384" width="9.1796875" style="791"/>
  </cols>
  <sheetData>
    <row r="1" spans="1:4" x14ac:dyDescent="0.25">
      <c r="D1" s="829" t="s">
        <v>650</v>
      </c>
    </row>
    <row r="2" spans="1:4" x14ac:dyDescent="0.25">
      <c r="D2" s="829"/>
    </row>
    <row r="3" spans="1:4" s="784" customFormat="1" ht="16.5" x14ac:dyDescent="0.25">
      <c r="A3" s="915" t="s">
        <v>639</v>
      </c>
      <c r="B3" s="915"/>
      <c r="C3" s="915"/>
      <c r="D3" s="915"/>
    </row>
    <row r="4" spans="1:4" s="784" customFormat="1" ht="16.5" x14ac:dyDescent="0.25">
      <c r="A4" s="909" t="str">
        <f>'01.DPNS'!A3:D3</f>
        <v>(Kèm theo Báo cáo số 726/BC-UBND ngày 22/11/2024 của UBND huyện Na Rì)</v>
      </c>
      <c r="B4" s="909"/>
      <c r="C4" s="909"/>
      <c r="D4" s="909"/>
    </row>
    <row r="5" spans="1:4" s="784" customFormat="1" ht="16.5" x14ac:dyDescent="0.25">
      <c r="A5" s="785"/>
      <c r="B5" s="785"/>
      <c r="D5" s="786" t="s">
        <v>643</v>
      </c>
    </row>
    <row r="6" spans="1:4" s="784" customFormat="1" ht="32.25" customHeight="1" x14ac:dyDescent="0.25">
      <c r="A6" s="780" t="s">
        <v>0</v>
      </c>
      <c r="B6" s="780" t="s">
        <v>13</v>
      </c>
      <c r="C6" s="780" t="s">
        <v>249</v>
      </c>
      <c r="D6" s="780" t="s">
        <v>617</v>
      </c>
    </row>
    <row r="7" spans="1:4" s="784" customFormat="1" ht="18.75" customHeight="1" x14ac:dyDescent="0.25">
      <c r="A7" s="807">
        <v>1</v>
      </c>
      <c r="B7" s="807">
        <v>2</v>
      </c>
      <c r="C7" s="807">
        <v>3</v>
      </c>
      <c r="D7" s="817">
        <v>4</v>
      </c>
    </row>
    <row r="8" spans="1:4" s="784" customFormat="1" ht="35.15" customHeight="1" x14ac:dyDescent="0.25">
      <c r="A8" s="808">
        <v>1</v>
      </c>
      <c r="B8" s="809" t="s">
        <v>645</v>
      </c>
      <c r="C8" s="810">
        <v>700000000</v>
      </c>
      <c r="D8" s="823"/>
    </row>
    <row r="9" spans="1:4" s="784" customFormat="1" ht="35.15" customHeight="1" x14ac:dyDescent="0.25">
      <c r="A9" s="814">
        <v>2</v>
      </c>
      <c r="B9" s="811" t="s">
        <v>646</v>
      </c>
      <c r="C9" s="812">
        <v>200000000</v>
      </c>
      <c r="D9" s="824"/>
    </row>
    <row r="10" spans="1:4" s="784" customFormat="1" ht="35.15" customHeight="1" x14ac:dyDescent="0.25">
      <c r="A10" s="814">
        <v>3</v>
      </c>
      <c r="B10" s="811" t="s">
        <v>647</v>
      </c>
      <c r="C10" s="812">
        <v>450000000</v>
      </c>
      <c r="D10" s="824"/>
    </row>
    <row r="11" spans="1:4" s="784" customFormat="1" ht="35.15" customHeight="1" x14ac:dyDescent="0.25">
      <c r="A11" s="814">
        <v>4</v>
      </c>
      <c r="B11" s="811" t="s">
        <v>648</v>
      </c>
      <c r="C11" s="812">
        <v>150000000</v>
      </c>
      <c r="D11" s="824"/>
    </row>
    <row r="12" spans="1:4" s="784" customFormat="1" ht="35.15" customHeight="1" x14ac:dyDescent="0.25">
      <c r="A12" s="825">
        <v>5</v>
      </c>
      <c r="B12" s="826" t="s">
        <v>635</v>
      </c>
      <c r="C12" s="827">
        <v>290000000</v>
      </c>
      <c r="D12" s="828" t="s">
        <v>630</v>
      </c>
    </row>
    <row r="13" spans="1:4" s="784" customFormat="1" ht="27.75" customHeight="1" x14ac:dyDescent="0.25">
      <c r="A13" s="780"/>
      <c r="B13" s="780" t="s">
        <v>70</v>
      </c>
      <c r="C13" s="795">
        <f>SUM(C8:C12)</f>
        <v>1790000000</v>
      </c>
      <c r="D13" s="789"/>
    </row>
  </sheetData>
  <mergeCells count="2">
    <mergeCell ref="A3:D3"/>
    <mergeCell ref="A4:D4"/>
  </mergeCells>
  <pageMargins left="0.47244094488188981" right="0.23622047244094491" top="0.27559055118110237" bottom="0.31496062992125984" header="0.27559055118110237" footer="0.31496062992125984"/>
  <pageSetup paperSize="9" scale="93" firstPageNumber="10" fitToHeight="0" orientation="landscape" useFirstPageNumber="1" r:id="rId1"/>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pageSetUpPr fitToPage="1"/>
  </sheetPr>
  <dimension ref="A1:AE1817"/>
  <sheetViews>
    <sheetView zoomScale="85" zoomScaleNormal="85" workbookViewId="0">
      <pane xSplit="3" ySplit="7" topLeftCell="F17" activePane="bottomRight" state="frozen"/>
      <selection pane="topRight" activeCell="G1" sqref="G1"/>
      <selection pane="bottomLeft" activeCell="A8" sqref="A8"/>
      <selection pane="bottomRight" activeCell="F19" sqref="F19"/>
    </sheetView>
  </sheetViews>
  <sheetFormatPr defaultColWidth="9.1796875" defaultRowHeight="18" customHeight="1" x14ac:dyDescent="0.35"/>
  <cols>
    <col min="1" max="1" width="14.7265625" style="62" customWidth="1"/>
    <col min="2" max="2" width="12.453125" style="74" customWidth="1"/>
    <col min="3" max="3" width="54.26953125" style="75" customWidth="1"/>
    <col min="4" max="4" width="12.26953125" style="75" hidden="1" customWidth="1"/>
    <col min="5" max="5" width="11.453125" style="75" hidden="1" customWidth="1"/>
    <col min="6" max="6" width="16.1796875" style="464" customWidth="1"/>
    <col min="7" max="7" width="12.453125" style="75" customWidth="1"/>
    <col min="8" max="8" width="8.81640625" style="63" hidden="1" customWidth="1"/>
    <col min="9" max="9" width="12" style="63" customWidth="1"/>
    <col min="10" max="10" width="14.26953125" style="63" customWidth="1"/>
    <col min="11" max="11" width="8.54296875" style="63" hidden="1" customWidth="1"/>
    <col min="12" max="12" width="9.54296875" style="63" hidden="1" customWidth="1"/>
    <col min="13" max="13" width="9" style="63" hidden="1" customWidth="1"/>
    <col min="14" max="14" width="8.7265625" style="63" hidden="1" customWidth="1"/>
    <col min="15" max="15" width="11.81640625" style="63" customWidth="1"/>
    <col min="16" max="16" width="8.7265625" style="63" hidden="1" customWidth="1"/>
    <col min="17" max="17" width="7.26953125" style="63" hidden="1" customWidth="1"/>
    <col min="18" max="18" width="13.81640625" style="63" customWidth="1"/>
    <col min="19" max="19" width="12.26953125" style="63" customWidth="1"/>
    <col min="20" max="22" width="13.26953125" style="63" customWidth="1"/>
    <col min="23" max="23" width="12.81640625" style="63" customWidth="1"/>
    <col min="24" max="24" width="11.453125" style="69" hidden="1" customWidth="1"/>
    <col min="25" max="25" width="12.81640625" style="69" hidden="1" customWidth="1"/>
    <col min="26" max="26" width="10.81640625" style="69" customWidth="1"/>
    <col min="27" max="27" width="14.81640625" style="92" customWidth="1"/>
    <col min="28" max="28" width="18.1796875" style="69" customWidth="1"/>
    <col min="29" max="29" width="9.1796875" style="63"/>
    <col min="30" max="30" width="12.453125" style="64" customWidth="1"/>
    <col min="31" max="31" width="14.1796875" style="65" bestFit="1" customWidth="1"/>
    <col min="32" max="32" width="15.453125" style="63" customWidth="1"/>
    <col min="33" max="33" width="9.1796875" style="63"/>
    <col min="34" max="34" width="16.26953125" style="63" customWidth="1"/>
    <col min="35" max="16384" width="9.1796875" style="63"/>
  </cols>
  <sheetData>
    <row r="1" spans="1:31" ht="26.25" customHeight="1" x14ac:dyDescent="0.35">
      <c r="A1" s="918" t="s">
        <v>601</v>
      </c>
      <c r="B1" s="918"/>
      <c r="C1" s="918"/>
      <c r="D1" s="918"/>
      <c r="E1" s="918"/>
      <c r="F1" s="918"/>
      <c r="G1" s="918"/>
      <c r="H1" s="918"/>
      <c r="I1" s="918"/>
      <c r="J1" s="918"/>
      <c r="K1" s="918"/>
      <c r="L1" s="918"/>
      <c r="M1" s="918"/>
      <c r="N1" s="918"/>
      <c r="O1" s="918"/>
      <c r="P1" s="918"/>
      <c r="Q1" s="918"/>
      <c r="R1" s="918"/>
      <c r="S1" s="918"/>
      <c r="T1" s="918"/>
      <c r="U1" s="918"/>
      <c r="V1" s="918"/>
      <c r="W1" s="918"/>
      <c r="X1" s="918"/>
      <c r="Y1" s="918"/>
      <c r="Z1" s="918"/>
      <c r="AA1" s="918"/>
      <c r="AB1" s="62"/>
    </row>
    <row r="2" spans="1:31" ht="18" customHeight="1" x14ac:dyDescent="0.35">
      <c r="A2" s="66"/>
      <c r="B2" s="67"/>
      <c r="C2" s="67"/>
      <c r="D2" s="378"/>
      <c r="E2" s="67"/>
      <c r="F2" s="463"/>
      <c r="G2" s="378"/>
      <c r="H2" s="67"/>
      <c r="I2" s="67"/>
      <c r="J2" s="67"/>
      <c r="K2" s="67"/>
      <c r="L2" s="67"/>
      <c r="M2" s="67"/>
      <c r="N2" s="67"/>
      <c r="O2" s="67"/>
      <c r="P2" s="67"/>
      <c r="Q2" s="67"/>
      <c r="X2" s="62"/>
      <c r="Y2" s="62"/>
      <c r="Z2" s="62"/>
      <c r="AA2" s="603" t="s">
        <v>391</v>
      </c>
      <c r="AB2" s="62"/>
    </row>
    <row r="3" spans="1:31" ht="3" customHeight="1" x14ac:dyDescent="0.35">
      <c r="A3" s="66"/>
      <c r="B3" s="67"/>
      <c r="C3" s="67"/>
      <c r="D3" s="67"/>
      <c r="E3" s="67"/>
      <c r="F3" s="463"/>
      <c r="G3" s="68"/>
      <c r="H3" s="67"/>
      <c r="I3" s="67"/>
      <c r="J3" s="67"/>
      <c r="K3" s="67"/>
      <c r="L3" s="67"/>
      <c r="M3" s="67"/>
      <c r="N3" s="67"/>
      <c r="O3" s="67"/>
      <c r="P3" s="67"/>
      <c r="Q3" s="67"/>
      <c r="R3" s="96"/>
      <c r="X3" s="62"/>
      <c r="Y3" s="62"/>
      <c r="Z3" s="62"/>
      <c r="AA3" s="62"/>
      <c r="AB3" s="62"/>
    </row>
    <row r="4" spans="1:31" ht="18.75" customHeight="1" x14ac:dyDescent="0.35">
      <c r="A4" s="925" t="s">
        <v>28</v>
      </c>
      <c r="B4" s="926"/>
      <c r="C4" s="919" t="s">
        <v>31</v>
      </c>
      <c r="D4" s="916" t="s">
        <v>389</v>
      </c>
      <c r="E4" s="916" t="s">
        <v>390</v>
      </c>
      <c r="F4" s="921" t="s">
        <v>388</v>
      </c>
      <c r="G4" s="916" t="s">
        <v>34</v>
      </c>
      <c r="H4" s="923" t="s">
        <v>453</v>
      </c>
      <c r="I4" s="923"/>
      <c r="J4" s="923"/>
      <c r="K4" s="923"/>
      <c r="L4" s="923"/>
      <c r="M4" s="923"/>
      <c r="N4" s="923"/>
      <c r="O4" s="923"/>
      <c r="P4" s="923"/>
      <c r="Q4" s="923"/>
      <c r="R4" s="924"/>
      <c r="S4" s="916" t="s">
        <v>602</v>
      </c>
      <c r="T4" s="916" t="s">
        <v>605</v>
      </c>
      <c r="U4" s="916" t="s">
        <v>603</v>
      </c>
      <c r="V4" s="916" t="e">
        <f>#REF!</f>
        <v>#REF!</v>
      </c>
      <c r="W4" s="916" t="s">
        <v>604</v>
      </c>
      <c r="X4" s="916" t="s">
        <v>173</v>
      </c>
      <c r="Y4" s="916" t="s">
        <v>172</v>
      </c>
      <c r="Z4" s="916" t="s">
        <v>403</v>
      </c>
      <c r="AA4" s="916" t="s">
        <v>621</v>
      </c>
      <c r="AB4" s="284"/>
    </row>
    <row r="5" spans="1:31" s="70" customFormat="1" ht="99" customHeight="1" x14ac:dyDescent="0.3">
      <c r="A5" s="285" t="s">
        <v>32</v>
      </c>
      <c r="B5" s="286" t="s">
        <v>33</v>
      </c>
      <c r="C5" s="920"/>
      <c r="D5" s="917"/>
      <c r="E5" s="917"/>
      <c r="F5" s="922"/>
      <c r="G5" s="917"/>
      <c r="H5" s="287" t="s">
        <v>117</v>
      </c>
      <c r="I5" s="288" t="s">
        <v>21</v>
      </c>
      <c r="J5" s="287" t="s">
        <v>387</v>
      </c>
      <c r="K5" s="288" t="s">
        <v>22</v>
      </c>
      <c r="L5" s="287" t="s">
        <v>35</v>
      </c>
      <c r="M5" s="287" t="s">
        <v>171</v>
      </c>
      <c r="N5" s="288" t="s">
        <v>23</v>
      </c>
      <c r="O5" s="287" t="s">
        <v>147</v>
      </c>
      <c r="P5" s="289" t="s">
        <v>131</v>
      </c>
      <c r="Q5" s="289" t="s">
        <v>36</v>
      </c>
      <c r="R5" s="288" t="s">
        <v>24</v>
      </c>
      <c r="S5" s="917"/>
      <c r="T5" s="917"/>
      <c r="U5" s="917"/>
      <c r="V5" s="917"/>
      <c r="W5" s="917"/>
      <c r="X5" s="917"/>
      <c r="Y5" s="917"/>
      <c r="Z5" s="917"/>
      <c r="AA5" s="917"/>
      <c r="AB5" s="290"/>
    </row>
    <row r="6" spans="1:31" s="70" customFormat="1" ht="24.75" customHeight="1" x14ac:dyDescent="0.3">
      <c r="A6" s="291" t="s">
        <v>29</v>
      </c>
      <c r="B6" s="292"/>
      <c r="C6" s="242"/>
      <c r="D6" s="242"/>
      <c r="E6" s="242"/>
      <c r="F6" s="242" t="e">
        <f t="shared" ref="F6" si="0">G6+SUM(S6:AA6)</f>
        <v>#REF!</v>
      </c>
      <c r="G6" s="242" t="e">
        <f t="shared" ref="G6" si="1">SUM(H6:R6)</f>
        <v>#REF!</v>
      </c>
      <c r="H6" s="242">
        <f>H7</f>
        <v>0</v>
      </c>
      <c r="I6" s="313" t="e">
        <f>#REF!</f>
        <v>#REF!</v>
      </c>
      <c r="J6" s="313" t="e">
        <f>#REF!</f>
        <v>#REF!</v>
      </c>
      <c r="K6" s="313"/>
      <c r="L6" s="313"/>
      <c r="M6" s="313"/>
      <c r="N6" s="313"/>
      <c r="O6" s="313" t="e">
        <f>#REF!</f>
        <v>#REF!</v>
      </c>
      <c r="P6" s="313"/>
      <c r="Q6" s="242"/>
      <c r="R6" s="313" t="e">
        <f>#REF!</f>
        <v>#REF!</v>
      </c>
      <c r="S6" s="774">
        <v>37156.043000000005</v>
      </c>
      <c r="T6" s="313" t="e">
        <f>#REF!</f>
        <v>#REF!</v>
      </c>
      <c r="U6" s="313">
        <v>120000</v>
      </c>
      <c r="V6" s="313" t="e">
        <f>#REF!</f>
        <v>#REF!</v>
      </c>
      <c r="W6" s="313">
        <v>205</v>
      </c>
      <c r="X6" s="242"/>
      <c r="Y6" s="375"/>
      <c r="Z6" s="242" t="e">
        <f>#REF!</f>
        <v>#REF!</v>
      </c>
      <c r="AA6" s="242" t="e">
        <f>#REF!</f>
        <v>#REF!</v>
      </c>
      <c r="AB6" s="290"/>
    </row>
    <row r="7" spans="1:31" s="70" customFormat="1" ht="23.25" customHeight="1" x14ac:dyDescent="0.3">
      <c r="A7" s="291" t="s">
        <v>30</v>
      </c>
      <c r="B7" s="292"/>
      <c r="C7" s="242"/>
      <c r="D7" s="242" t="e">
        <f ca="1">SUM(D8:D25)</f>
        <v>#N/A</v>
      </c>
      <c r="E7" s="242">
        <f>SUM(E8:E25)</f>
        <v>0</v>
      </c>
      <c r="F7" s="241" t="e">
        <f>G7+SUM(S7:AA7)</f>
        <v>#REF!</v>
      </c>
      <c r="G7" s="242" t="e">
        <f>SUM(H7:R7)</f>
        <v>#REF!</v>
      </c>
      <c r="H7" s="242">
        <f t="shared" ref="H7:U7" si="2">SUM(H8:H25)</f>
        <v>0</v>
      </c>
      <c r="I7" s="242">
        <f t="shared" si="2"/>
        <v>17907.400000000001</v>
      </c>
      <c r="J7" s="242">
        <f t="shared" si="2"/>
        <v>969.02</v>
      </c>
      <c r="K7" s="242">
        <f t="shared" si="2"/>
        <v>0</v>
      </c>
      <c r="L7" s="242">
        <f t="shared" si="2"/>
        <v>0</v>
      </c>
      <c r="M7" s="242">
        <f t="shared" si="2"/>
        <v>0</v>
      </c>
      <c r="N7" s="242">
        <f t="shared" si="2"/>
        <v>0</v>
      </c>
      <c r="O7" s="242">
        <f t="shared" si="2"/>
        <v>27986.458999999999</v>
      </c>
      <c r="P7" s="242">
        <f t="shared" si="2"/>
        <v>0</v>
      </c>
      <c r="Q7" s="242">
        <f t="shared" si="2"/>
        <v>0</v>
      </c>
      <c r="R7" s="242" t="e">
        <f t="shared" si="2"/>
        <v>#REF!</v>
      </c>
      <c r="S7" s="242">
        <f t="shared" si="2"/>
        <v>0</v>
      </c>
      <c r="T7" s="242">
        <f t="shared" si="2"/>
        <v>115840.8</v>
      </c>
      <c r="U7" s="242">
        <f t="shared" si="2"/>
        <v>120000</v>
      </c>
      <c r="V7" s="242"/>
      <c r="W7" s="242"/>
      <c r="X7" s="242">
        <f>SUM(X8:X25)</f>
        <v>0</v>
      </c>
      <c r="Y7" s="242"/>
      <c r="Z7" s="242"/>
      <c r="AA7" s="242"/>
      <c r="AB7" s="290"/>
    </row>
    <row r="8" spans="1:31" s="70" customFormat="1" ht="31" x14ac:dyDescent="0.3">
      <c r="A8" s="770">
        <v>240</v>
      </c>
      <c r="B8" s="771">
        <v>45337</v>
      </c>
      <c r="C8" s="488" t="s">
        <v>607</v>
      </c>
      <c r="D8" s="303"/>
      <c r="E8" s="384"/>
      <c r="F8" s="304">
        <f>G8+S8+T8+U8+W8+Z8+AA8</f>
        <v>30000</v>
      </c>
      <c r="G8" s="304">
        <f>SUM(H8:R8)</f>
        <v>0</v>
      </c>
      <c r="H8" s="294"/>
      <c r="I8" s="294"/>
      <c r="J8" s="294"/>
      <c r="K8" s="294"/>
      <c r="L8" s="294"/>
      <c r="M8" s="294"/>
      <c r="N8" s="294"/>
      <c r="O8" s="294"/>
      <c r="P8" s="294"/>
      <c r="Q8" s="294"/>
      <c r="R8" s="765"/>
      <c r="S8" s="456"/>
      <c r="T8" s="454">
        <v>30000</v>
      </c>
      <c r="U8" s="296"/>
      <c r="V8" s="296"/>
      <c r="W8" s="294"/>
      <c r="X8" s="294"/>
      <c r="Y8" s="294"/>
      <c r="Z8" s="294"/>
      <c r="AA8" s="293"/>
      <c r="AB8" s="290"/>
    </row>
    <row r="9" spans="1:31" s="484" customFormat="1" ht="31.5" customHeight="1" x14ac:dyDescent="0.35">
      <c r="A9" s="770">
        <f ca="1">VLOOKUP($A9,[5]T1!$4:$1048576,5,0)</f>
        <v>92</v>
      </c>
      <c r="B9" s="771">
        <f ca="1">VLOOKUP($A9,[5]T1!$4:$1048576,6,0)</f>
        <v>45308</v>
      </c>
      <c r="C9" s="488" t="str">
        <f ca="1">VLOOKUP($A9,[5]T1!$4:$1048576,2,0)</f>
        <v>Phân bổ kinh phí hỗ trợ khắc phục hậu quả thiên tai từ nguồn dự phòng ngân sách trung ương năm 2023</v>
      </c>
      <c r="D9" s="480"/>
      <c r="E9" s="480"/>
      <c r="F9" s="304">
        <f>G9+S9+T9+U9+W9+Z9+AA9</f>
        <v>120000</v>
      </c>
      <c r="G9" s="304">
        <f>SUM(H9:R9)</f>
        <v>0</v>
      </c>
      <c r="H9" s="482"/>
      <c r="I9" s="482"/>
      <c r="J9" s="482"/>
      <c r="K9" s="482"/>
      <c r="L9" s="482"/>
      <c r="M9" s="481"/>
      <c r="N9" s="481"/>
      <c r="O9" s="481"/>
      <c r="P9" s="482"/>
      <c r="Q9" s="482"/>
      <c r="R9" s="769"/>
      <c r="S9" s="767"/>
      <c r="T9" s="778"/>
      <c r="U9" s="766">
        <v>120000</v>
      </c>
      <c r="V9" s="766"/>
      <c r="W9" s="482"/>
      <c r="X9" s="482"/>
      <c r="Y9" s="482"/>
      <c r="Z9" s="482"/>
      <c r="AA9" s="481"/>
      <c r="AB9" s="483"/>
    </row>
    <row r="10" spans="1:31" s="484" customFormat="1" ht="38.25" customHeight="1" x14ac:dyDescent="0.3">
      <c r="A10" s="770">
        <f ca="1">VLOOKUP($A10,[6]T3!$4:$1048576,5,0)</f>
        <v>321</v>
      </c>
      <c r="B10" s="771">
        <f ca="1">VLOOKUP($A10,[6]T3!$4:$1048576,6,0)</f>
        <v>45357</v>
      </c>
      <c r="C10" s="488" t="s">
        <v>606</v>
      </c>
      <c r="D10" s="479"/>
      <c r="E10" s="480"/>
      <c r="F10" s="304" t="e">
        <f>G10+S10+T10+U10+W10+Z10+AA10</f>
        <v>#REF!</v>
      </c>
      <c r="G10" s="304" t="e">
        <f>SUM(H10:R10)</f>
        <v>#REF!</v>
      </c>
      <c r="H10" s="482"/>
      <c r="I10" s="482"/>
      <c r="J10" s="482"/>
      <c r="K10" s="482"/>
      <c r="L10" s="482"/>
      <c r="M10" s="481"/>
      <c r="N10" s="481"/>
      <c r="O10" s="481"/>
      <c r="P10" s="482"/>
      <c r="Q10" s="482"/>
      <c r="R10" s="766" t="e">
        <f>-#REF!</f>
        <v>#REF!</v>
      </c>
      <c r="S10" s="767"/>
      <c r="T10" s="777">
        <v>190</v>
      </c>
      <c r="U10" s="768"/>
      <c r="V10" s="768"/>
      <c r="W10" s="482"/>
      <c r="X10" s="482"/>
      <c r="Y10" s="482"/>
      <c r="Z10" s="482"/>
      <c r="AA10" s="481"/>
      <c r="AB10" s="483"/>
    </row>
    <row r="11" spans="1:31" s="484" customFormat="1" ht="36.75" customHeight="1" x14ac:dyDescent="0.3">
      <c r="A11" s="770">
        <f ca="1">VLOOKUP($A11,[5]T3!$4:$1048576,5,0)</f>
        <v>362</v>
      </c>
      <c r="B11" s="771">
        <f ca="1">VLOOKUP($A11,[5]T3!$4:$1048576,6,0)</f>
        <v>45362</v>
      </c>
      <c r="C11" s="488" t="str">
        <f ca="1">VLOOKUP($A11,[5]T3!$4:$1048576,2,0)</f>
        <v>Cấp bổ sung kinh phí cho các đơn vị để thực hiện nhiệm vụ năm 2024</v>
      </c>
      <c r="D11" s="479"/>
      <c r="E11" s="480"/>
      <c r="F11" s="304">
        <f t="shared" ref="F11:F14" si="3">G11+S11+T11+U11+W11+Z11+AA11</f>
        <v>6333.7619999999997</v>
      </c>
      <c r="G11" s="304">
        <f t="shared" ref="G11:G17" si="4">SUM(H11:R11)</f>
        <v>6333.7619999999997</v>
      </c>
      <c r="H11" s="482"/>
      <c r="I11" s="482"/>
      <c r="J11" s="482"/>
      <c r="K11" s="482"/>
      <c r="L11" s="482"/>
      <c r="M11" s="481"/>
      <c r="N11" s="481"/>
      <c r="O11" s="481"/>
      <c r="P11" s="482"/>
      <c r="Q11" s="482"/>
      <c r="R11" s="766">
        <v>6333.7619999999997</v>
      </c>
      <c r="S11" s="482"/>
      <c r="T11" s="777"/>
      <c r="U11" s="482"/>
      <c r="V11" s="482"/>
      <c r="W11" s="482"/>
      <c r="X11" s="482"/>
      <c r="Y11" s="482"/>
      <c r="Z11" s="482"/>
      <c r="AA11" s="481"/>
      <c r="AB11" s="483"/>
    </row>
    <row r="12" spans="1:31" s="487" customFormat="1" ht="46.5" x14ac:dyDescent="0.35">
      <c r="A12" s="770">
        <f ca="1">VLOOKUP($A12,[5]T3!$4:$1048576,5,0)</f>
        <v>457</v>
      </c>
      <c r="B12" s="771">
        <f ca="1">VLOOKUP($A12,[5]T3!$4:$1048576,6,0)</f>
        <v>45373</v>
      </c>
      <c r="C12" s="488" t="str">
        <f ca="1">VLOOKUP($A12,[5]T3!$4:$1048576,2,0)</f>
        <v>Cấp bổ sung kinh phí cho Công an tỉnh để tổ chức Hội thi nghiệp vụ chữa cháy và cứu nạn, cứu hộ "Tổ liên gia an toàn phòng cháy, chữa cháy" toàn quốc năm 2024</v>
      </c>
      <c r="D12" s="479"/>
      <c r="E12" s="480"/>
      <c r="F12" s="304">
        <f t="shared" si="3"/>
        <v>1682.9612</v>
      </c>
      <c r="G12" s="304">
        <f t="shared" si="4"/>
        <v>1682.9612</v>
      </c>
      <c r="H12" s="485"/>
      <c r="I12" s="482"/>
      <c r="J12" s="482"/>
      <c r="K12" s="482"/>
      <c r="L12" s="485"/>
      <c r="M12" s="485"/>
      <c r="N12" s="485"/>
      <c r="O12" s="485"/>
      <c r="P12" s="485"/>
      <c r="Q12" s="485"/>
      <c r="R12" s="766">
        <v>1682.9612</v>
      </c>
      <c r="S12" s="481"/>
      <c r="T12" s="777"/>
      <c r="U12" s="481"/>
      <c r="V12" s="481"/>
      <c r="W12" s="481"/>
      <c r="X12" s="481"/>
      <c r="Y12" s="481"/>
      <c r="Z12" s="481"/>
      <c r="AA12" s="481"/>
      <c r="AB12" s="486"/>
    </row>
    <row r="13" spans="1:31" s="484" customFormat="1" ht="30" customHeight="1" x14ac:dyDescent="0.3">
      <c r="A13" s="770">
        <f ca="1">VLOOKUP($A13,[5]T4!$4:$1048576,5,0)</f>
        <v>545</v>
      </c>
      <c r="B13" s="771">
        <f ca="1">VLOOKUP($A13,[5]T4!$4:$1048576,6,0)</f>
        <v>45383</v>
      </c>
      <c r="C13" s="488" t="str">
        <f ca="1">VLOOKUP($A13,[5]T4!$4:$1048576,2,0)</f>
        <v>Cấp hỗ trợ kinh phí cho Công an tỉnh để tổ chức Lễ kỷ niệm 50 năm Ngày truyền thống lực lượng Cảnh sát cơ động (15/4/1974-15/4/2024)</v>
      </c>
      <c r="D13" s="488"/>
      <c r="E13" s="480"/>
      <c r="F13" s="304">
        <f t="shared" si="3"/>
        <v>132.79599999999999</v>
      </c>
      <c r="G13" s="304">
        <f t="shared" si="4"/>
        <v>132.79599999999999</v>
      </c>
      <c r="H13" s="482"/>
      <c r="I13" s="485"/>
      <c r="J13" s="482"/>
      <c r="K13" s="482"/>
      <c r="L13" s="482"/>
      <c r="M13" s="482"/>
      <c r="N13" s="482"/>
      <c r="O13" s="485"/>
      <c r="P13" s="482"/>
      <c r="Q13" s="482"/>
      <c r="R13" s="766">
        <v>132.79599999999999</v>
      </c>
      <c r="S13" s="482"/>
      <c r="T13" s="778"/>
      <c r="U13" s="482"/>
      <c r="V13" s="482"/>
      <c r="W13" s="482"/>
      <c r="X13" s="482"/>
      <c r="Y13" s="482"/>
      <c r="Z13" s="482"/>
      <c r="AA13" s="481"/>
      <c r="AB13" s="483"/>
    </row>
    <row r="14" spans="1:31" s="484" customFormat="1" ht="31" x14ac:dyDescent="0.3">
      <c r="A14" s="770">
        <f ca="1">VLOOKUP($A14,[5]T4!$4:$1048576,5,0)</f>
        <v>547</v>
      </c>
      <c r="B14" s="771">
        <f ca="1">VLOOKUP($A14,[5]T4!$4:$1048576,6,0)</f>
        <v>45383</v>
      </c>
      <c r="C14" s="488" t="s">
        <v>613</v>
      </c>
      <c r="D14" s="488"/>
      <c r="E14" s="480"/>
      <c r="F14" s="304">
        <f t="shared" si="3"/>
        <v>2869.5010000000002</v>
      </c>
      <c r="G14" s="304">
        <f t="shared" si="4"/>
        <v>2869.5010000000002</v>
      </c>
      <c r="H14" s="482"/>
      <c r="I14" s="489"/>
      <c r="J14" s="482"/>
      <c r="K14" s="482"/>
      <c r="L14" s="482"/>
      <c r="M14" s="482"/>
      <c r="N14" s="482"/>
      <c r="O14" s="485"/>
      <c r="P14" s="482"/>
      <c r="Q14" s="482"/>
      <c r="R14" s="766">
        <v>2869.5010000000002</v>
      </c>
      <c r="S14" s="482"/>
      <c r="T14" s="778"/>
      <c r="U14" s="482"/>
      <c r="V14" s="482"/>
      <c r="W14" s="482"/>
      <c r="X14" s="481"/>
      <c r="Y14" s="482"/>
      <c r="Z14" s="482"/>
      <c r="AA14" s="481"/>
      <c r="AB14" s="775" t="s">
        <v>609</v>
      </c>
      <c r="AC14" s="775" t="s">
        <v>610</v>
      </c>
      <c r="AD14" s="775" t="s">
        <v>611</v>
      </c>
      <c r="AE14" s="775"/>
    </row>
    <row r="15" spans="1:31" s="487" customFormat="1" ht="41.25" customHeight="1" x14ac:dyDescent="0.35">
      <c r="A15" s="770">
        <v>593</v>
      </c>
      <c r="B15" s="771">
        <v>45390</v>
      </c>
      <c r="C15" s="488" t="s">
        <v>618</v>
      </c>
      <c r="D15" s="764"/>
      <c r="E15" s="480"/>
      <c r="F15" s="304">
        <f t="shared" ref="F15" si="5">G15+S15+T15+U15+W15+Z15+AA15</f>
        <v>81621</v>
      </c>
      <c r="G15" s="304">
        <f t="shared" ref="G15" si="6">SUM(H15:R15)</f>
        <v>0</v>
      </c>
      <c r="H15" s="485"/>
      <c r="I15" s="766"/>
      <c r="J15" s="766"/>
      <c r="K15" s="766"/>
      <c r="L15" s="766"/>
      <c r="M15" s="766"/>
      <c r="N15" s="766"/>
      <c r="O15" s="766"/>
      <c r="P15" s="766"/>
      <c r="Q15" s="766"/>
      <c r="R15" s="766"/>
      <c r="S15" s="766"/>
      <c r="T15" s="777">
        <v>81621</v>
      </c>
      <c r="U15" s="481"/>
      <c r="V15" s="481"/>
      <c r="W15" s="481"/>
      <c r="X15" s="481"/>
      <c r="Y15" s="481"/>
      <c r="Z15" s="481"/>
      <c r="AA15" s="481"/>
      <c r="AB15" s="776"/>
      <c r="AC15" s="776"/>
      <c r="AD15" s="776"/>
      <c r="AE15" s="776"/>
    </row>
    <row r="16" spans="1:31" s="487" customFormat="1" ht="77.5" x14ac:dyDescent="0.35">
      <c r="A16" s="770">
        <f ca="1">VLOOKUP($A16,[5]T4!$4:$1048576,5,0)</f>
        <v>597</v>
      </c>
      <c r="B16" s="771">
        <f ca="1">VLOOKUP($A16,[5]T4!$4:$1048576,6,0)</f>
        <v>45391</v>
      </c>
      <c r="C16" s="488" t="str">
        <f ca="1">VLOOKUP($A16,[5]T4!$4:$1048576,2,0)</f>
        <v>Cấp bổ sung kinh phí để thực hiện chính sách hỗ trợ theo Nghị quyết số 05/2020/NQ-HĐND ngày 05/5/2020 của Hội đồng nhân dân tỉnh đối với cán bộ, công chức cấp xã nghỉ hưu trước tuổi, thôi việc đợt 17, 18 (từ nguồn tăng thu tiết kiệm chi)</v>
      </c>
      <c r="D16" s="764" t="e">
        <f ca="1">VLOOKUP($A16,[5]T4!$4:$1048576,2,0)</f>
        <v>#N/A</v>
      </c>
      <c r="E16" s="480"/>
      <c r="F16" s="304">
        <f>G16+S16+T16+U16+W16+Z16+AA16</f>
        <v>36.5</v>
      </c>
      <c r="G16" s="304">
        <f>SUM(H16:R16)</f>
        <v>0</v>
      </c>
      <c r="H16" s="485"/>
      <c r="I16" s="766"/>
      <c r="J16" s="766"/>
      <c r="K16" s="766"/>
      <c r="L16" s="766"/>
      <c r="M16" s="766"/>
      <c r="N16" s="766"/>
      <c r="O16" s="766"/>
      <c r="P16" s="766"/>
      <c r="Q16" s="766"/>
      <c r="R16" s="766"/>
      <c r="S16" s="766"/>
      <c r="T16" s="777">
        <v>36.5</v>
      </c>
      <c r="U16" s="481"/>
      <c r="V16" s="481"/>
      <c r="W16" s="481"/>
      <c r="X16" s="481"/>
      <c r="Y16" s="481"/>
      <c r="Z16" s="481"/>
      <c r="AA16" s="481"/>
      <c r="AB16" s="486"/>
    </row>
    <row r="17" spans="1:31" s="487" customFormat="1" ht="51" customHeight="1" x14ac:dyDescent="0.35">
      <c r="A17" s="770">
        <f ca="1">VLOOKUP($A17,[5]T4!$4:$1048576,5,0)</f>
        <v>599</v>
      </c>
      <c r="B17" s="771">
        <f ca="1">VLOOKUP($A17,[5]T4!$4:$1048576,6,0)</f>
        <v>45391</v>
      </c>
      <c r="C17" s="488" t="str">
        <f ca="1">VLOOKUP($A17,[5]T4!$4:$1048576,2,0)</f>
        <v>Phân bổ và giao dự toán kinh phí sự nghiệp cho các đơn vị, địa phương thực hiện nhiệm vụ năm 2024 (bổ sung lần 1)</v>
      </c>
      <c r="D17" s="764" t="e">
        <f ca="1">VLOOKUP($A17,[5]T4!$4:$1048576,2,0)</f>
        <v>#N/A</v>
      </c>
      <c r="E17" s="480"/>
      <c r="F17" s="304">
        <f>G17+S17+T17+U17+W17+Z17+AA17+V17</f>
        <v>64564.926214000006</v>
      </c>
      <c r="G17" s="304">
        <f t="shared" si="4"/>
        <v>42482.409</v>
      </c>
      <c r="H17" s="485"/>
      <c r="I17" s="766">
        <v>16152.4</v>
      </c>
      <c r="J17" s="766">
        <v>77.739999999999995</v>
      </c>
      <c r="K17" s="766"/>
      <c r="L17" s="766"/>
      <c r="M17" s="766"/>
      <c r="N17" s="766"/>
      <c r="O17" s="766">
        <v>26252.269</v>
      </c>
      <c r="P17" s="766"/>
      <c r="Q17" s="766"/>
      <c r="R17" s="766"/>
      <c r="S17" s="766"/>
      <c r="T17" s="777">
        <v>3114.3</v>
      </c>
      <c r="U17" s="481"/>
      <c r="V17" s="481">
        <v>17304.826045000002</v>
      </c>
      <c r="W17" s="481"/>
      <c r="X17" s="481"/>
      <c r="Y17" s="481"/>
      <c r="Z17" s="481">
        <v>1663.391169</v>
      </c>
      <c r="AA17" s="481"/>
      <c r="AB17" s="776">
        <v>1663.391169</v>
      </c>
      <c r="AC17" s="776">
        <v>15106.825999999999</v>
      </c>
      <c r="AD17" s="776">
        <v>2198</v>
      </c>
      <c r="AE17" s="776"/>
    </row>
    <row r="18" spans="1:31" s="5" customFormat="1" ht="31" x14ac:dyDescent="0.35">
      <c r="A18" s="459">
        <v>697</v>
      </c>
      <c r="B18" s="666">
        <v>45407</v>
      </c>
      <c r="C18" s="488" t="s">
        <v>608</v>
      </c>
      <c r="D18" s="324"/>
      <c r="E18" s="667"/>
      <c r="F18" s="304">
        <f t="shared" ref="F18:F19" si="7">G18+S18+T18+U18+W18+Z18+AA18</f>
        <v>150</v>
      </c>
      <c r="G18" s="304">
        <f t="shared" ref="G18:G19" si="8">SUM(H18:R18)</f>
        <v>150</v>
      </c>
      <c r="H18" s="376"/>
      <c r="I18" s="376"/>
      <c r="J18" s="376"/>
      <c r="K18" s="376"/>
      <c r="L18" s="376"/>
      <c r="M18" s="376"/>
      <c r="N18" s="376"/>
      <c r="O18" s="376"/>
      <c r="P18" s="376"/>
      <c r="Q18" s="376"/>
      <c r="R18" s="376">
        <v>150</v>
      </c>
      <c r="S18" s="293"/>
      <c r="T18" s="454"/>
      <c r="U18" s="293"/>
      <c r="V18" s="293"/>
      <c r="W18" s="293"/>
      <c r="X18" s="293"/>
      <c r="Y18" s="293"/>
      <c r="Z18" s="293"/>
      <c r="AA18" s="293"/>
    </row>
    <row r="19" spans="1:31" s="5" customFormat="1" ht="46.5" x14ac:dyDescent="0.35">
      <c r="A19" s="400">
        <v>702</v>
      </c>
      <c r="B19" s="666">
        <v>45408</v>
      </c>
      <c r="C19" s="488" t="s">
        <v>612</v>
      </c>
      <c r="D19" s="324"/>
      <c r="E19" s="295"/>
      <c r="F19" s="304">
        <f t="shared" si="7"/>
        <v>-15525.7</v>
      </c>
      <c r="G19" s="304">
        <f t="shared" si="8"/>
        <v>-15525.7</v>
      </c>
      <c r="H19" s="376"/>
      <c r="I19" s="766">
        <v>-15525.7</v>
      </c>
      <c r="J19" s="376"/>
      <c r="K19" s="376"/>
      <c r="L19" s="376"/>
      <c r="M19" s="376"/>
      <c r="N19" s="376"/>
      <c r="O19" s="376"/>
      <c r="P19" s="376"/>
      <c r="Q19" s="376"/>
      <c r="R19" s="376"/>
      <c r="S19" s="766"/>
      <c r="T19" s="777"/>
      <c r="U19" s="293"/>
      <c r="V19" s="293"/>
      <c r="W19" s="293"/>
      <c r="X19" s="293"/>
      <c r="Y19" s="293"/>
      <c r="Z19" s="293"/>
      <c r="AA19" s="293"/>
    </row>
    <row r="20" spans="1:31" s="5" customFormat="1" ht="31" x14ac:dyDescent="0.35">
      <c r="A20" s="400">
        <v>739</v>
      </c>
      <c r="B20" s="666">
        <v>45415</v>
      </c>
      <c r="C20" s="488" t="s">
        <v>613</v>
      </c>
      <c r="D20" s="297"/>
      <c r="E20" s="377"/>
      <c r="F20" s="304">
        <f t="shared" ref="F20" si="9">G20+S20+T20+U20+W20+Z20+AA20</f>
        <v>401.8</v>
      </c>
      <c r="G20" s="304">
        <f t="shared" ref="G20" si="10">SUM(H20:R20)</f>
        <v>401.8</v>
      </c>
      <c r="H20" s="442"/>
      <c r="I20" s="376"/>
      <c r="J20" s="376"/>
      <c r="K20" s="442"/>
      <c r="L20" s="442"/>
      <c r="M20" s="442"/>
      <c r="N20" s="442"/>
      <c r="O20" s="376"/>
      <c r="P20" s="442"/>
      <c r="Q20" s="442"/>
      <c r="R20" s="442">
        <v>401.8</v>
      </c>
      <c r="S20" s="766"/>
      <c r="T20" s="777"/>
      <c r="U20" s="293"/>
      <c r="V20" s="293"/>
      <c r="W20" s="293"/>
      <c r="X20" s="773"/>
      <c r="Y20" s="773"/>
      <c r="Z20" s="293"/>
      <c r="AA20" s="293"/>
    </row>
    <row r="21" spans="1:31" s="5" customFormat="1" ht="31" x14ac:dyDescent="0.35">
      <c r="A21" s="400">
        <v>886</v>
      </c>
      <c r="B21" s="666">
        <v>45435</v>
      </c>
      <c r="C21" s="488" t="s">
        <v>616</v>
      </c>
      <c r="D21" s="297"/>
      <c r="E21" s="377"/>
      <c r="F21" s="304">
        <f t="shared" ref="F21" si="11">G21+S21+T21+U21+W21+Z21+AA21</f>
        <v>879</v>
      </c>
      <c r="G21" s="304">
        <f t="shared" ref="G21" si="12">SUM(H21:R21)</f>
        <v>0</v>
      </c>
      <c r="H21" s="442"/>
      <c r="I21" s="376"/>
      <c r="J21" s="376"/>
      <c r="K21" s="442"/>
      <c r="L21" s="442"/>
      <c r="M21" s="442"/>
      <c r="N21" s="442"/>
      <c r="O21" s="376"/>
      <c r="P21" s="442"/>
      <c r="Q21" s="442"/>
      <c r="R21" s="442"/>
      <c r="S21" s="766"/>
      <c r="T21" s="777">
        <v>879</v>
      </c>
      <c r="U21" s="293"/>
      <c r="V21" s="293"/>
      <c r="W21" s="293"/>
      <c r="X21" s="773"/>
      <c r="Y21" s="773"/>
      <c r="Z21" s="293"/>
      <c r="AA21" s="293"/>
    </row>
    <row r="22" spans="1:31" s="5" customFormat="1" ht="31" x14ac:dyDescent="0.35">
      <c r="A22" s="400">
        <f ca="1">VLOOKUP($A22,[6]T6!$4:$1048576,5,0)</f>
        <v>978</v>
      </c>
      <c r="B22" s="666">
        <f ca="1">VLOOKUP($A22,[6]T6!$4:$1048576,6,0)</f>
        <v>45449</v>
      </c>
      <c r="C22" s="488" t="str">
        <f ca="1">VLOOKUP($A22,[6]T6!$4:$1048576,2,0)</f>
        <v xml:space="preserve">Cấp cấp bổ sung kinh phí cho các cơ quan, đơn vị để thực hiện nhiệm vụ năm 2024 </v>
      </c>
      <c r="D22" s="297"/>
      <c r="E22" s="377"/>
      <c r="F22" s="304">
        <f t="shared" ref="F22" si="13">G22+S22+T22+U22+W22+Z22+AA22</f>
        <v>614.41999999999996</v>
      </c>
      <c r="G22" s="304">
        <f t="shared" ref="G22" si="14">SUM(H22:R22)</f>
        <v>614.41999999999996</v>
      </c>
      <c r="H22" s="442"/>
      <c r="I22" s="376"/>
      <c r="J22" s="376"/>
      <c r="K22" s="442"/>
      <c r="L22" s="442"/>
      <c r="M22" s="442"/>
      <c r="N22" s="442"/>
      <c r="O22" s="376"/>
      <c r="P22" s="442"/>
      <c r="Q22" s="442"/>
      <c r="R22" s="442">
        <v>614.41999999999996</v>
      </c>
      <c r="S22" s="766"/>
      <c r="T22" s="777"/>
      <c r="U22" s="293"/>
      <c r="V22" s="293"/>
      <c r="W22" s="293"/>
      <c r="X22" s="773"/>
      <c r="Y22" s="773"/>
      <c r="Z22" s="293"/>
      <c r="AA22" s="293"/>
    </row>
    <row r="23" spans="1:31" s="5" customFormat="1" ht="31" x14ac:dyDescent="0.35">
      <c r="A23" s="400">
        <f ca="1">VLOOKUP($A23,[6]T6!$4:$1048576,5,0)</f>
        <v>984</v>
      </c>
      <c r="B23" s="666">
        <f ca="1">VLOOKUP($A23,[6]T6!$4:$1048576,6,0)</f>
        <v>45450</v>
      </c>
      <c r="C23" s="488" t="s">
        <v>615</v>
      </c>
      <c r="D23" s="297"/>
      <c r="E23" s="377"/>
      <c r="F23" s="304">
        <f t="shared" ref="F23" si="15">G23+S23+T23+U23+W23+Z23+AA23</f>
        <v>19906.169999999998</v>
      </c>
      <c r="G23" s="304">
        <f t="shared" ref="G23" si="16">SUM(H23:R23)</f>
        <v>19906.169999999998</v>
      </c>
      <c r="H23" s="442"/>
      <c r="I23" s="766">
        <f>1755+15525.7</f>
        <v>17280.7</v>
      </c>
      <c r="J23" s="766">
        <v>891.28</v>
      </c>
      <c r="K23" s="442"/>
      <c r="L23" s="442"/>
      <c r="M23" s="442"/>
      <c r="N23" s="442"/>
      <c r="O23" s="766">
        <v>1734.19</v>
      </c>
      <c r="P23" s="442"/>
      <c r="Q23" s="442"/>
      <c r="R23" s="442"/>
      <c r="S23" s="766"/>
      <c r="T23" s="777"/>
      <c r="U23" s="293"/>
      <c r="V23" s="293"/>
      <c r="W23" s="293"/>
      <c r="X23" s="773"/>
      <c r="Y23" s="773"/>
      <c r="Z23" s="293"/>
      <c r="AA23" s="293"/>
    </row>
    <row r="24" spans="1:31" s="5" customFormat="1" ht="89.25" customHeight="1" x14ac:dyDescent="0.35">
      <c r="A24" s="400" t="s">
        <v>619</v>
      </c>
      <c r="B24" s="666">
        <v>45450</v>
      </c>
      <c r="C24" s="488" t="s">
        <v>620</v>
      </c>
      <c r="D24" s="488"/>
      <c r="E24" s="488"/>
      <c r="F24" s="304">
        <f t="shared" ref="F24" si="17">G24+S24+T24+U24+W24+Z24+AA24</f>
        <v>1200</v>
      </c>
      <c r="G24" s="304">
        <f t="shared" ref="G24" si="18">SUM(H24:R24)</f>
        <v>0</v>
      </c>
      <c r="H24" s="442"/>
      <c r="I24" s="772"/>
      <c r="J24" s="442"/>
      <c r="K24" s="442"/>
      <c r="L24" s="442"/>
      <c r="M24" s="442"/>
      <c r="N24" s="442"/>
      <c r="O24" s="442"/>
      <c r="P24" s="442"/>
      <c r="Q24" s="442"/>
      <c r="R24" s="442"/>
      <c r="S24" s="766"/>
      <c r="T24" s="766"/>
      <c r="U24" s="293"/>
      <c r="V24" s="293"/>
      <c r="W24" s="293"/>
      <c r="X24" s="773"/>
      <c r="Y24" s="773"/>
      <c r="Z24" s="293"/>
      <c r="AA24" s="293">
        <v>1200</v>
      </c>
    </row>
    <row r="25" spans="1:31" s="268" customFormat="1" ht="16" customHeight="1" x14ac:dyDescent="0.35">
      <c r="A25" s="306"/>
      <c r="B25" s="327"/>
      <c r="C25" s="328"/>
      <c r="D25" s="328"/>
      <c r="E25" s="328"/>
      <c r="F25" s="311"/>
      <c r="G25" s="312"/>
      <c r="H25" s="297"/>
      <c r="I25" s="297"/>
      <c r="J25" s="297"/>
      <c r="K25" s="297"/>
      <c r="L25" s="297"/>
      <c r="M25" s="297"/>
      <c r="N25" s="323"/>
      <c r="O25" s="297"/>
      <c r="P25" s="297"/>
      <c r="Q25" s="297"/>
      <c r="R25" s="311"/>
      <c r="S25" s="297"/>
      <c r="T25" s="297"/>
      <c r="U25" s="293"/>
      <c r="V25" s="293"/>
      <c r="W25" s="293"/>
      <c r="X25" s="298"/>
      <c r="Y25" s="298"/>
      <c r="Z25" s="298"/>
      <c r="AA25" s="298"/>
      <c r="AB25" s="5"/>
      <c r="AD25" s="269"/>
      <c r="AE25" s="270"/>
    </row>
    <row r="26" spans="1:31" s="71" customFormat="1" ht="28.5" customHeight="1" x14ac:dyDescent="0.35">
      <c r="A26" s="291" t="s">
        <v>37</v>
      </c>
      <c r="B26" s="292"/>
      <c r="C26" s="300"/>
      <c r="D26" s="300" t="e">
        <f ca="1">SUM(D8:D25)</f>
        <v>#N/A</v>
      </c>
      <c r="E26" s="300">
        <f>SUM(E8:E25)</f>
        <v>0</v>
      </c>
      <c r="F26" s="241" t="e">
        <f>G26+SUM(S26:Z26)+AA26</f>
        <v>#REF!</v>
      </c>
      <c r="G26" s="241" t="e">
        <f>G7</f>
        <v>#REF!</v>
      </c>
      <c r="H26" s="241">
        <f>SUM(H8:H18)</f>
        <v>0</v>
      </c>
      <c r="I26" s="241">
        <f>SUM(I8:I25)</f>
        <v>17907.400000000001</v>
      </c>
      <c r="J26" s="241">
        <f>SUM(J8:J25)</f>
        <v>969.02</v>
      </c>
      <c r="K26" s="241"/>
      <c r="L26" s="241"/>
      <c r="M26" s="241"/>
      <c r="N26" s="241"/>
      <c r="O26" s="241">
        <f>SUM(O8:O25)</f>
        <v>27986.458999999999</v>
      </c>
      <c r="P26" s="241"/>
      <c r="Q26" s="241">
        <f>SUM(Q8:Q25)</f>
        <v>0</v>
      </c>
      <c r="R26" s="241" t="e">
        <f>SUM(R8:R25)</f>
        <v>#REF!</v>
      </c>
      <c r="S26" s="241">
        <f>SUM(S8:S25)</f>
        <v>0</v>
      </c>
      <c r="T26" s="241">
        <f>T7</f>
        <v>115840.8</v>
      </c>
      <c r="U26" s="241">
        <f t="shared" ref="U26:AA26" si="19">SUM(U8:U25)</f>
        <v>120000</v>
      </c>
      <c r="V26" s="241">
        <f t="shared" si="19"/>
        <v>17304.826045000002</v>
      </c>
      <c r="W26" s="241">
        <f t="shared" si="19"/>
        <v>0</v>
      </c>
      <c r="X26" s="241">
        <f t="shared" si="19"/>
        <v>0</v>
      </c>
      <c r="Y26" s="241">
        <f t="shared" si="19"/>
        <v>0</v>
      </c>
      <c r="Z26" s="241">
        <f t="shared" si="19"/>
        <v>1663.391169</v>
      </c>
      <c r="AA26" s="241">
        <f t="shared" si="19"/>
        <v>1200</v>
      </c>
      <c r="AB26" s="5"/>
      <c r="AD26" s="72"/>
      <c r="AE26" s="73"/>
    </row>
    <row r="27" spans="1:31" ht="29.25" customHeight="1" x14ac:dyDescent="0.35">
      <c r="A27" s="291" t="s">
        <v>38</v>
      </c>
      <c r="B27" s="292"/>
      <c r="C27" s="301"/>
      <c r="D27" s="301"/>
      <c r="E27" s="301"/>
      <c r="F27" s="242" t="e">
        <f>F6-F26</f>
        <v>#REF!</v>
      </c>
      <c r="G27" s="313" t="e">
        <f>G6-G26</f>
        <v>#REF!</v>
      </c>
      <c r="H27" s="242"/>
      <c r="I27" s="313" t="e">
        <f>I6-I26</f>
        <v>#REF!</v>
      </c>
      <c r="J27" s="313" t="e">
        <f>J6-J26</f>
        <v>#REF!</v>
      </c>
      <c r="K27" s="313"/>
      <c r="L27" s="313"/>
      <c r="M27" s="313"/>
      <c r="N27" s="313"/>
      <c r="O27" s="313" t="e">
        <f>O6-O26</f>
        <v>#REF!</v>
      </c>
      <c r="P27" s="313"/>
      <c r="Q27" s="242">
        <f t="shared" ref="Q27:AA27" si="20">Q6-Q26</f>
        <v>0</v>
      </c>
      <c r="R27" s="313" t="e">
        <f t="shared" si="20"/>
        <v>#REF!</v>
      </c>
      <c r="S27" s="313">
        <f t="shared" si="20"/>
        <v>37156.043000000005</v>
      </c>
      <c r="T27" s="313" t="e">
        <f t="shared" si="20"/>
        <v>#REF!</v>
      </c>
      <c r="U27" s="313">
        <f t="shared" si="20"/>
        <v>0</v>
      </c>
      <c r="V27" s="313" t="e">
        <f t="shared" si="20"/>
        <v>#REF!</v>
      </c>
      <c r="W27" s="313">
        <f t="shared" si="20"/>
        <v>205</v>
      </c>
      <c r="X27" s="313">
        <f t="shared" si="20"/>
        <v>0</v>
      </c>
      <c r="Y27" s="313">
        <f t="shared" si="20"/>
        <v>0</v>
      </c>
      <c r="Z27" s="313" t="e">
        <f t="shared" si="20"/>
        <v>#REF!</v>
      </c>
      <c r="AA27" s="313" t="e">
        <f t="shared" si="20"/>
        <v>#REF!</v>
      </c>
      <c r="AB27" s="302"/>
      <c r="AC27" s="779" t="e">
        <f>#REF!+#REF!</f>
        <v>#REF!</v>
      </c>
    </row>
    <row r="28" spans="1:31" ht="18" customHeight="1" x14ac:dyDescent="0.35">
      <c r="F28" s="75" t="e">
        <f>#REF!</f>
        <v>#REF!</v>
      </c>
      <c r="X28" s="62"/>
      <c r="Y28" s="62"/>
      <c r="Z28" s="62"/>
      <c r="AA28" s="62"/>
      <c r="AB28" s="62"/>
    </row>
    <row r="29" spans="1:31" ht="18" customHeight="1" x14ac:dyDescent="0.35">
      <c r="X29" s="62"/>
      <c r="Y29" s="62"/>
      <c r="Z29" s="62"/>
      <c r="AA29" s="62"/>
      <c r="AB29" s="62"/>
    </row>
    <row r="30" spans="1:31" ht="18" customHeight="1" x14ac:dyDescent="0.35">
      <c r="X30" s="62"/>
      <c r="Y30" s="62"/>
      <c r="Z30" s="62"/>
      <c r="AA30" s="62"/>
      <c r="AB30" s="62"/>
    </row>
    <row r="31" spans="1:31" ht="18" customHeight="1" x14ac:dyDescent="0.35">
      <c r="X31" s="62"/>
      <c r="Y31" s="62"/>
      <c r="Z31" s="62"/>
      <c r="AA31" s="62"/>
      <c r="AB31" s="62"/>
    </row>
    <row r="32" spans="1:31" ht="18" customHeight="1" x14ac:dyDescent="0.35">
      <c r="X32" s="62"/>
      <c r="Y32" s="62"/>
      <c r="Z32" s="62"/>
      <c r="AA32" s="62"/>
      <c r="AB32" s="62"/>
    </row>
    <row r="33" spans="24:28" ht="18" customHeight="1" x14ac:dyDescent="0.35">
      <c r="X33" s="62"/>
      <c r="Y33" s="62"/>
      <c r="Z33" s="62"/>
      <c r="AA33" s="62"/>
      <c r="AB33" s="62"/>
    </row>
    <row r="34" spans="24:28" ht="18" customHeight="1" x14ac:dyDescent="0.35">
      <c r="X34" s="62"/>
      <c r="Y34" s="62"/>
      <c r="Z34" s="62"/>
      <c r="AA34" s="62"/>
      <c r="AB34" s="62"/>
    </row>
    <row r="35" spans="24:28" ht="18" customHeight="1" x14ac:dyDescent="0.35">
      <c r="X35" s="62"/>
      <c r="Y35" s="62"/>
      <c r="Z35" s="62"/>
      <c r="AA35" s="62"/>
      <c r="AB35" s="62"/>
    </row>
    <row r="36" spans="24:28" ht="18" customHeight="1" x14ac:dyDescent="0.35">
      <c r="X36" s="62"/>
      <c r="Y36" s="62"/>
      <c r="Z36" s="62"/>
      <c r="AA36" s="62"/>
      <c r="AB36" s="62"/>
    </row>
    <row r="37" spans="24:28" ht="18" customHeight="1" x14ac:dyDescent="0.35">
      <c r="X37" s="62"/>
      <c r="Y37" s="62"/>
      <c r="Z37" s="62"/>
      <c r="AA37" s="62"/>
      <c r="AB37" s="62"/>
    </row>
    <row r="38" spans="24:28" ht="18" customHeight="1" x14ac:dyDescent="0.35">
      <c r="X38" s="62"/>
      <c r="Y38" s="62"/>
      <c r="Z38" s="62"/>
      <c r="AA38" s="62"/>
      <c r="AB38" s="62"/>
    </row>
    <row r="39" spans="24:28" ht="18" customHeight="1" x14ac:dyDescent="0.35">
      <c r="X39" s="62"/>
      <c r="Y39" s="62"/>
      <c r="Z39" s="62"/>
      <c r="AA39" s="62"/>
      <c r="AB39" s="62"/>
    </row>
    <row r="40" spans="24:28" ht="18" customHeight="1" x14ac:dyDescent="0.35">
      <c r="X40" s="62"/>
      <c r="Y40" s="62"/>
      <c r="Z40" s="62"/>
      <c r="AA40" s="62"/>
      <c r="AB40" s="62"/>
    </row>
    <row r="41" spans="24:28" ht="18" customHeight="1" x14ac:dyDescent="0.35">
      <c r="X41" s="62"/>
      <c r="Y41" s="62"/>
      <c r="Z41" s="62"/>
      <c r="AA41" s="62"/>
      <c r="AB41" s="62"/>
    </row>
    <row r="42" spans="24:28" ht="18" customHeight="1" x14ac:dyDescent="0.35">
      <c r="X42" s="62"/>
      <c r="Y42" s="62"/>
      <c r="Z42" s="62"/>
      <c r="AA42" s="62"/>
      <c r="AB42" s="62"/>
    </row>
    <row r="43" spans="24:28" ht="18" customHeight="1" x14ac:dyDescent="0.35">
      <c r="X43" s="62"/>
      <c r="Y43" s="62"/>
      <c r="Z43" s="62"/>
      <c r="AA43" s="62"/>
      <c r="AB43" s="62"/>
    </row>
    <row r="44" spans="24:28" ht="18" customHeight="1" x14ac:dyDescent="0.35">
      <c r="X44" s="62"/>
      <c r="Y44" s="62"/>
      <c r="Z44" s="62"/>
      <c r="AA44" s="62"/>
      <c r="AB44" s="62"/>
    </row>
    <row r="45" spans="24:28" ht="18" customHeight="1" x14ac:dyDescent="0.35">
      <c r="X45" s="62"/>
      <c r="Y45" s="62"/>
      <c r="Z45" s="62"/>
      <c r="AA45" s="62"/>
      <c r="AB45" s="62"/>
    </row>
    <row r="46" spans="24:28" ht="18" customHeight="1" x14ac:dyDescent="0.35">
      <c r="X46" s="62"/>
      <c r="Y46" s="62"/>
      <c r="Z46" s="62"/>
      <c r="AA46" s="62"/>
      <c r="AB46" s="62"/>
    </row>
    <row r="47" spans="24:28" ht="18" customHeight="1" x14ac:dyDescent="0.35">
      <c r="X47" s="62"/>
      <c r="Y47" s="62"/>
      <c r="Z47" s="62"/>
      <c r="AA47" s="62"/>
      <c r="AB47" s="62"/>
    </row>
    <row r="48" spans="24:28" ht="18" customHeight="1" x14ac:dyDescent="0.35">
      <c r="X48" s="62"/>
      <c r="Y48" s="62"/>
      <c r="Z48" s="62"/>
      <c r="AA48" s="62"/>
      <c r="AB48" s="62"/>
    </row>
    <row r="49" spans="24:28" ht="18" customHeight="1" x14ac:dyDescent="0.35">
      <c r="X49" s="62"/>
      <c r="Y49" s="62"/>
      <c r="Z49" s="62"/>
      <c r="AA49" s="62"/>
      <c r="AB49" s="62"/>
    </row>
    <row r="50" spans="24:28" ht="18" customHeight="1" x14ac:dyDescent="0.35">
      <c r="X50" s="62"/>
      <c r="Y50" s="62"/>
      <c r="Z50" s="62"/>
      <c r="AA50" s="62"/>
      <c r="AB50" s="62"/>
    </row>
    <row r="51" spans="24:28" ht="18" customHeight="1" x14ac:dyDescent="0.35">
      <c r="X51" s="62"/>
      <c r="Y51" s="62"/>
      <c r="Z51" s="62"/>
      <c r="AA51" s="62"/>
      <c r="AB51" s="62"/>
    </row>
    <row r="52" spans="24:28" ht="18" customHeight="1" x14ac:dyDescent="0.35">
      <c r="X52" s="62"/>
      <c r="Y52" s="62"/>
      <c r="Z52" s="62"/>
      <c r="AA52" s="62"/>
      <c r="AB52" s="62"/>
    </row>
    <row r="53" spans="24:28" ht="18" customHeight="1" x14ac:dyDescent="0.35">
      <c r="X53" s="62"/>
      <c r="Y53" s="62"/>
      <c r="Z53" s="62"/>
      <c r="AA53" s="62"/>
      <c r="AB53" s="62"/>
    </row>
    <row r="54" spans="24:28" ht="18" customHeight="1" x14ac:dyDescent="0.35">
      <c r="X54" s="62"/>
      <c r="Y54" s="62"/>
      <c r="Z54" s="62"/>
      <c r="AA54" s="62"/>
      <c r="AB54" s="62"/>
    </row>
    <row r="55" spans="24:28" ht="18" customHeight="1" x14ac:dyDescent="0.35">
      <c r="X55" s="62"/>
      <c r="Y55" s="62"/>
      <c r="Z55" s="62"/>
      <c r="AA55" s="62"/>
      <c r="AB55" s="62"/>
    </row>
    <row r="56" spans="24:28" ht="18" customHeight="1" x14ac:dyDescent="0.35">
      <c r="X56" s="62"/>
      <c r="Y56" s="62"/>
      <c r="Z56" s="62"/>
      <c r="AA56" s="62"/>
      <c r="AB56" s="62"/>
    </row>
    <row r="57" spans="24:28" ht="18" customHeight="1" x14ac:dyDescent="0.35">
      <c r="X57" s="62"/>
      <c r="Y57" s="62"/>
      <c r="Z57" s="62"/>
      <c r="AA57" s="62"/>
      <c r="AB57" s="62"/>
    </row>
    <row r="58" spans="24:28" ht="18" customHeight="1" x14ac:dyDescent="0.35">
      <c r="X58" s="62"/>
      <c r="Y58" s="62"/>
      <c r="Z58" s="62"/>
      <c r="AA58" s="62"/>
      <c r="AB58" s="62"/>
    </row>
    <row r="59" spans="24:28" ht="18" customHeight="1" x14ac:dyDescent="0.35">
      <c r="X59" s="62"/>
      <c r="Y59" s="62"/>
      <c r="Z59" s="62"/>
      <c r="AA59" s="62"/>
      <c r="AB59" s="62"/>
    </row>
    <row r="60" spans="24:28" ht="18" customHeight="1" x14ac:dyDescent="0.35">
      <c r="X60" s="62"/>
      <c r="Y60" s="62"/>
      <c r="Z60" s="62"/>
      <c r="AA60" s="62"/>
      <c r="AB60" s="62"/>
    </row>
    <row r="61" spans="24:28" ht="18" customHeight="1" x14ac:dyDescent="0.35">
      <c r="X61" s="62"/>
      <c r="Y61" s="62"/>
      <c r="Z61" s="62"/>
      <c r="AA61" s="62"/>
      <c r="AB61" s="62"/>
    </row>
    <row r="62" spans="24:28" ht="18" customHeight="1" x14ac:dyDescent="0.35">
      <c r="X62" s="62"/>
      <c r="Y62" s="62"/>
      <c r="Z62" s="62"/>
      <c r="AA62" s="62"/>
      <c r="AB62" s="62"/>
    </row>
    <row r="63" spans="24:28" ht="18" customHeight="1" x14ac:dyDescent="0.35">
      <c r="X63" s="62"/>
      <c r="Y63" s="62"/>
      <c r="Z63" s="62"/>
      <c r="AA63" s="62"/>
      <c r="AB63" s="62"/>
    </row>
    <row r="64" spans="24:28" ht="18" customHeight="1" x14ac:dyDescent="0.35">
      <c r="X64" s="62"/>
      <c r="Y64" s="62"/>
      <c r="Z64" s="62"/>
      <c r="AA64" s="62"/>
      <c r="AB64" s="62"/>
    </row>
    <row r="65" spans="3:28" ht="18" customHeight="1" x14ac:dyDescent="0.35">
      <c r="X65" s="62"/>
      <c r="Y65" s="62"/>
      <c r="Z65" s="62"/>
      <c r="AA65" s="62"/>
      <c r="AB65" s="62"/>
    </row>
    <row r="66" spans="3:28" ht="18" customHeight="1" x14ac:dyDescent="0.35">
      <c r="X66" s="62"/>
      <c r="Y66" s="62"/>
      <c r="Z66" s="62"/>
      <c r="AA66" s="62"/>
      <c r="AB66" s="62"/>
    </row>
    <row r="67" spans="3:28" ht="18" customHeight="1" x14ac:dyDescent="0.35">
      <c r="X67" s="62"/>
      <c r="Y67" s="62"/>
      <c r="Z67" s="62"/>
      <c r="AA67" s="62"/>
      <c r="AB67" s="62"/>
    </row>
    <row r="68" spans="3:28" ht="18" customHeight="1" x14ac:dyDescent="0.35">
      <c r="X68" s="62"/>
      <c r="Y68" s="62"/>
      <c r="Z68" s="62"/>
      <c r="AA68" s="62"/>
      <c r="AB68" s="62"/>
    </row>
    <row r="69" spans="3:28" ht="18" customHeight="1" x14ac:dyDescent="0.35">
      <c r="X69" s="62"/>
      <c r="Y69" s="62"/>
      <c r="Z69" s="62"/>
      <c r="AA69" s="62"/>
      <c r="AB69" s="62"/>
    </row>
    <row r="70" spans="3:28" ht="18" customHeight="1" x14ac:dyDescent="0.35">
      <c r="X70" s="62"/>
      <c r="Y70" s="62"/>
      <c r="Z70" s="62"/>
      <c r="AA70" s="62"/>
      <c r="AB70" s="62"/>
    </row>
    <row r="71" spans="3:28" ht="18" customHeight="1" x14ac:dyDescent="0.35">
      <c r="X71" s="62"/>
      <c r="Y71" s="62"/>
      <c r="Z71" s="62"/>
      <c r="AA71" s="62"/>
      <c r="AB71" s="62"/>
    </row>
    <row r="72" spans="3:28" ht="18" customHeight="1" x14ac:dyDescent="0.35">
      <c r="X72" s="62"/>
      <c r="Y72" s="62"/>
      <c r="Z72" s="62"/>
      <c r="AA72" s="62"/>
      <c r="AB72" s="62"/>
    </row>
    <row r="73" spans="3:28" ht="18" customHeight="1" x14ac:dyDescent="0.35">
      <c r="X73" s="62"/>
      <c r="Y73" s="62"/>
      <c r="Z73" s="62"/>
      <c r="AA73" s="62"/>
      <c r="AB73" s="62"/>
    </row>
    <row r="74" spans="3:28" ht="18" customHeight="1" x14ac:dyDescent="0.35">
      <c r="C74" s="78"/>
      <c r="D74" s="78"/>
      <c r="E74" s="78"/>
      <c r="F74" s="465"/>
      <c r="G74" s="78"/>
      <c r="X74" s="62"/>
      <c r="Y74" s="62"/>
      <c r="Z74" s="62"/>
      <c r="AA74" s="62"/>
      <c r="AB74" s="62"/>
    </row>
    <row r="75" spans="3:28" ht="18" customHeight="1" x14ac:dyDescent="0.35">
      <c r="X75" s="62"/>
      <c r="Y75" s="62"/>
      <c r="Z75" s="62"/>
      <c r="AA75" s="62"/>
      <c r="AB75" s="62"/>
    </row>
    <row r="76" spans="3:28" ht="18" customHeight="1" x14ac:dyDescent="0.35">
      <c r="X76" s="62"/>
      <c r="Y76" s="62"/>
      <c r="Z76" s="62"/>
      <c r="AA76" s="62"/>
      <c r="AB76" s="62"/>
    </row>
    <row r="77" spans="3:28" ht="18" customHeight="1" x14ac:dyDescent="0.35">
      <c r="X77" s="62"/>
      <c r="Y77" s="62"/>
      <c r="Z77" s="62"/>
      <c r="AA77" s="62"/>
      <c r="AB77" s="62"/>
    </row>
    <row r="78" spans="3:28" ht="18" customHeight="1" x14ac:dyDescent="0.35">
      <c r="X78" s="62"/>
      <c r="Y78" s="62"/>
      <c r="Z78" s="62"/>
      <c r="AA78" s="62"/>
      <c r="AB78" s="62"/>
    </row>
    <row r="79" spans="3:28" ht="18" customHeight="1" x14ac:dyDescent="0.35">
      <c r="X79" s="62"/>
      <c r="Y79" s="62"/>
      <c r="Z79" s="62"/>
      <c r="AA79" s="62"/>
      <c r="AB79" s="62"/>
    </row>
    <row r="80" spans="3:28" ht="18" customHeight="1" x14ac:dyDescent="0.35">
      <c r="X80" s="62"/>
      <c r="Y80" s="62"/>
      <c r="Z80" s="62"/>
      <c r="AA80" s="62"/>
      <c r="AB80" s="62"/>
    </row>
    <row r="81" spans="24:28" ht="18" customHeight="1" x14ac:dyDescent="0.35">
      <c r="X81" s="62"/>
      <c r="Y81" s="62"/>
      <c r="Z81" s="62"/>
      <c r="AA81" s="62"/>
      <c r="AB81" s="62"/>
    </row>
    <row r="82" spans="24:28" ht="18" customHeight="1" x14ac:dyDescent="0.35">
      <c r="X82" s="62"/>
      <c r="Y82" s="62"/>
      <c r="Z82" s="62"/>
      <c r="AA82" s="62"/>
      <c r="AB82" s="62"/>
    </row>
    <row r="83" spans="24:28" ht="18" customHeight="1" x14ac:dyDescent="0.35">
      <c r="X83" s="62"/>
      <c r="Y83" s="62"/>
      <c r="Z83" s="62"/>
      <c r="AA83" s="62"/>
      <c r="AB83" s="62"/>
    </row>
    <row r="84" spans="24:28" ht="18" customHeight="1" x14ac:dyDescent="0.35">
      <c r="X84" s="62"/>
      <c r="Y84" s="62"/>
      <c r="Z84" s="62"/>
      <c r="AA84" s="62"/>
      <c r="AB84" s="62"/>
    </row>
    <row r="85" spans="24:28" ht="18" customHeight="1" x14ac:dyDescent="0.35">
      <c r="X85" s="62"/>
      <c r="Y85" s="62"/>
      <c r="Z85" s="62"/>
      <c r="AA85" s="62"/>
      <c r="AB85" s="62"/>
    </row>
    <row r="86" spans="24:28" ht="18" customHeight="1" x14ac:dyDescent="0.35">
      <c r="X86" s="62"/>
      <c r="Y86" s="62"/>
      <c r="Z86" s="62"/>
      <c r="AA86" s="62"/>
      <c r="AB86" s="62"/>
    </row>
    <row r="87" spans="24:28" ht="18" customHeight="1" x14ac:dyDescent="0.35">
      <c r="X87" s="62"/>
      <c r="Y87" s="62"/>
      <c r="Z87" s="62"/>
      <c r="AA87" s="62"/>
      <c r="AB87" s="62"/>
    </row>
    <row r="88" spans="24:28" ht="18" customHeight="1" x14ac:dyDescent="0.35">
      <c r="X88" s="62"/>
      <c r="Y88" s="62"/>
      <c r="Z88" s="62"/>
      <c r="AA88" s="62"/>
      <c r="AB88" s="62"/>
    </row>
    <row r="89" spans="24:28" ht="18" customHeight="1" x14ac:dyDescent="0.35">
      <c r="X89" s="62"/>
      <c r="Y89" s="62"/>
      <c r="Z89" s="62"/>
      <c r="AA89" s="62"/>
      <c r="AB89" s="62"/>
    </row>
    <row r="90" spans="24:28" ht="18" customHeight="1" x14ac:dyDescent="0.35">
      <c r="X90" s="62"/>
      <c r="Y90" s="62"/>
      <c r="Z90" s="62"/>
      <c r="AA90" s="62"/>
      <c r="AB90" s="62"/>
    </row>
    <row r="91" spans="24:28" ht="18" customHeight="1" x14ac:dyDescent="0.35">
      <c r="X91" s="62"/>
      <c r="Y91" s="62"/>
      <c r="Z91" s="62"/>
      <c r="AA91" s="62"/>
      <c r="AB91" s="62"/>
    </row>
    <row r="92" spans="24:28" ht="18" customHeight="1" x14ac:dyDescent="0.35">
      <c r="X92" s="62"/>
      <c r="Y92" s="62"/>
      <c r="Z92" s="62"/>
      <c r="AA92" s="62"/>
      <c r="AB92" s="62"/>
    </row>
    <row r="93" spans="24:28" ht="18" customHeight="1" x14ac:dyDescent="0.35">
      <c r="X93" s="62"/>
      <c r="Y93" s="62"/>
      <c r="Z93" s="62"/>
      <c r="AA93" s="62"/>
      <c r="AB93" s="62"/>
    </row>
    <row r="94" spans="24:28" ht="18" customHeight="1" x14ac:dyDescent="0.35">
      <c r="X94" s="62"/>
      <c r="Y94" s="62"/>
      <c r="Z94" s="62"/>
      <c r="AA94" s="62"/>
      <c r="AB94" s="62"/>
    </row>
    <row r="95" spans="24:28" ht="18" customHeight="1" x14ac:dyDescent="0.35">
      <c r="X95" s="62"/>
      <c r="Y95" s="62"/>
      <c r="Z95" s="62"/>
      <c r="AA95" s="62"/>
      <c r="AB95" s="62"/>
    </row>
    <row r="96" spans="24:28" ht="18" customHeight="1" x14ac:dyDescent="0.35">
      <c r="X96" s="62"/>
      <c r="Y96" s="62"/>
      <c r="Z96" s="62"/>
      <c r="AA96" s="62"/>
      <c r="AB96" s="62"/>
    </row>
    <row r="97" spans="1:28" ht="18" customHeight="1" x14ac:dyDescent="0.35">
      <c r="X97" s="62"/>
      <c r="Y97" s="62"/>
      <c r="Z97" s="62"/>
      <c r="AA97" s="62"/>
      <c r="AB97" s="62"/>
    </row>
    <row r="98" spans="1:28" ht="18" customHeight="1" x14ac:dyDescent="0.35">
      <c r="X98" s="62"/>
      <c r="Y98" s="62"/>
      <c r="Z98" s="62"/>
      <c r="AA98" s="62"/>
      <c r="AB98" s="62"/>
    </row>
    <row r="99" spans="1:28" ht="18" customHeight="1" x14ac:dyDescent="0.35">
      <c r="X99" s="62"/>
      <c r="Y99" s="62"/>
      <c r="Z99" s="62"/>
      <c r="AA99" s="62"/>
      <c r="AB99" s="62"/>
    </row>
    <row r="100" spans="1:28" ht="18" customHeight="1" x14ac:dyDescent="0.35">
      <c r="X100" s="62"/>
      <c r="Y100" s="62"/>
      <c r="Z100" s="62"/>
      <c r="AA100" s="62"/>
      <c r="AB100" s="62"/>
    </row>
    <row r="101" spans="1:28" ht="18" customHeight="1" x14ac:dyDescent="0.35">
      <c r="A101" s="77"/>
      <c r="B101" s="79"/>
      <c r="H101" s="76"/>
      <c r="I101" s="76"/>
      <c r="J101" s="76"/>
      <c r="K101" s="76"/>
      <c r="L101" s="76"/>
      <c r="M101" s="76"/>
      <c r="N101" s="76"/>
      <c r="O101" s="76"/>
      <c r="P101" s="76"/>
      <c r="Q101" s="76"/>
      <c r="R101" s="76"/>
      <c r="X101" s="62"/>
      <c r="Y101" s="62"/>
      <c r="Z101" s="62"/>
      <c r="AA101" s="62"/>
      <c r="AB101" s="62"/>
    </row>
    <row r="102" spans="1:28" ht="18" customHeight="1" x14ac:dyDescent="0.35">
      <c r="S102" s="76"/>
      <c r="T102" s="76"/>
      <c r="U102" s="76"/>
      <c r="V102" s="76"/>
      <c r="W102" s="76"/>
      <c r="X102" s="62"/>
      <c r="Y102" s="62"/>
      <c r="Z102" s="62"/>
      <c r="AA102" s="62"/>
      <c r="AB102" s="62"/>
    </row>
    <row r="103" spans="1:28" ht="18" customHeight="1" x14ac:dyDescent="0.35">
      <c r="A103" s="80"/>
      <c r="B103" s="81"/>
      <c r="C103" s="82"/>
      <c r="D103" s="82"/>
      <c r="E103" s="82"/>
      <c r="F103" s="466"/>
      <c r="G103" s="82"/>
      <c r="H103" s="82"/>
      <c r="I103" s="82"/>
      <c r="J103" s="82"/>
      <c r="K103" s="82"/>
      <c r="L103" s="82"/>
      <c r="M103" s="82"/>
      <c r="N103" s="82"/>
      <c r="O103" s="82"/>
      <c r="P103" s="82"/>
      <c r="Q103" s="82"/>
      <c r="R103" s="82"/>
      <c r="X103" s="62"/>
      <c r="Y103" s="62"/>
      <c r="Z103" s="62"/>
      <c r="AA103" s="62"/>
      <c r="AB103" s="62"/>
    </row>
    <row r="104" spans="1:28" ht="18" customHeight="1" x14ac:dyDescent="0.35">
      <c r="C104" s="82"/>
      <c r="D104" s="82"/>
      <c r="E104" s="82"/>
      <c r="F104" s="466"/>
      <c r="G104" s="82"/>
      <c r="S104" s="82"/>
      <c r="T104" s="82"/>
      <c r="U104" s="82"/>
      <c r="V104" s="82"/>
      <c r="W104" s="82"/>
      <c r="X104" s="62"/>
      <c r="Y104" s="62"/>
      <c r="Z104" s="62"/>
      <c r="AA104" s="62"/>
      <c r="AB104" s="62"/>
    </row>
    <row r="105" spans="1:28" ht="18" customHeight="1" x14ac:dyDescent="0.35">
      <c r="X105" s="62"/>
      <c r="Y105" s="62"/>
      <c r="Z105" s="62"/>
      <c r="AA105" s="62"/>
      <c r="AB105" s="62"/>
    </row>
    <row r="106" spans="1:28" ht="18" customHeight="1" x14ac:dyDescent="0.35">
      <c r="X106" s="62"/>
      <c r="Y106" s="62"/>
      <c r="Z106" s="62"/>
      <c r="AA106" s="62"/>
      <c r="AB106" s="62"/>
    </row>
    <row r="107" spans="1:28" ht="18" customHeight="1" x14ac:dyDescent="0.35">
      <c r="X107" s="62"/>
      <c r="Y107" s="62"/>
      <c r="Z107" s="62"/>
      <c r="AA107" s="62"/>
      <c r="AB107" s="62"/>
    </row>
    <row r="108" spans="1:28" ht="18" customHeight="1" x14ac:dyDescent="0.35">
      <c r="X108" s="62"/>
      <c r="Y108" s="62"/>
      <c r="Z108" s="62"/>
      <c r="AA108" s="62"/>
      <c r="AB108" s="62"/>
    </row>
    <row r="109" spans="1:28" ht="18" customHeight="1" x14ac:dyDescent="0.35">
      <c r="X109" s="62"/>
      <c r="Y109" s="62"/>
      <c r="Z109" s="62"/>
      <c r="AA109" s="62"/>
      <c r="AB109" s="62"/>
    </row>
    <row r="110" spans="1:28" ht="18" customHeight="1" x14ac:dyDescent="0.35">
      <c r="X110" s="62"/>
      <c r="Y110" s="62"/>
      <c r="Z110" s="62"/>
      <c r="AA110" s="62"/>
      <c r="AB110" s="62"/>
    </row>
    <row r="111" spans="1:28" ht="18" customHeight="1" x14ac:dyDescent="0.35">
      <c r="X111" s="62"/>
      <c r="Y111" s="62"/>
      <c r="Z111" s="62"/>
      <c r="AA111" s="62"/>
      <c r="AB111" s="62"/>
    </row>
    <row r="112" spans="1:28" ht="18" customHeight="1" x14ac:dyDescent="0.35">
      <c r="X112" s="62"/>
      <c r="Y112" s="62"/>
      <c r="Z112" s="62"/>
      <c r="AA112" s="62"/>
      <c r="AB112" s="62"/>
    </row>
    <row r="113" spans="24:28" ht="18" customHeight="1" x14ac:dyDescent="0.35">
      <c r="X113" s="62"/>
      <c r="Y113" s="62"/>
      <c r="Z113" s="62"/>
      <c r="AA113" s="62"/>
      <c r="AB113" s="62"/>
    </row>
    <row r="114" spans="24:28" ht="18" customHeight="1" x14ac:dyDescent="0.35">
      <c r="X114" s="62"/>
      <c r="Y114" s="62"/>
      <c r="Z114" s="62"/>
      <c r="AA114" s="62"/>
      <c r="AB114" s="62"/>
    </row>
    <row r="115" spans="24:28" ht="18" customHeight="1" x14ac:dyDescent="0.35">
      <c r="X115" s="62"/>
      <c r="Y115" s="62"/>
      <c r="Z115" s="62"/>
      <c r="AA115" s="62"/>
      <c r="AB115" s="62"/>
    </row>
    <row r="116" spans="24:28" ht="18" customHeight="1" x14ac:dyDescent="0.35">
      <c r="X116" s="62"/>
      <c r="Y116" s="62"/>
      <c r="Z116" s="62"/>
      <c r="AA116" s="62"/>
      <c r="AB116" s="62"/>
    </row>
    <row r="117" spans="24:28" ht="18" customHeight="1" x14ac:dyDescent="0.35">
      <c r="X117" s="62"/>
      <c r="Y117" s="62"/>
      <c r="Z117" s="62"/>
      <c r="AA117" s="62"/>
      <c r="AB117" s="62"/>
    </row>
    <row r="118" spans="24:28" ht="18" customHeight="1" x14ac:dyDescent="0.35">
      <c r="X118" s="62"/>
      <c r="Y118" s="62"/>
      <c r="Z118" s="62"/>
      <c r="AA118" s="62"/>
      <c r="AB118" s="62"/>
    </row>
    <row r="119" spans="24:28" ht="18" customHeight="1" x14ac:dyDescent="0.35">
      <c r="X119" s="62"/>
      <c r="Y119" s="62"/>
      <c r="Z119" s="62"/>
      <c r="AA119" s="62"/>
      <c r="AB119" s="62"/>
    </row>
    <row r="120" spans="24:28" ht="18" customHeight="1" x14ac:dyDescent="0.35">
      <c r="X120" s="62"/>
      <c r="Y120" s="62"/>
      <c r="Z120" s="62"/>
      <c r="AA120" s="62"/>
      <c r="AB120" s="62"/>
    </row>
    <row r="121" spans="24:28" ht="18" customHeight="1" x14ac:dyDescent="0.35">
      <c r="X121" s="62"/>
      <c r="Y121" s="62"/>
      <c r="Z121" s="62"/>
      <c r="AA121" s="62"/>
      <c r="AB121" s="62"/>
    </row>
    <row r="122" spans="24:28" ht="18" customHeight="1" x14ac:dyDescent="0.35">
      <c r="X122" s="62"/>
      <c r="Y122" s="62"/>
      <c r="Z122" s="62"/>
      <c r="AA122" s="62"/>
      <c r="AB122" s="62"/>
    </row>
    <row r="123" spans="24:28" ht="18" customHeight="1" x14ac:dyDescent="0.35">
      <c r="X123" s="62"/>
      <c r="Y123" s="62"/>
      <c r="Z123" s="62"/>
      <c r="AA123" s="62"/>
      <c r="AB123" s="62"/>
    </row>
    <row r="124" spans="24:28" ht="18" customHeight="1" x14ac:dyDescent="0.35">
      <c r="X124" s="62"/>
      <c r="Y124" s="62"/>
      <c r="Z124" s="62"/>
      <c r="AA124" s="62"/>
      <c r="AB124" s="62"/>
    </row>
    <row r="125" spans="24:28" ht="18" customHeight="1" x14ac:dyDescent="0.35">
      <c r="X125" s="62"/>
      <c r="Y125" s="62"/>
      <c r="Z125" s="62"/>
      <c r="AA125" s="62"/>
      <c r="AB125" s="62"/>
    </row>
    <row r="126" spans="24:28" ht="18" customHeight="1" x14ac:dyDescent="0.35">
      <c r="X126" s="62"/>
      <c r="Y126" s="62"/>
      <c r="Z126" s="62"/>
      <c r="AA126" s="62"/>
      <c r="AB126" s="62"/>
    </row>
    <row r="127" spans="24:28" ht="18" customHeight="1" x14ac:dyDescent="0.35">
      <c r="X127" s="62"/>
      <c r="Y127" s="62"/>
      <c r="Z127" s="62"/>
      <c r="AA127" s="62"/>
      <c r="AB127" s="62"/>
    </row>
    <row r="128" spans="24:28" ht="18" customHeight="1" x14ac:dyDescent="0.35">
      <c r="X128" s="62"/>
      <c r="Y128" s="62"/>
      <c r="Z128" s="62"/>
      <c r="AA128" s="62"/>
      <c r="AB128" s="62"/>
    </row>
    <row r="129" spans="24:28" ht="18" customHeight="1" x14ac:dyDescent="0.35">
      <c r="X129" s="62"/>
      <c r="Y129" s="62"/>
      <c r="Z129" s="62"/>
      <c r="AA129" s="62"/>
      <c r="AB129" s="62"/>
    </row>
    <row r="130" spans="24:28" ht="18" customHeight="1" x14ac:dyDescent="0.35">
      <c r="X130" s="62"/>
      <c r="Y130" s="62"/>
      <c r="Z130" s="62"/>
      <c r="AA130" s="62"/>
      <c r="AB130" s="62"/>
    </row>
    <row r="131" spans="24:28" ht="18" customHeight="1" x14ac:dyDescent="0.35">
      <c r="X131" s="62"/>
      <c r="Y131" s="62"/>
      <c r="Z131" s="62"/>
      <c r="AA131" s="62"/>
      <c r="AB131" s="62"/>
    </row>
    <row r="132" spans="24:28" ht="18" customHeight="1" x14ac:dyDescent="0.35">
      <c r="X132" s="62"/>
      <c r="Y132" s="62"/>
      <c r="Z132" s="62"/>
      <c r="AA132" s="62"/>
      <c r="AB132" s="62"/>
    </row>
    <row r="133" spans="24:28" ht="18" customHeight="1" x14ac:dyDescent="0.35">
      <c r="X133" s="62"/>
      <c r="Y133" s="62"/>
      <c r="Z133" s="62"/>
      <c r="AA133" s="62"/>
      <c r="AB133" s="62"/>
    </row>
    <row r="134" spans="24:28" ht="18" customHeight="1" x14ac:dyDescent="0.35">
      <c r="X134" s="62"/>
      <c r="Y134" s="62"/>
      <c r="Z134" s="62"/>
      <c r="AA134" s="62"/>
      <c r="AB134" s="62"/>
    </row>
    <row r="135" spans="24:28" ht="18" customHeight="1" x14ac:dyDescent="0.35">
      <c r="X135" s="62"/>
      <c r="Y135" s="62"/>
      <c r="Z135" s="62"/>
      <c r="AA135" s="62"/>
      <c r="AB135" s="62"/>
    </row>
    <row r="136" spans="24:28" ht="18" customHeight="1" x14ac:dyDescent="0.35">
      <c r="X136" s="62"/>
      <c r="Y136" s="62"/>
      <c r="Z136" s="62"/>
      <c r="AA136" s="62"/>
      <c r="AB136" s="62"/>
    </row>
    <row r="137" spans="24:28" ht="18" customHeight="1" x14ac:dyDescent="0.35">
      <c r="X137" s="62"/>
      <c r="Y137" s="62"/>
      <c r="Z137" s="62"/>
      <c r="AA137" s="62"/>
      <c r="AB137" s="62"/>
    </row>
    <row r="138" spans="24:28" ht="18" customHeight="1" x14ac:dyDescent="0.35">
      <c r="X138" s="62"/>
      <c r="Y138" s="62"/>
      <c r="Z138" s="62"/>
      <c r="AA138" s="62"/>
      <c r="AB138" s="62"/>
    </row>
    <row r="139" spans="24:28" ht="18" customHeight="1" x14ac:dyDescent="0.35">
      <c r="X139" s="62"/>
      <c r="Y139" s="62"/>
      <c r="Z139" s="62"/>
      <c r="AA139" s="62"/>
      <c r="AB139" s="62"/>
    </row>
    <row r="140" spans="24:28" ht="18" customHeight="1" x14ac:dyDescent="0.35">
      <c r="X140" s="62"/>
      <c r="Y140" s="62"/>
      <c r="Z140" s="62"/>
      <c r="AA140" s="62"/>
      <c r="AB140" s="62"/>
    </row>
    <row r="141" spans="24:28" ht="18" customHeight="1" x14ac:dyDescent="0.35">
      <c r="X141" s="62"/>
      <c r="Y141" s="62"/>
      <c r="Z141" s="62"/>
      <c r="AA141" s="62"/>
      <c r="AB141" s="62"/>
    </row>
    <row r="142" spans="24:28" ht="18" customHeight="1" x14ac:dyDescent="0.35">
      <c r="X142" s="62"/>
      <c r="Y142" s="62"/>
      <c r="Z142" s="62"/>
      <c r="AA142" s="62"/>
      <c r="AB142" s="62"/>
    </row>
    <row r="143" spans="24:28" ht="18" customHeight="1" x14ac:dyDescent="0.35">
      <c r="X143" s="62"/>
      <c r="Y143" s="62"/>
      <c r="Z143" s="62"/>
      <c r="AA143" s="62"/>
      <c r="AB143" s="62"/>
    </row>
    <row r="144" spans="24:28" ht="18" customHeight="1" x14ac:dyDescent="0.35">
      <c r="X144" s="62"/>
      <c r="Y144" s="62"/>
      <c r="Z144" s="62"/>
      <c r="AA144" s="62"/>
      <c r="AB144" s="62"/>
    </row>
    <row r="145" spans="24:28" ht="18" customHeight="1" x14ac:dyDescent="0.35">
      <c r="X145" s="62"/>
      <c r="Y145" s="62"/>
      <c r="Z145" s="62"/>
      <c r="AA145" s="62"/>
      <c r="AB145" s="62"/>
    </row>
    <row r="146" spans="24:28" ht="18" customHeight="1" x14ac:dyDescent="0.35">
      <c r="X146" s="62"/>
      <c r="Y146" s="62"/>
      <c r="Z146" s="62"/>
      <c r="AA146" s="62"/>
      <c r="AB146" s="62"/>
    </row>
    <row r="147" spans="24:28" ht="18" customHeight="1" x14ac:dyDescent="0.35">
      <c r="X147" s="62"/>
      <c r="Y147" s="62"/>
      <c r="Z147" s="62"/>
      <c r="AA147" s="62"/>
      <c r="AB147" s="62"/>
    </row>
    <row r="148" spans="24:28" ht="18" customHeight="1" x14ac:dyDescent="0.35">
      <c r="X148" s="62"/>
      <c r="Y148" s="62"/>
      <c r="Z148" s="62"/>
      <c r="AA148" s="62"/>
      <c r="AB148" s="62"/>
    </row>
    <row r="149" spans="24:28" ht="18" customHeight="1" x14ac:dyDescent="0.35">
      <c r="X149" s="62"/>
      <c r="Y149" s="62"/>
      <c r="Z149" s="62"/>
      <c r="AA149" s="62"/>
      <c r="AB149" s="62"/>
    </row>
    <row r="150" spans="24:28" ht="18" customHeight="1" x14ac:dyDescent="0.35">
      <c r="X150" s="62"/>
      <c r="Y150" s="62"/>
      <c r="Z150" s="62"/>
      <c r="AA150" s="62"/>
      <c r="AB150" s="62"/>
    </row>
    <row r="151" spans="24:28" ht="18" customHeight="1" x14ac:dyDescent="0.35">
      <c r="X151" s="62"/>
      <c r="Y151" s="62"/>
      <c r="Z151" s="62"/>
      <c r="AA151" s="62"/>
      <c r="AB151" s="62"/>
    </row>
    <row r="152" spans="24:28" ht="18" customHeight="1" x14ac:dyDescent="0.35">
      <c r="X152" s="62"/>
      <c r="Y152" s="62"/>
      <c r="Z152" s="62"/>
      <c r="AA152" s="62"/>
      <c r="AB152" s="62"/>
    </row>
    <row r="153" spans="24:28" ht="18" customHeight="1" x14ac:dyDescent="0.35">
      <c r="X153" s="62"/>
      <c r="Y153" s="62"/>
      <c r="Z153" s="62"/>
      <c r="AA153" s="62"/>
      <c r="AB153" s="62"/>
    </row>
    <row r="154" spans="24:28" ht="18" customHeight="1" x14ac:dyDescent="0.35">
      <c r="X154" s="62"/>
      <c r="Y154" s="62"/>
      <c r="Z154" s="62"/>
      <c r="AA154" s="62"/>
      <c r="AB154" s="62"/>
    </row>
    <row r="155" spans="24:28" ht="18" customHeight="1" x14ac:dyDescent="0.35">
      <c r="X155" s="62"/>
      <c r="Y155" s="62"/>
      <c r="Z155" s="62"/>
      <c r="AA155" s="62"/>
      <c r="AB155" s="62"/>
    </row>
    <row r="156" spans="24:28" ht="18" customHeight="1" x14ac:dyDescent="0.35">
      <c r="X156" s="62"/>
      <c r="Y156" s="62"/>
      <c r="Z156" s="62"/>
      <c r="AA156" s="62"/>
      <c r="AB156" s="62"/>
    </row>
    <row r="157" spans="24:28" ht="18" customHeight="1" x14ac:dyDescent="0.35">
      <c r="X157" s="62"/>
      <c r="Y157" s="62"/>
      <c r="Z157" s="62"/>
      <c r="AA157" s="62"/>
      <c r="AB157" s="62"/>
    </row>
    <row r="158" spans="24:28" ht="18" customHeight="1" x14ac:dyDescent="0.35">
      <c r="X158" s="62"/>
      <c r="Y158" s="62"/>
      <c r="Z158" s="62"/>
      <c r="AA158" s="62"/>
      <c r="AB158" s="62"/>
    </row>
    <row r="159" spans="24:28" ht="18" customHeight="1" x14ac:dyDescent="0.35">
      <c r="X159" s="62"/>
      <c r="Y159" s="62"/>
      <c r="Z159" s="62"/>
      <c r="AA159" s="62"/>
      <c r="AB159" s="62"/>
    </row>
    <row r="160" spans="24:28" ht="18" customHeight="1" x14ac:dyDescent="0.35">
      <c r="X160" s="62"/>
      <c r="Y160" s="62"/>
      <c r="Z160" s="62"/>
      <c r="AA160" s="62"/>
      <c r="AB160" s="62"/>
    </row>
    <row r="161" spans="1:31" ht="18" customHeight="1" x14ac:dyDescent="0.35">
      <c r="X161" s="62"/>
      <c r="Y161" s="62"/>
      <c r="Z161" s="62"/>
      <c r="AA161" s="62"/>
      <c r="AB161" s="62"/>
    </row>
    <row r="162" spans="1:31" ht="18" customHeight="1" x14ac:dyDescent="0.35">
      <c r="X162" s="62"/>
      <c r="Y162" s="62"/>
      <c r="Z162" s="62"/>
      <c r="AA162" s="62"/>
      <c r="AB162" s="62"/>
    </row>
    <row r="163" spans="1:31" ht="18" customHeight="1" x14ac:dyDescent="0.35">
      <c r="X163" s="62"/>
      <c r="Y163" s="62"/>
      <c r="Z163" s="62"/>
      <c r="AA163" s="62"/>
      <c r="AB163" s="62"/>
    </row>
    <row r="164" spans="1:31" ht="18" customHeight="1" x14ac:dyDescent="0.35">
      <c r="X164" s="62"/>
      <c r="Y164" s="62"/>
      <c r="Z164" s="62"/>
      <c r="AA164" s="62"/>
      <c r="AB164" s="62"/>
    </row>
    <row r="165" spans="1:31" ht="18" customHeight="1" x14ac:dyDescent="0.35">
      <c r="X165" s="62"/>
      <c r="Y165" s="62"/>
      <c r="Z165" s="62"/>
      <c r="AA165" s="62"/>
      <c r="AB165" s="62"/>
    </row>
    <row r="166" spans="1:31" ht="18" customHeight="1" x14ac:dyDescent="0.35">
      <c r="X166" s="62"/>
      <c r="Y166" s="62"/>
      <c r="Z166" s="62"/>
      <c r="AA166" s="62"/>
      <c r="AB166" s="62"/>
    </row>
    <row r="167" spans="1:31" ht="18" customHeight="1" x14ac:dyDescent="0.35">
      <c r="X167" s="62"/>
      <c r="Y167" s="62"/>
      <c r="Z167" s="62"/>
      <c r="AA167" s="62"/>
      <c r="AB167" s="62"/>
    </row>
    <row r="168" spans="1:31" ht="18" customHeight="1" x14ac:dyDescent="0.35">
      <c r="X168" s="62"/>
      <c r="Y168" s="62"/>
      <c r="Z168" s="62"/>
      <c r="AA168" s="62"/>
      <c r="AB168" s="62"/>
    </row>
    <row r="169" spans="1:31" s="76" customFormat="1" ht="18" customHeight="1" x14ac:dyDescent="0.35">
      <c r="A169" s="62"/>
      <c r="B169" s="74"/>
      <c r="C169" s="75"/>
      <c r="D169" s="75"/>
      <c r="E169" s="75"/>
      <c r="F169" s="464"/>
      <c r="G169" s="75"/>
      <c r="H169" s="63"/>
      <c r="I169" s="63"/>
      <c r="J169" s="63"/>
      <c r="K169" s="63"/>
      <c r="L169" s="63"/>
      <c r="M169" s="63"/>
      <c r="N169" s="63"/>
      <c r="O169" s="63"/>
      <c r="P169" s="63"/>
      <c r="Q169" s="63"/>
      <c r="R169" s="63"/>
      <c r="S169" s="63"/>
      <c r="T169" s="63"/>
      <c r="U169" s="63"/>
      <c r="V169" s="63"/>
      <c r="W169" s="63"/>
      <c r="X169" s="77"/>
      <c r="Y169" s="77"/>
      <c r="Z169" s="77"/>
      <c r="AA169" s="77"/>
      <c r="AB169" s="77"/>
      <c r="AD169" s="64"/>
      <c r="AE169" s="65"/>
    </row>
    <row r="170" spans="1:31" ht="18" customHeight="1" x14ac:dyDescent="0.35">
      <c r="X170" s="62"/>
      <c r="Y170" s="62"/>
      <c r="Z170" s="62"/>
      <c r="AA170" s="62"/>
      <c r="AB170" s="62"/>
    </row>
    <row r="171" spans="1:31" s="82" customFormat="1" ht="18" customHeight="1" x14ac:dyDescent="0.35">
      <c r="A171" s="62"/>
      <c r="B171" s="74"/>
      <c r="C171" s="75"/>
      <c r="D171" s="75"/>
      <c r="E171" s="75"/>
      <c r="F171" s="464"/>
      <c r="G171" s="75"/>
      <c r="H171" s="63"/>
      <c r="I171" s="63"/>
      <c r="J171" s="63"/>
      <c r="K171" s="63"/>
      <c r="L171" s="63"/>
      <c r="M171" s="63"/>
      <c r="N171" s="63"/>
      <c r="O171" s="63"/>
      <c r="P171" s="63"/>
      <c r="Q171" s="63"/>
      <c r="R171" s="63"/>
      <c r="S171" s="63"/>
      <c r="T171" s="63"/>
      <c r="U171" s="63"/>
      <c r="V171" s="63"/>
      <c r="W171" s="63"/>
      <c r="X171" s="80"/>
      <c r="Y171" s="80"/>
      <c r="Z171" s="80"/>
      <c r="AA171" s="77"/>
      <c r="AB171" s="80"/>
      <c r="AD171" s="64"/>
      <c r="AE171" s="65"/>
    </row>
    <row r="1758" spans="1:1" ht="18" customHeight="1" x14ac:dyDescent="0.35">
      <c r="A1758" s="62" t="s">
        <v>26</v>
      </c>
    </row>
    <row r="1817" spans="1:1" ht="18" customHeight="1" x14ac:dyDescent="0.35">
      <c r="A1817" s="62" t="s">
        <v>27</v>
      </c>
    </row>
  </sheetData>
  <autoFilter ref="A7:AV27"/>
  <mergeCells count="17">
    <mergeCell ref="Z4:Z5"/>
    <mergeCell ref="T4:T5"/>
    <mergeCell ref="V4:V5"/>
    <mergeCell ref="A1:AA1"/>
    <mergeCell ref="D4:D5"/>
    <mergeCell ref="C4:C5"/>
    <mergeCell ref="F4:F5"/>
    <mergeCell ref="G4:G5"/>
    <mergeCell ref="X4:X5"/>
    <mergeCell ref="AA4:AA5"/>
    <mergeCell ref="H4:R4"/>
    <mergeCell ref="Y4:Y5"/>
    <mergeCell ref="U4:U5"/>
    <mergeCell ref="A4:B4"/>
    <mergeCell ref="E4:E5"/>
    <mergeCell ref="W4:W5"/>
    <mergeCell ref="S4:S5"/>
  </mergeCells>
  <phoneticPr fontId="2" type="noConversion"/>
  <pageMargins left="0.39370078740157483" right="0.27559055118110237" top="0.21" bottom="0.2" header="0.19685039370078741" footer="0.19685039370078741"/>
  <pageSetup paperSize="9" scale="56" firstPageNumber="9" fitToHeight="0" orientation="landscape" useFirstPageNumber="1" r:id="rId1"/>
  <headerFooter alignWithMargins="0">
    <oddFooter>&amp;C&amp;P</oddFooter>
  </headerFooter>
  <legacy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4:I10"/>
  <sheetViews>
    <sheetView workbookViewId="0">
      <selection activeCell="I5" sqref="I5"/>
    </sheetView>
  </sheetViews>
  <sheetFormatPr defaultRowHeight="12.5" x14ac:dyDescent="0.25"/>
  <cols>
    <col min="2" max="2" width="44" style="399" customWidth="1"/>
    <col min="6" max="6" width="14.81640625" customWidth="1"/>
    <col min="7" max="7" width="12.81640625" customWidth="1"/>
  </cols>
  <sheetData>
    <row r="4" spans="2:9" ht="90" x14ac:dyDescent="0.25">
      <c r="C4" s="655" t="s">
        <v>537</v>
      </c>
      <c r="D4" s="655" t="s">
        <v>530</v>
      </c>
      <c r="E4" s="655" t="s">
        <v>529</v>
      </c>
      <c r="F4" s="660" t="s">
        <v>538</v>
      </c>
      <c r="G4" s="661" t="s">
        <v>539</v>
      </c>
      <c r="I4" s="86" t="s">
        <v>540</v>
      </c>
    </row>
    <row r="5" spans="2:9" ht="31" x14ac:dyDescent="0.25">
      <c r="B5" s="295" t="s">
        <v>531</v>
      </c>
      <c r="C5" s="657">
        <v>91253</v>
      </c>
      <c r="D5" s="656">
        <v>87765</v>
      </c>
      <c r="E5" s="656">
        <v>3488</v>
      </c>
      <c r="F5" s="662">
        <v>2064.9908329999998</v>
      </c>
      <c r="G5" s="662">
        <f>E5-F5</f>
        <v>1423.0091670000002</v>
      </c>
    </row>
    <row r="6" spans="2:9" ht="15.5" x14ac:dyDescent="0.25">
      <c r="B6" s="295" t="s">
        <v>532</v>
      </c>
      <c r="C6" s="657">
        <v>29452</v>
      </c>
      <c r="D6" s="656">
        <v>28845</v>
      </c>
      <c r="E6" s="656">
        <v>607</v>
      </c>
      <c r="F6" s="662">
        <f>E6</f>
        <v>607</v>
      </c>
      <c r="G6" s="662"/>
    </row>
    <row r="7" spans="2:9" ht="31" x14ac:dyDescent="0.25">
      <c r="B7" s="295" t="s">
        <v>533</v>
      </c>
      <c r="C7" s="657">
        <v>11235</v>
      </c>
      <c r="D7" s="656">
        <v>11235</v>
      </c>
      <c r="E7" s="656">
        <v>0</v>
      </c>
      <c r="F7" s="662"/>
      <c r="G7" s="662"/>
    </row>
    <row r="8" spans="2:9" ht="31" x14ac:dyDescent="0.25">
      <c r="B8" s="658" t="s">
        <v>534</v>
      </c>
      <c r="C8" s="659">
        <v>24567</v>
      </c>
      <c r="D8" s="656">
        <v>23326</v>
      </c>
      <c r="E8" s="656">
        <v>1241</v>
      </c>
      <c r="F8" s="662"/>
      <c r="G8" s="662">
        <f>E8</f>
        <v>1241</v>
      </c>
    </row>
    <row r="9" spans="2:9" ht="46.5" x14ac:dyDescent="0.25">
      <c r="B9" s="295" t="s">
        <v>535</v>
      </c>
      <c r="C9" s="657">
        <v>93900</v>
      </c>
      <c r="D9" s="656">
        <v>93900</v>
      </c>
      <c r="E9" s="656">
        <v>0</v>
      </c>
      <c r="F9" s="662"/>
      <c r="G9" s="662"/>
    </row>
    <row r="10" spans="2:9" ht="15.5" x14ac:dyDescent="0.25">
      <c r="B10" s="295" t="s">
        <v>536</v>
      </c>
      <c r="C10" s="657">
        <v>7916</v>
      </c>
      <c r="D10" s="656">
        <v>4971</v>
      </c>
      <c r="E10" s="656">
        <v>2945</v>
      </c>
      <c r="F10" s="662"/>
      <c r="G10" s="662">
        <f>E10</f>
        <v>2945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0066"/>
  </sheetPr>
  <dimension ref="A1:G28"/>
  <sheetViews>
    <sheetView workbookViewId="0">
      <selection activeCell="D12" sqref="D12"/>
    </sheetView>
  </sheetViews>
  <sheetFormatPr defaultColWidth="9.1796875" defaultRowHeight="15.5" x14ac:dyDescent="0.35"/>
  <cols>
    <col min="1" max="1" width="12.54296875" style="106" customWidth="1"/>
    <col min="2" max="2" width="40.26953125" style="106" customWidth="1"/>
    <col min="3" max="3" width="20.453125" style="106" customWidth="1"/>
    <col min="4" max="4" width="20" style="106" customWidth="1"/>
    <col min="5" max="5" width="14" style="106" hidden="1" customWidth="1"/>
    <col min="6" max="6" width="0" style="106" hidden="1" customWidth="1"/>
    <col min="7" max="7" width="14" style="106" bestFit="1" customWidth="1"/>
    <col min="8" max="16384" width="9.1796875" style="106"/>
  </cols>
  <sheetData>
    <row r="1" spans="1:7" ht="20" x14ac:dyDescent="0.5">
      <c r="A1" s="865" t="s">
        <v>170</v>
      </c>
      <c r="B1" s="866"/>
      <c r="C1" s="866"/>
      <c r="D1" s="866"/>
    </row>
    <row r="2" spans="1:7" ht="18" x14ac:dyDescent="0.4">
      <c r="A2" s="865" t="s">
        <v>181</v>
      </c>
      <c r="B2" s="867"/>
      <c r="C2" s="867"/>
      <c r="D2" s="867"/>
    </row>
    <row r="3" spans="1:7" ht="18" x14ac:dyDescent="0.4">
      <c r="A3" s="865" t="s">
        <v>45</v>
      </c>
      <c r="B3" s="867"/>
      <c r="C3" s="867"/>
      <c r="D3" s="867"/>
    </row>
    <row r="4" spans="1:7" x14ac:dyDescent="0.35">
      <c r="A4" s="107"/>
      <c r="B4" s="108"/>
      <c r="C4" s="108"/>
      <c r="D4" s="108"/>
    </row>
    <row r="5" spans="1:7" ht="21" customHeight="1" x14ac:dyDescent="0.35">
      <c r="A5" s="868" t="s">
        <v>46</v>
      </c>
      <c r="B5" s="870" t="s">
        <v>47</v>
      </c>
      <c r="C5" s="870" t="s">
        <v>48</v>
      </c>
      <c r="D5" s="870" t="s">
        <v>49</v>
      </c>
    </row>
    <row r="6" spans="1:7" ht="21" customHeight="1" x14ac:dyDescent="0.35">
      <c r="A6" s="869"/>
      <c r="B6" s="871"/>
      <c r="C6" s="871"/>
      <c r="D6" s="871"/>
    </row>
    <row r="7" spans="1:7" ht="20.25" customHeight="1" x14ac:dyDescent="0.35">
      <c r="A7" s="109"/>
      <c r="B7" s="110" t="s">
        <v>182</v>
      </c>
      <c r="C7" s="110"/>
      <c r="D7" s="111">
        <v>65089139896</v>
      </c>
      <c r="E7" s="111">
        <f>D7/1000000</f>
        <v>65089.139896000001</v>
      </c>
    </row>
    <row r="8" spans="1:7" ht="22" customHeight="1" x14ac:dyDescent="0.35">
      <c r="A8" s="121" t="s">
        <v>202</v>
      </c>
      <c r="B8" s="122" t="s">
        <v>205</v>
      </c>
      <c r="C8" s="119"/>
      <c r="D8" s="123">
        <v>1000000000</v>
      </c>
      <c r="E8" s="120"/>
    </row>
    <row r="9" spans="1:7" ht="22" customHeight="1" x14ac:dyDescent="0.35">
      <c r="A9" s="112" t="s">
        <v>183</v>
      </c>
      <c r="B9" s="113" t="s">
        <v>184</v>
      </c>
      <c r="C9" s="114"/>
      <c r="D9" s="115">
        <v>54724561</v>
      </c>
      <c r="G9" s="108"/>
    </row>
    <row r="10" spans="1:7" ht="22" customHeight="1" x14ac:dyDescent="0.35">
      <c r="A10" s="112" t="s">
        <v>185</v>
      </c>
      <c r="B10" s="113" t="s">
        <v>186</v>
      </c>
      <c r="C10" s="114"/>
      <c r="D10" s="124">
        <v>21122140000</v>
      </c>
      <c r="E10" s="111"/>
      <c r="F10" s="108"/>
    </row>
    <row r="11" spans="1:7" ht="22" customHeight="1" x14ac:dyDescent="0.35">
      <c r="A11" s="112" t="s">
        <v>187</v>
      </c>
      <c r="B11" s="113" t="s">
        <v>188</v>
      </c>
      <c r="C11" s="114"/>
      <c r="D11" s="115">
        <v>55702232</v>
      </c>
      <c r="E11" s="111"/>
      <c r="F11" s="108"/>
    </row>
    <row r="12" spans="1:7" ht="22" customHeight="1" x14ac:dyDescent="0.35">
      <c r="A12" s="112" t="s">
        <v>189</v>
      </c>
      <c r="B12" s="113" t="s">
        <v>186</v>
      </c>
      <c r="C12" s="114"/>
      <c r="D12" s="124">
        <v>4844000000</v>
      </c>
      <c r="E12" s="111"/>
      <c r="F12" s="108"/>
    </row>
    <row r="13" spans="1:7" ht="22" customHeight="1" x14ac:dyDescent="0.35">
      <c r="A13" s="112" t="s">
        <v>178</v>
      </c>
      <c r="B13" s="113" t="s">
        <v>190</v>
      </c>
      <c r="C13" s="114"/>
      <c r="D13" s="115">
        <v>67058031</v>
      </c>
      <c r="E13" s="111">
        <f t="shared" ref="E13:E26" si="0">D13/1000000</f>
        <v>67.058031</v>
      </c>
      <c r="F13" s="108">
        <f>E13</f>
        <v>67.058031</v>
      </c>
      <c r="G13" s="108"/>
    </row>
    <row r="14" spans="1:7" ht="36" customHeight="1" x14ac:dyDescent="0.35">
      <c r="A14" s="112" t="s">
        <v>191</v>
      </c>
      <c r="B14" s="125" t="s">
        <v>192</v>
      </c>
      <c r="C14" s="115">
        <v>16076569000</v>
      </c>
      <c r="D14" s="116">
        <v>0</v>
      </c>
      <c r="E14" s="111"/>
      <c r="F14" s="108"/>
      <c r="G14" s="108"/>
    </row>
    <row r="15" spans="1:7" ht="36" customHeight="1" x14ac:dyDescent="0.35">
      <c r="A15" s="112" t="s">
        <v>242</v>
      </c>
      <c r="B15" s="125" t="s">
        <v>243</v>
      </c>
      <c r="C15" s="115"/>
      <c r="D15" s="132">
        <v>10819000000</v>
      </c>
      <c r="E15" s="111"/>
      <c r="F15" s="108"/>
      <c r="G15" s="108"/>
    </row>
    <row r="16" spans="1:7" ht="36" customHeight="1" x14ac:dyDescent="0.35">
      <c r="A16" s="112" t="s">
        <v>241</v>
      </c>
      <c r="B16" s="125" t="s">
        <v>244</v>
      </c>
      <c r="C16" s="115">
        <v>54179130000</v>
      </c>
      <c r="D16" s="116"/>
      <c r="E16" s="111"/>
      <c r="F16" s="108"/>
      <c r="G16" s="108"/>
    </row>
    <row r="17" spans="1:7" ht="22" customHeight="1" x14ac:dyDescent="0.35">
      <c r="A17" s="112"/>
      <c r="B17" s="113" t="s">
        <v>203</v>
      </c>
      <c r="C17" s="114"/>
      <c r="D17" s="116"/>
      <c r="E17" s="111"/>
      <c r="F17" s="108"/>
      <c r="G17" s="108"/>
    </row>
    <row r="18" spans="1:7" ht="34.5" customHeight="1" x14ac:dyDescent="0.35">
      <c r="A18" s="112" t="s">
        <v>245</v>
      </c>
      <c r="B18" s="125" t="s">
        <v>246</v>
      </c>
      <c r="C18" s="114"/>
      <c r="D18" s="132">
        <v>40540000000</v>
      </c>
      <c r="E18" s="111"/>
      <c r="F18" s="108"/>
      <c r="G18" s="108"/>
    </row>
    <row r="19" spans="1:7" ht="22" customHeight="1" x14ac:dyDescent="0.35">
      <c r="A19" s="112"/>
      <c r="B19" s="113" t="s">
        <v>193</v>
      </c>
      <c r="C19" s="114"/>
      <c r="D19" s="117"/>
      <c r="E19" s="111">
        <f t="shared" si="0"/>
        <v>0</v>
      </c>
      <c r="F19" s="108">
        <f t="shared" ref="F19:F25" si="1">E19</f>
        <v>0</v>
      </c>
    </row>
    <row r="20" spans="1:7" ht="22" customHeight="1" x14ac:dyDescent="0.35">
      <c r="A20" s="112"/>
      <c r="B20" s="113" t="s">
        <v>194</v>
      </c>
      <c r="C20" s="114"/>
      <c r="D20" s="115"/>
      <c r="E20" s="111">
        <f t="shared" si="0"/>
        <v>0</v>
      </c>
      <c r="F20" s="108">
        <f t="shared" si="1"/>
        <v>0</v>
      </c>
    </row>
    <row r="21" spans="1:7" ht="22" customHeight="1" x14ac:dyDescent="0.35">
      <c r="A21" s="112"/>
      <c r="B21" s="113" t="s">
        <v>195</v>
      </c>
      <c r="C21" s="114"/>
      <c r="D21" s="115"/>
      <c r="E21" s="111">
        <f t="shared" si="0"/>
        <v>0</v>
      </c>
      <c r="F21" s="108">
        <f t="shared" si="1"/>
        <v>0</v>
      </c>
    </row>
    <row r="22" spans="1:7" ht="22" customHeight="1" x14ac:dyDescent="0.35">
      <c r="A22" s="112"/>
      <c r="B22" s="113" t="s">
        <v>196</v>
      </c>
      <c r="C22" s="114"/>
      <c r="D22" s="115"/>
      <c r="E22" s="111">
        <f t="shared" si="0"/>
        <v>0</v>
      </c>
      <c r="F22" s="108">
        <f t="shared" si="1"/>
        <v>0</v>
      </c>
    </row>
    <row r="23" spans="1:7" ht="22" customHeight="1" x14ac:dyDescent="0.35">
      <c r="A23" s="112"/>
      <c r="B23" s="113" t="s">
        <v>197</v>
      </c>
      <c r="C23" s="114"/>
      <c r="D23" s="115"/>
      <c r="E23" s="111">
        <f t="shared" si="0"/>
        <v>0</v>
      </c>
      <c r="F23" s="108">
        <f t="shared" si="1"/>
        <v>0</v>
      </c>
    </row>
    <row r="24" spans="1:7" ht="22" customHeight="1" x14ac:dyDescent="0.35">
      <c r="A24" s="112"/>
      <c r="B24" s="113" t="s">
        <v>198</v>
      </c>
      <c r="C24" s="114"/>
      <c r="D24" s="115"/>
      <c r="E24" s="111">
        <f t="shared" si="0"/>
        <v>0</v>
      </c>
      <c r="F24" s="108">
        <f t="shared" si="1"/>
        <v>0</v>
      </c>
    </row>
    <row r="25" spans="1:7" ht="22" customHeight="1" x14ac:dyDescent="0.35">
      <c r="A25" s="112"/>
      <c r="B25" s="113" t="s">
        <v>199</v>
      </c>
      <c r="C25" s="114"/>
      <c r="D25" s="115"/>
      <c r="E25" s="111">
        <f t="shared" si="0"/>
        <v>0</v>
      </c>
      <c r="F25" s="108">
        <f t="shared" si="1"/>
        <v>0</v>
      </c>
    </row>
    <row r="26" spans="1:7" ht="22" customHeight="1" x14ac:dyDescent="0.35">
      <c r="A26" s="112"/>
      <c r="B26" s="113" t="s">
        <v>200</v>
      </c>
      <c r="C26" s="114"/>
      <c r="D26" s="117"/>
      <c r="E26" s="111">
        <f t="shared" si="0"/>
        <v>0</v>
      </c>
      <c r="F26" s="108">
        <f>E26-3178</f>
        <v>-3178</v>
      </c>
    </row>
    <row r="27" spans="1:7" ht="24.75" customHeight="1" x14ac:dyDescent="0.35">
      <c r="A27" s="109"/>
      <c r="B27" s="110" t="s">
        <v>204</v>
      </c>
      <c r="C27" s="118">
        <f>SUM(C9:C26)</f>
        <v>70255699000</v>
      </c>
      <c r="D27" s="118">
        <f>SUM(D8:D26)</f>
        <v>78502624824</v>
      </c>
      <c r="E27" s="111">
        <f>D27/1000000</f>
        <v>78502.624823999999</v>
      </c>
      <c r="F27" s="108">
        <f>SUM(F10:F26)</f>
        <v>-3110.941969</v>
      </c>
    </row>
    <row r="28" spans="1:7" ht="24.75" customHeight="1" x14ac:dyDescent="0.35">
      <c r="A28" s="109"/>
      <c r="B28" s="110" t="s">
        <v>201</v>
      </c>
      <c r="C28" s="110"/>
      <c r="D28" s="118">
        <f>D7+D27-C27</f>
        <v>73336065720</v>
      </c>
      <c r="E28" s="108">
        <f>E27+E7</f>
        <v>143591.76472000001</v>
      </c>
    </row>
  </sheetData>
  <mergeCells count="7">
    <mergeCell ref="A1:D1"/>
    <mergeCell ref="A2:D2"/>
    <mergeCell ref="A3:D3"/>
    <mergeCell ref="A5:A6"/>
    <mergeCell ref="B5:B6"/>
    <mergeCell ref="C5:C6"/>
    <mergeCell ref="D5:D6"/>
  </mergeCells>
  <pageMargins left="0.55000000000000004" right="0.45" top="0.5600000000000000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00B050"/>
  </sheetPr>
  <dimension ref="A1:M24"/>
  <sheetViews>
    <sheetView workbookViewId="0">
      <pane xSplit="5" ySplit="4" topLeftCell="F8" activePane="bottomRight" state="frozen"/>
      <selection pane="topRight" activeCell="E1" sqref="E1"/>
      <selection pane="bottomLeft" activeCell="A5" sqref="A5"/>
      <selection pane="bottomRight" activeCell="C14" sqref="C14"/>
    </sheetView>
  </sheetViews>
  <sheetFormatPr defaultColWidth="9.1796875" defaultRowHeight="15.5" x14ac:dyDescent="0.35"/>
  <cols>
    <col min="1" max="1" width="6.1796875" style="5" customWidth="1"/>
    <col min="2" max="2" width="13.26953125" style="5" customWidth="1"/>
    <col min="3" max="3" width="12.81640625" style="6" customWidth="1"/>
    <col min="4" max="4" width="8.81640625" style="6" hidden="1" customWidth="1"/>
    <col min="5" max="5" width="34.54296875" style="4" customWidth="1"/>
    <col min="6" max="6" width="14.1796875" style="4" customWidth="1"/>
    <col min="7" max="7" width="12.81640625" style="4" customWidth="1"/>
    <col min="8" max="8" width="11.1796875" style="10" customWidth="1"/>
    <col min="9" max="9" width="14.54296875" style="4" hidden="1" customWidth="1"/>
    <col min="10" max="10" width="38.26953125" style="4" customWidth="1"/>
    <col min="11" max="12" width="18.1796875" style="4" customWidth="1"/>
    <col min="13" max="13" width="24.81640625" style="4" customWidth="1"/>
    <col min="14" max="16384" width="9.1796875" style="4"/>
  </cols>
  <sheetData>
    <row r="1" spans="1:12" ht="30" customHeight="1" x14ac:dyDescent="0.35">
      <c r="A1" s="932" t="s">
        <v>452</v>
      </c>
      <c r="B1" s="932"/>
      <c r="C1" s="932"/>
      <c r="D1" s="932"/>
      <c r="E1" s="932"/>
      <c r="F1" s="932"/>
      <c r="G1" s="932"/>
      <c r="H1" s="932"/>
      <c r="I1" s="932"/>
      <c r="J1" s="932"/>
    </row>
    <row r="2" spans="1:12" ht="17.149999999999999" customHeight="1" x14ac:dyDescent="0.35">
      <c r="G2" s="933" t="s">
        <v>385</v>
      </c>
      <c r="H2" s="933"/>
      <c r="I2" s="933"/>
      <c r="J2" s="933"/>
    </row>
    <row r="3" spans="1:12" ht="43" customHeight="1" x14ac:dyDescent="0.35">
      <c r="A3" s="934" t="s">
        <v>0</v>
      </c>
      <c r="B3" s="936" t="s">
        <v>41</v>
      </c>
      <c r="C3" s="938" t="s">
        <v>12</v>
      </c>
      <c r="D3" s="938" t="s">
        <v>44</v>
      </c>
      <c r="E3" s="934" t="s">
        <v>13</v>
      </c>
      <c r="F3" s="940" t="s">
        <v>14</v>
      </c>
      <c r="G3" s="940" t="s">
        <v>15</v>
      </c>
      <c r="H3" s="942" t="s">
        <v>16</v>
      </c>
      <c r="I3" s="940" t="s">
        <v>17</v>
      </c>
      <c r="J3" s="934" t="s">
        <v>2</v>
      </c>
    </row>
    <row r="4" spans="1:12" ht="21" customHeight="1" x14ac:dyDescent="0.35">
      <c r="A4" s="935"/>
      <c r="B4" s="937"/>
      <c r="C4" s="939"/>
      <c r="D4" s="939"/>
      <c r="E4" s="935"/>
      <c r="F4" s="941"/>
      <c r="G4" s="941"/>
      <c r="H4" s="943"/>
      <c r="I4" s="941"/>
      <c r="J4" s="935"/>
    </row>
    <row r="5" spans="1:12" s="7" customFormat="1" ht="20.149999999999999" customHeight="1" x14ac:dyDescent="0.3">
      <c r="A5" s="927" t="s">
        <v>18</v>
      </c>
      <c r="B5" s="928"/>
      <c r="C5" s="928"/>
      <c r="D5" s="928"/>
      <c r="E5" s="929"/>
      <c r="F5" s="386"/>
      <c r="G5" s="386"/>
      <c r="H5" s="386"/>
      <c r="I5" s="387"/>
      <c r="J5" s="388"/>
      <c r="K5" s="329">
        <f>F5-G5</f>
        <v>0</v>
      </c>
      <c r="L5" s="329"/>
    </row>
    <row r="6" spans="1:12" ht="34.5" customHeight="1" x14ac:dyDescent="0.35">
      <c r="A6" s="304"/>
      <c r="B6" s="384"/>
      <c r="C6" s="385"/>
      <c r="D6" s="304"/>
      <c r="E6" s="455" t="s">
        <v>404</v>
      </c>
      <c r="F6" s="456">
        <f>F7+F8+F9+F10</f>
        <v>4519.5200000000004</v>
      </c>
      <c r="G6" s="456">
        <f>G7+G8+G9+G10</f>
        <v>2847.683</v>
      </c>
      <c r="H6" s="456">
        <f>H7+H8+H9+H10</f>
        <v>1671.8370000000004</v>
      </c>
      <c r="I6" s="384"/>
      <c r="J6" s="384"/>
    </row>
    <row r="7" spans="1:12" s="98" customFormat="1" ht="60" customHeight="1" x14ac:dyDescent="0.4">
      <c r="A7" s="376"/>
      <c r="B7" s="448" t="s">
        <v>402</v>
      </c>
      <c r="C7" s="299">
        <v>44887</v>
      </c>
      <c r="D7" s="376"/>
      <c r="E7" s="377" t="s">
        <v>456</v>
      </c>
      <c r="F7" s="413">
        <v>4519.5200000000004</v>
      </c>
      <c r="G7" s="296">
        <f>815.6+2032.083</f>
        <v>2847.683</v>
      </c>
      <c r="H7" s="413">
        <f>F7-G7</f>
        <v>1671.8370000000004</v>
      </c>
      <c r="I7" s="449"/>
      <c r="J7" s="450" t="s">
        <v>463</v>
      </c>
      <c r="L7" s="446">
        <v>2032.0830000000001</v>
      </c>
    </row>
    <row r="8" spans="1:12" s="98" customFormat="1" hidden="1" x14ac:dyDescent="0.35">
      <c r="A8" s="376"/>
      <c r="B8" s="930"/>
      <c r="C8" s="299"/>
      <c r="D8" s="442"/>
      <c r="E8" s="377"/>
      <c r="F8" s="413"/>
      <c r="G8" s="413"/>
      <c r="H8" s="447"/>
      <c r="I8" s="449"/>
      <c r="J8" s="450"/>
    </row>
    <row r="9" spans="1:12" hidden="1" x14ac:dyDescent="0.35">
      <c r="A9" s="376"/>
      <c r="B9" s="931"/>
      <c r="C9" s="414"/>
      <c r="D9" s="97"/>
      <c r="E9" s="295"/>
      <c r="F9" s="296"/>
      <c r="G9" s="296"/>
      <c r="H9" s="447"/>
      <c r="I9" s="454"/>
      <c r="J9" s="450"/>
    </row>
    <row r="10" spans="1:12" hidden="1" x14ac:dyDescent="0.35">
      <c r="A10" s="376"/>
      <c r="B10" s="451"/>
      <c r="C10" s="452"/>
      <c r="D10" s="293"/>
      <c r="E10" s="453"/>
      <c r="F10" s="296"/>
      <c r="G10" s="296"/>
      <c r="H10" s="296"/>
      <c r="I10" s="451"/>
      <c r="J10" s="450"/>
    </row>
    <row r="11" spans="1:12" ht="28.5" customHeight="1" x14ac:dyDescent="0.35">
      <c r="A11" s="283"/>
      <c r="B11" s="307"/>
      <c r="C11" s="327"/>
      <c r="D11" s="283"/>
      <c r="E11" s="457" t="s">
        <v>614</v>
      </c>
      <c r="F11" s="326"/>
      <c r="G11" s="326"/>
      <c r="H11" s="326"/>
      <c r="I11" s="307"/>
      <c r="J11" s="372"/>
    </row>
    <row r="12" spans="1:12" x14ac:dyDescent="0.35">
      <c r="A12" s="376"/>
      <c r="B12" s="459"/>
      <c r="C12" s="462"/>
      <c r="D12" s="460"/>
      <c r="E12" s="458"/>
      <c r="F12" s="461"/>
      <c r="G12" s="97"/>
      <c r="H12" s="97"/>
      <c r="I12" s="324"/>
      <c r="J12" s="450"/>
    </row>
    <row r="13" spans="1:12" x14ac:dyDescent="0.35">
      <c r="A13" s="376"/>
      <c r="B13" s="459"/>
      <c r="C13" s="462"/>
      <c r="D13" s="460"/>
      <c r="E13" s="458"/>
      <c r="F13" s="461"/>
      <c r="G13" s="97"/>
      <c r="H13" s="97"/>
      <c r="I13" s="324"/>
      <c r="J13" s="449"/>
    </row>
    <row r="14" spans="1:12" s="678" customFormat="1" ht="48" customHeight="1" x14ac:dyDescent="0.4">
      <c r="A14" s="671"/>
      <c r="B14" s="670" t="s">
        <v>546</v>
      </c>
      <c r="C14" s="673">
        <v>45289</v>
      </c>
      <c r="D14" s="674"/>
      <c r="E14" s="675" t="s">
        <v>547</v>
      </c>
      <c r="F14" s="676">
        <v>105056</v>
      </c>
      <c r="G14" s="676">
        <v>79455</v>
      </c>
      <c r="H14" s="676">
        <f>F14-G14</f>
        <v>25601</v>
      </c>
      <c r="I14" s="672"/>
      <c r="J14" s="677" t="s">
        <v>550</v>
      </c>
    </row>
    <row r="15" spans="1:12" s="678" customFormat="1" ht="37.5" customHeight="1" x14ac:dyDescent="0.35">
      <c r="A15" s="679"/>
      <c r="B15" s="670" t="s">
        <v>551</v>
      </c>
      <c r="C15" s="680">
        <v>45289</v>
      </c>
      <c r="D15" s="671"/>
      <c r="E15" s="681" t="s">
        <v>548</v>
      </c>
      <c r="F15" s="676">
        <v>120000</v>
      </c>
      <c r="G15" s="676">
        <f>F15</f>
        <v>120000</v>
      </c>
      <c r="H15" s="676"/>
      <c r="I15" s="672"/>
      <c r="J15" s="677" t="s">
        <v>549</v>
      </c>
    </row>
    <row r="16" spans="1:12" ht="33.75" customHeight="1" x14ac:dyDescent="0.35">
      <c r="A16" s="454"/>
      <c r="B16" s="668"/>
      <c r="C16" s="669"/>
      <c r="D16" s="283"/>
      <c r="E16" s="325"/>
      <c r="F16" s="326"/>
      <c r="G16" s="326"/>
      <c r="H16" s="326"/>
      <c r="I16" s="307"/>
      <c r="J16" s="368"/>
    </row>
    <row r="17" spans="1:13" s="98" customFormat="1" ht="52.5" customHeight="1" x14ac:dyDescent="0.35">
      <c r="A17" s="367"/>
      <c r="B17" s="368"/>
      <c r="C17" s="369"/>
      <c r="D17" s="367"/>
      <c r="E17" s="370"/>
      <c r="F17" s="371"/>
      <c r="G17" s="371"/>
      <c r="H17" s="371"/>
      <c r="I17" s="368"/>
      <c r="J17" s="368"/>
    </row>
    <row r="18" spans="1:13" s="98" customFormat="1" ht="60" customHeight="1" x14ac:dyDescent="0.35">
      <c r="A18" s="367"/>
      <c r="B18" s="368"/>
      <c r="C18" s="369"/>
      <c r="D18" s="367"/>
      <c r="E18" s="370"/>
      <c r="F18" s="371"/>
      <c r="G18" s="371"/>
      <c r="H18" s="371"/>
      <c r="I18" s="368"/>
      <c r="J18" s="368"/>
    </row>
    <row r="19" spans="1:13" s="98" customFormat="1" ht="49.5" customHeight="1" x14ac:dyDescent="0.35">
      <c r="A19" s="367"/>
      <c r="B19" s="368"/>
      <c r="C19" s="369"/>
      <c r="D19" s="367"/>
      <c r="E19" s="370"/>
      <c r="F19" s="371"/>
      <c r="G19" s="371"/>
      <c r="H19" s="371"/>
      <c r="I19" s="368"/>
      <c r="J19" s="368"/>
      <c r="M19" s="401"/>
    </row>
    <row r="20" spans="1:13" s="98" customFormat="1" ht="49.5" customHeight="1" x14ac:dyDescent="0.35">
      <c r="A20" s="367"/>
      <c r="B20" s="308"/>
      <c r="C20" s="309"/>
      <c r="D20" s="367"/>
      <c r="E20" s="310"/>
      <c r="F20" s="371"/>
      <c r="G20" s="371"/>
      <c r="H20" s="371"/>
      <c r="I20" s="368"/>
      <c r="J20" s="368"/>
    </row>
    <row r="21" spans="1:13" s="98" customFormat="1" ht="54" customHeight="1" x14ac:dyDescent="0.35">
      <c r="A21" s="367"/>
      <c r="B21" s="308"/>
      <c r="C21" s="309"/>
      <c r="D21" s="367"/>
      <c r="E21" s="310"/>
      <c r="F21" s="371"/>
      <c r="G21" s="371"/>
      <c r="H21" s="371"/>
      <c r="I21" s="368"/>
      <c r="J21" s="368"/>
    </row>
    <row r="22" spans="1:13" s="98" customFormat="1" ht="56.25" customHeight="1" x14ac:dyDescent="0.35">
      <c r="A22" s="376"/>
      <c r="B22" s="308"/>
      <c r="C22" s="309"/>
      <c r="D22" s="376"/>
      <c r="E22" s="310"/>
      <c r="F22" s="97"/>
      <c r="G22" s="304"/>
      <c r="H22" s="97"/>
      <c r="I22" s="374"/>
      <c r="J22" s="374"/>
    </row>
    <row r="23" spans="1:13" ht="44.5" customHeight="1" x14ac:dyDescent="0.35">
      <c r="A23" s="373"/>
      <c r="B23" s="373"/>
      <c r="C23" s="381"/>
      <c r="D23" s="382"/>
      <c r="E23" s="383"/>
      <c r="F23" s="373"/>
      <c r="G23" s="373"/>
      <c r="H23" s="373"/>
      <c r="I23" s="373"/>
      <c r="J23" s="373"/>
    </row>
    <row r="24" spans="1:13" ht="21" customHeight="1" x14ac:dyDescent="0.35"/>
  </sheetData>
  <mergeCells count="14">
    <mergeCell ref="A5:E5"/>
    <mergeCell ref="B8:B9"/>
    <mergeCell ref="A1:J1"/>
    <mergeCell ref="G2:J2"/>
    <mergeCell ref="A3:A4"/>
    <mergeCell ref="B3:B4"/>
    <mergeCell ref="C3:C4"/>
    <mergeCell ref="E3:E4"/>
    <mergeCell ref="D3:D4"/>
    <mergeCell ref="F3:F4"/>
    <mergeCell ref="G3:G4"/>
    <mergeCell ref="H3:H4"/>
    <mergeCell ref="I3:I4"/>
    <mergeCell ref="J3:J4"/>
  </mergeCells>
  <phoneticPr fontId="2" type="noConversion"/>
  <pageMargins left="0.25" right="0.25" top="0.75" bottom="0.75" header="0.3" footer="0.3"/>
  <pageSetup paperSize="9" orientation="landscape"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zoomScale="145" zoomScaleNormal="145" workbookViewId="0">
      <selection activeCell="E21" sqref="E21"/>
    </sheetView>
  </sheetViews>
  <sheetFormatPr defaultRowHeight="12.5" x14ac:dyDescent="0.25"/>
  <cols>
    <col min="2" max="2" width="50.453125" style="682" customWidth="1"/>
    <col min="3" max="3" width="11.81640625" bestFit="1" customWidth="1"/>
    <col min="5" max="5" width="33.7265625" customWidth="1"/>
  </cols>
  <sheetData>
    <row r="1" spans="1:10" ht="13" x14ac:dyDescent="0.3">
      <c r="C1" s="478" t="s">
        <v>3</v>
      </c>
    </row>
    <row r="2" spans="1:10" s="697" customFormat="1" ht="15.5" x14ac:dyDescent="0.35">
      <c r="A2" s="694">
        <v>1</v>
      </c>
      <c r="B2" s="695" t="s">
        <v>560</v>
      </c>
      <c r="C2" s="696">
        <v>2.9594479999999996</v>
      </c>
      <c r="E2" s="710" t="s">
        <v>568</v>
      </c>
    </row>
    <row r="3" spans="1:10" s="686" customFormat="1" ht="15.5" x14ac:dyDescent="0.35">
      <c r="A3" s="685" t="s">
        <v>466</v>
      </c>
      <c r="B3" s="687" t="s">
        <v>552</v>
      </c>
      <c r="C3" s="688">
        <v>2.5154479999999997</v>
      </c>
      <c r="E3" s="711"/>
    </row>
    <row r="4" spans="1:10" s="686" customFormat="1" ht="15.5" x14ac:dyDescent="0.35">
      <c r="A4" s="685" t="s">
        <v>466</v>
      </c>
      <c r="B4" s="687" t="s">
        <v>553</v>
      </c>
      <c r="C4" s="688">
        <v>0.44400000000000001</v>
      </c>
      <c r="E4" s="711"/>
    </row>
    <row r="5" spans="1:10" s="697" customFormat="1" ht="15.5" x14ac:dyDescent="0.35">
      <c r="A5" s="694">
        <v>2</v>
      </c>
      <c r="B5" s="698" t="s">
        <v>567</v>
      </c>
      <c r="C5" s="699">
        <v>1903.4140269999998</v>
      </c>
      <c r="D5" s="700"/>
      <c r="E5" s="710" t="s">
        <v>569</v>
      </c>
    </row>
    <row r="6" spans="1:10" s="686" customFormat="1" ht="15.5" x14ac:dyDescent="0.35">
      <c r="A6" s="689"/>
      <c r="B6" s="690" t="s">
        <v>119</v>
      </c>
      <c r="C6" s="684">
        <v>182.94766999999999</v>
      </c>
      <c r="D6" s="63"/>
      <c r="E6" s="64"/>
    </row>
    <row r="7" spans="1:10" s="686" customFormat="1" ht="15.5" x14ac:dyDescent="0.35">
      <c r="A7" s="685" t="s">
        <v>466</v>
      </c>
      <c r="B7" s="691" t="s">
        <v>557</v>
      </c>
      <c r="C7" s="692">
        <v>171.537644</v>
      </c>
      <c r="D7" s="63"/>
      <c r="E7" s="64"/>
    </row>
    <row r="8" spans="1:10" s="686" customFormat="1" ht="15.5" x14ac:dyDescent="0.35">
      <c r="A8" s="685" t="s">
        <v>466</v>
      </c>
      <c r="B8" s="693" t="s">
        <v>559</v>
      </c>
      <c r="C8" s="692">
        <v>11.410026</v>
      </c>
      <c r="D8" s="63"/>
      <c r="E8" s="64"/>
    </row>
    <row r="9" spans="1:10" s="686" customFormat="1" ht="15.5" x14ac:dyDescent="0.35">
      <c r="A9" s="689"/>
      <c r="B9" s="690" t="s">
        <v>554</v>
      </c>
      <c r="C9" s="684">
        <v>1720.4663569999998</v>
      </c>
      <c r="D9" s="63"/>
      <c r="E9" s="64"/>
    </row>
    <row r="10" spans="1:10" s="686" customFormat="1" ht="15.5" x14ac:dyDescent="0.35">
      <c r="A10" s="685" t="s">
        <v>466</v>
      </c>
      <c r="B10" s="691" t="s">
        <v>557</v>
      </c>
      <c r="C10" s="692">
        <v>28.027577000000001</v>
      </c>
      <c r="D10" s="63"/>
      <c r="E10" s="64"/>
    </row>
    <row r="11" spans="1:10" s="686" customFormat="1" ht="15.5" x14ac:dyDescent="0.35">
      <c r="A11" s="685" t="s">
        <v>466</v>
      </c>
      <c r="B11" s="693" t="s">
        <v>558</v>
      </c>
      <c r="C11" s="692">
        <v>1664.0711689999998</v>
      </c>
      <c r="D11" s="63"/>
      <c r="E11" s="64"/>
    </row>
    <row r="12" spans="1:10" s="686" customFormat="1" ht="15.5" x14ac:dyDescent="0.35">
      <c r="A12" s="685" t="s">
        <v>466</v>
      </c>
      <c r="B12" s="693" t="s">
        <v>555</v>
      </c>
      <c r="C12" s="692">
        <v>28.367611000000011</v>
      </c>
      <c r="D12" s="63"/>
      <c r="E12" s="64"/>
    </row>
    <row r="13" spans="1:10" s="697" customFormat="1" ht="39.5" x14ac:dyDescent="0.35">
      <c r="A13" s="701">
        <v>3</v>
      </c>
      <c r="B13" s="702" t="s">
        <v>541</v>
      </c>
      <c r="C13" s="703">
        <v>17516</v>
      </c>
      <c r="D13" s="704"/>
      <c r="E13" s="712" t="s">
        <v>566</v>
      </c>
      <c r="G13" s="704"/>
      <c r="H13" s="704"/>
      <c r="I13" s="700"/>
      <c r="J13" s="700"/>
    </row>
    <row r="14" spans="1:10" s="697" customFormat="1" ht="39" x14ac:dyDescent="0.3">
      <c r="A14" s="705">
        <v>4</v>
      </c>
      <c r="B14" s="702" t="s">
        <v>561</v>
      </c>
      <c r="C14" s="703">
        <v>590.00000000001455</v>
      </c>
      <c r="D14" s="704" t="s">
        <v>565</v>
      </c>
      <c r="E14" s="706" t="s">
        <v>562</v>
      </c>
      <c r="F14" s="707"/>
      <c r="G14" s="707">
        <v>15322.478999999999</v>
      </c>
    </row>
    <row r="15" spans="1:10" ht="15" x14ac:dyDescent="0.3">
      <c r="B15" s="683"/>
      <c r="C15" s="70"/>
      <c r="D15" s="70"/>
      <c r="E15" s="706" t="s">
        <v>563</v>
      </c>
      <c r="F15" s="707"/>
      <c r="G15" s="707" t="e">
        <f>#REF!</f>
        <v>#REF!</v>
      </c>
    </row>
    <row r="16" spans="1:10" ht="13" x14ac:dyDescent="0.3">
      <c r="E16" s="706" t="s">
        <v>564</v>
      </c>
      <c r="F16" s="708"/>
      <c r="G16" s="709" t="e">
        <f>G14-G15</f>
        <v>#REF!</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Y59"/>
  <sheetViews>
    <sheetView zoomScaleNormal="100" workbookViewId="0">
      <selection sqref="A1:XFD1048576"/>
    </sheetView>
  </sheetViews>
  <sheetFormatPr defaultRowHeight="12.5" x14ac:dyDescent="0.25"/>
  <cols>
    <col min="2" max="2" width="22.7265625" customWidth="1"/>
    <col min="4" max="5" width="9.1796875" style="83"/>
    <col min="8" max="8" width="4.81640625" customWidth="1"/>
    <col min="9" max="9" width="46" customWidth="1"/>
    <col min="10" max="10" width="13.81640625" hidden="1" customWidth="1"/>
    <col min="11" max="11" width="12" customWidth="1"/>
    <col min="12" max="12" width="12" hidden="1" customWidth="1"/>
    <col min="13" max="13" width="12.453125" customWidth="1"/>
    <col min="14" max="14" width="11.7265625" customWidth="1"/>
    <col min="15" max="15" width="12.54296875" customWidth="1"/>
    <col min="16" max="16" width="10.7265625" customWidth="1"/>
    <col min="18" max="18" width="10.81640625" customWidth="1"/>
    <col min="21" max="21" width="3.54296875" customWidth="1"/>
  </cols>
  <sheetData>
    <row r="1" spans="1:5" ht="14" x14ac:dyDescent="0.3">
      <c r="A1" s="580"/>
      <c r="B1" s="580"/>
      <c r="C1" s="580"/>
      <c r="D1" s="713"/>
      <c r="E1" s="713"/>
    </row>
    <row r="2" spans="1:5" ht="98" x14ac:dyDescent="0.3">
      <c r="A2" s="580"/>
      <c r="B2" s="715" t="s">
        <v>496</v>
      </c>
      <c r="C2" s="714" t="s">
        <v>497</v>
      </c>
      <c r="D2" s="716" t="s">
        <v>570</v>
      </c>
      <c r="E2" s="716" t="s">
        <v>498</v>
      </c>
    </row>
    <row r="3" spans="1:5" ht="14" x14ac:dyDescent="0.3">
      <c r="A3" s="580"/>
      <c r="B3" s="715" t="s">
        <v>571</v>
      </c>
      <c r="C3" s="714"/>
      <c r="D3" s="717">
        <f>D4+D5+D6</f>
        <v>43250</v>
      </c>
      <c r="E3" s="717">
        <f>E4+E5+E6</f>
        <v>41550</v>
      </c>
    </row>
    <row r="4" spans="1:5" ht="14" x14ac:dyDescent="0.3">
      <c r="A4" s="581">
        <v>84800</v>
      </c>
      <c r="B4" s="582" t="s">
        <v>499</v>
      </c>
      <c r="C4" s="583">
        <v>35846</v>
      </c>
      <c r="D4" s="584">
        <v>3950</v>
      </c>
      <c r="E4" s="584">
        <v>31896</v>
      </c>
    </row>
    <row r="5" spans="1:5" ht="14" x14ac:dyDescent="0.3">
      <c r="A5" s="582"/>
      <c r="B5" s="582" t="s">
        <v>500</v>
      </c>
      <c r="C5" s="583">
        <v>43629</v>
      </c>
      <c r="D5" s="584">
        <v>39300</v>
      </c>
      <c r="E5" s="584">
        <v>4329</v>
      </c>
    </row>
    <row r="6" spans="1:5" ht="14" x14ac:dyDescent="0.3">
      <c r="A6" s="582"/>
      <c r="B6" s="582" t="s">
        <v>501</v>
      </c>
      <c r="C6" s="583">
        <v>5325</v>
      </c>
      <c r="D6" s="584">
        <v>0</v>
      </c>
      <c r="E6" s="584">
        <v>5325</v>
      </c>
    </row>
    <row r="8" spans="1:5" hidden="1" x14ac:dyDescent="0.25"/>
    <row r="11" spans="1:5" hidden="1" x14ac:dyDescent="0.25"/>
    <row r="12" spans="1:5" ht="25" x14ac:dyDescent="0.25">
      <c r="D12" s="719" t="s">
        <v>574</v>
      </c>
    </row>
    <row r="13" spans="1:5" ht="28" x14ac:dyDescent="0.3">
      <c r="B13" s="718" t="s">
        <v>572</v>
      </c>
      <c r="D13" s="584">
        <v>39300</v>
      </c>
    </row>
    <row r="14" spans="1:5" ht="28" x14ac:dyDescent="0.3">
      <c r="B14" s="718" t="s">
        <v>573</v>
      </c>
      <c r="D14" s="584">
        <v>3950</v>
      </c>
    </row>
    <row r="15" spans="1:5" ht="28" x14ac:dyDescent="0.3">
      <c r="B15" s="718" t="s">
        <v>575</v>
      </c>
      <c r="E15" s="584">
        <v>4300</v>
      </c>
    </row>
    <row r="16" spans="1:5" ht="14" x14ac:dyDescent="0.25">
      <c r="E16" s="584">
        <v>37250</v>
      </c>
    </row>
    <row r="20" spans="8:17" x14ac:dyDescent="0.25">
      <c r="K20" s="11"/>
      <c r="L20" s="11"/>
      <c r="M20" s="955" t="s">
        <v>577</v>
      </c>
      <c r="N20" s="955"/>
      <c r="O20" s="722" t="s">
        <v>578</v>
      </c>
    </row>
    <row r="21" spans="8:17" ht="15" x14ac:dyDescent="0.25">
      <c r="H21" s="337">
        <v>1</v>
      </c>
      <c r="I21" s="344" t="s">
        <v>207</v>
      </c>
      <c r="J21" s="421">
        <f>SUM(J22:J26)+J31</f>
        <v>729655</v>
      </c>
      <c r="K21" s="421">
        <f>SUM(K22:K26)+K31</f>
        <v>766905</v>
      </c>
      <c r="L21" s="421"/>
      <c r="M21" s="421">
        <f>SUM(M22:M31)</f>
        <v>315688</v>
      </c>
      <c r="N21" s="421">
        <f>SUM(N22:N31)</f>
        <v>286920</v>
      </c>
      <c r="O21" s="421">
        <f>SUM(O22:O31)</f>
        <v>201547</v>
      </c>
    </row>
    <row r="22" spans="8:17" ht="15.5" x14ac:dyDescent="0.25">
      <c r="H22" s="415" t="s">
        <v>135</v>
      </c>
      <c r="I22" s="735" t="s">
        <v>132</v>
      </c>
      <c r="J22" s="416">
        <f>K22</f>
        <v>420705</v>
      </c>
      <c r="K22" s="727">
        <v>420705</v>
      </c>
      <c r="L22" s="607"/>
      <c r="M22" s="334">
        <v>244820</v>
      </c>
      <c r="N22" s="334">
        <v>141930</v>
      </c>
      <c r="O22" s="723">
        <f t="shared" ref="O22:O27" si="0">K22-M22-N22</f>
        <v>33955</v>
      </c>
    </row>
    <row r="23" spans="8:17" ht="30" x14ac:dyDescent="0.25">
      <c r="H23" s="415" t="s">
        <v>136</v>
      </c>
      <c r="I23" s="732" t="s">
        <v>50</v>
      </c>
      <c r="J23" s="416">
        <f>K23</f>
        <v>199900</v>
      </c>
      <c r="K23" s="724">
        <v>199900</v>
      </c>
      <c r="L23" s="416"/>
      <c r="M23" s="334">
        <v>40000</v>
      </c>
      <c r="N23" s="334">
        <v>144990</v>
      </c>
      <c r="O23" s="726">
        <f t="shared" si="0"/>
        <v>14910</v>
      </c>
    </row>
    <row r="24" spans="8:17" ht="15.5" x14ac:dyDescent="0.25">
      <c r="H24" s="415" t="s">
        <v>163</v>
      </c>
      <c r="I24" s="731" t="s">
        <v>208</v>
      </c>
      <c r="J24" s="416">
        <f>K24</f>
        <v>25000</v>
      </c>
      <c r="K24" s="734">
        <v>25000</v>
      </c>
      <c r="L24" s="416"/>
      <c r="M24" s="334">
        <v>20068</v>
      </c>
      <c r="N24" s="334"/>
      <c r="O24" s="730">
        <f t="shared" si="0"/>
        <v>4932</v>
      </c>
    </row>
    <row r="25" spans="8:17" ht="15.5" x14ac:dyDescent="0.25">
      <c r="H25" s="415" t="s">
        <v>209</v>
      </c>
      <c r="I25" s="735" t="s">
        <v>210</v>
      </c>
      <c r="J25" s="416">
        <f>K25</f>
        <v>10800</v>
      </c>
      <c r="K25" s="729">
        <v>10800</v>
      </c>
      <c r="L25" s="416"/>
      <c r="M25" s="334">
        <f>K25</f>
        <v>10800</v>
      </c>
      <c r="N25" s="334"/>
      <c r="O25" s="332">
        <f t="shared" si="0"/>
        <v>0</v>
      </c>
    </row>
    <row r="26" spans="8:17" ht="15.5" x14ac:dyDescent="0.25">
      <c r="H26" s="415" t="s">
        <v>406</v>
      </c>
      <c r="I26" s="735" t="s">
        <v>409</v>
      </c>
      <c r="J26" s="416">
        <v>30000</v>
      </c>
      <c r="K26" s="729">
        <f>30000+37250</f>
        <v>67250</v>
      </c>
      <c r="L26" s="416"/>
      <c r="M26" s="334"/>
      <c r="N26" s="334"/>
      <c r="O26" s="332">
        <f t="shared" si="0"/>
        <v>67250</v>
      </c>
    </row>
    <row r="27" spans="8:17" ht="15.5" hidden="1" x14ac:dyDescent="0.25">
      <c r="H27" s="333"/>
      <c r="I27" s="396"/>
      <c r="J27" s="334"/>
      <c r="K27" s="720"/>
      <c r="L27" s="720"/>
      <c r="M27" s="334"/>
      <c r="N27" s="334"/>
      <c r="O27" s="332">
        <f t="shared" si="0"/>
        <v>0</v>
      </c>
    </row>
    <row r="28" spans="8:17" ht="15.5" x14ac:dyDescent="0.25">
      <c r="H28" s="333"/>
      <c r="I28" s="396" t="s">
        <v>579</v>
      </c>
      <c r="J28" s="334"/>
      <c r="K28" s="720">
        <v>30000</v>
      </c>
      <c r="L28" s="720"/>
      <c r="M28" s="334"/>
      <c r="N28" s="334"/>
      <c r="O28" s="332"/>
    </row>
    <row r="29" spans="8:17" ht="31" x14ac:dyDescent="0.25">
      <c r="H29" s="333"/>
      <c r="I29" s="396" t="s">
        <v>581</v>
      </c>
      <c r="J29" s="334"/>
      <c r="K29" s="720">
        <v>37250</v>
      </c>
      <c r="L29" s="720"/>
      <c r="M29" s="334"/>
      <c r="N29" s="334"/>
      <c r="O29" s="723">
        <f>K29-M29-N29</f>
        <v>37250</v>
      </c>
      <c r="P29" s="11">
        <f>O26-O29</f>
        <v>30000</v>
      </c>
      <c r="Q29" s="11"/>
    </row>
    <row r="30" spans="8:17" ht="15.5" hidden="1" x14ac:dyDescent="0.25">
      <c r="H30" s="333"/>
      <c r="I30" s="396"/>
      <c r="J30" s="334"/>
      <c r="K30" s="720"/>
      <c r="L30" s="720"/>
      <c r="M30" s="334"/>
      <c r="N30" s="334"/>
      <c r="O30" s="332"/>
    </row>
    <row r="31" spans="8:17" ht="15.5" x14ac:dyDescent="0.25">
      <c r="H31" s="415" t="s">
        <v>407</v>
      </c>
      <c r="I31" s="402" t="s">
        <v>410</v>
      </c>
      <c r="J31" s="416">
        <f>K31</f>
        <v>43250</v>
      </c>
      <c r="K31" s="416">
        <f>80500-37250</f>
        <v>43250</v>
      </c>
      <c r="L31" s="416"/>
      <c r="M31" s="334"/>
      <c r="N31" s="334"/>
      <c r="O31" s="332">
        <f>K31-M31-N31</f>
        <v>43250</v>
      </c>
    </row>
    <row r="32" spans="8:17" ht="15.5" x14ac:dyDescent="0.25">
      <c r="I32" s="736" t="s">
        <v>499</v>
      </c>
      <c r="J32" s="720">
        <f>D4</f>
        <v>3950</v>
      </c>
      <c r="K32" s="728">
        <f>J32</f>
        <v>3950</v>
      </c>
      <c r="L32" s="721"/>
      <c r="O32" s="398">
        <f t="shared" ref="O32:O33" si="1">K32-M32-N32</f>
        <v>3950</v>
      </c>
      <c r="P32" s="11">
        <f>O32</f>
        <v>3950</v>
      </c>
      <c r="Q32" s="11"/>
    </row>
    <row r="33" spans="4:25" ht="15.5" x14ac:dyDescent="0.25">
      <c r="I33" s="733" t="s">
        <v>576</v>
      </c>
      <c r="J33" s="720">
        <f>D5</f>
        <v>39300</v>
      </c>
      <c r="K33" s="725">
        <f>J33</f>
        <v>39300</v>
      </c>
      <c r="L33" s="721"/>
      <c r="O33" s="726">
        <f t="shared" si="1"/>
        <v>39300</v>
      </c>
    </row>
    <row r="34" spans="4:25" ht="15.5" x14ac:dyDescent="0.25">
      <c r="I34" s="741"/>
      <c r="J34" s="721"/>
      <c r="K34" s="742"/>
      <c r="L34" s="721"/>
      <c r="O34" s="743"/>
    </row>
    <row r="35" spans="4:25" ht="13" x14ac:dyDescent="0.3">
      <c r="P35" s="881" t="s">
        <v>584</v>
      </c>
      <c r="Q35" s="881"/>
      <c r="S35" s="881" t="s">
        <v>591</v>
      </c>
      <c r="T35" s="881"/>
      <c r="U35" s="84"/>
      <c r="V35" s="881" t="s">
        <v>592</v>
      </c>
      <c r="W35" s="881"/>
    </row>
    <row r="36" spans="4:25" ht="25" x14ac:dyDescent="0.25">
      <c r="M36" s="957" t="s">
        <v>585</v>
      </c>
      <c r="N36" s="957"/>
      <c r="O36" s="745" t="s">
        <v>587</v>
      </c>
      <c r="P36" s="755" t="s">
        <v>589</v>
      </c>
      <c r="Q36" s="746" t="str">
        <f>O36</f>
        <v>Chưa phân bổ</v>
      </c>
      <c r="S36" s="755" t="s">
        <v>589</v>
      </c>
      <c r="T36" s="746" t="str">
        <f>Q36</f>
        <v>Chưa phân bổ</v>
      </c>
      <c r="U36" s="746"/>
      <c r="V36" s="755" t="s">
        <v>589</v>
      </c>
      <c r="W36" s="746" t="str">
        <f>S36</f>
        <v>Đã phân bổ thêm</v>
      </c>
    </row>
    <row r="37" spans="4:25" ht="13" x14ac:dyDescent="0.3">
      <c r="I37" s="738" t="s">
        <v>571</v>
      </c>
      <c r="J37" s="254"/>
      <c r="K37" s="737">
        <f>K38+K44+K47</f>
        <v>766905</v>
      </c>
      <c r="L37" s="737">
        <f t="shared" ref="L37:O37" si="2">L38+L44+L47</f>
        <v>0</v>
      </c>
      <c r="M37" s="756">
        <f t="shared" si="2"/>
        <v>351789</v>
      </c>
      <c r="N37" s="756">
        <f t="shared" si="2"/>
        <v>260911</v>
      </c>
      <c r="O37" s="737">
        <f t="shared" si="2"/>
        <v>154205</v>
      </c>
      <c r="P37" s="757"/>
      <c r="Q37" s="254"/>
      <c r="S37" s="757"/>
      <c r="T37" s="254"/>
      <c r="U37" s="746"/>
      <c r="V37" s="757"/>
      <c r="W37" s="254"/>
    </row>
    <row r="38" spans="4:25" ht="13" x14ac:dyDescent="0.3">
      <c r="I38" s="737" t="str">
        <f>I22</f>
        <v>Chi đầu tư xây dựng cơ bản vốn trong nước</v>
      </c>
      <c r="J38" s="254"/>
      <c r="K38" s="737">
        <f>K39+K40+K41+K42+K43</f>
        <v>502705</v>
      </c>
      <c r="L38" s="254"/>
      <c r="M38" s="756">
        <f>M39</f>
        <v>291721</v>
      </c>
      <c r="N38" s="756">
        <f>N39</f>
        <v>115921</v>
      </c>
      <c r="O38" s="737">
        <f>'[7]Biẻu 27 CĐNS'!$AA$151+O39</f>
        <v>95063</v>
      </c>
      <c r="P38" s="756">
        <f>P41+P42</f>
        <v>71200</v>
      </c>
      <c r="Q38" s="737">
        <f>Q39</f>
        <v>23863</v>
      </c>
      <c r="S38" s="756">
        <f>S39</f>
        <v>14523</v>
      </c>
      <c r="T38" s="737">
        <f>T39</f>
        <v>9340</v>
      </c>
      <c r="U38" s="746"/>
      <c r="V38" s="756">
        <f>V39</f>
        <v>5558</v>
      </c>
      <c r="W38" s="737">
        <f>W39</f>
        <v>3782</v>
      </c>
    </row>
    <row r="39" spans="4:25" x14ac:dyDescent="0.25">
      <c r="I39" s="739" t="str">
        <f>I22</f>
        <v>Chi đầu tư xây dựng cơ bản vốn trong nước</v>
      </c>
      <c r="J39" s="254"/>
      <c r="K39" s="739">
        <f>K22</f>
        <v>420705</v>
      </c>
      <c r="L39" s="254"/>
      <c r="M39" s="956">
        <f>58900-23863+256684</f>
        <v>291721</v>
      </c>
      <c r="N39" s="956">
        <f>10200+105721</f>
        <v>115921</v>
      </c>
      <c r="O39" s="948">
        <f>K39+K40-M39-N39</f>
        <v>23863</v>
      </c>
      <c r="P39" s="946"/>
      <c r="Q39" s="948">
        <v>23863</v>
      </c>
      <c r="S39" s="950">
        <v>14523</v>
      </c>
      <c r="T39" s="952">
        <f>Q39-S39</f>
        <v>9340</v>
      </c>
      <c r="U39" s="746"/>
      <c r="V39" s="954">
        <v>5558</v>
      </c>
      <c r="W39" s="952">
        <f>T39-V39</f>
        <v>3782</v>
      </c>
    </row>
    <row r="40" spans="4:25" x14ac:dyDescent="0.25">
      <c r="I40" s="739" t="str">
        <f>I25</f>
        <v>Chi đầu tư từ nguồn bội chi NSĐP</v>
      </c>
      <c r="J40" s="254"/>
      <c r="K40" s="739">
        <f>K25</f>
        <v>10800</v>
      </c>
      <c r="L40" s="254"/>
      <c r="M40" s="956"/>
      <c r="N40" s="956"/>
      <c r="O40" s="949"/>
      <c r="P40" s="947"/>
      <c r="Q40" s="949"/>
      <c r="S40" s="951"/>
      <c r="T40" s="953"/>
      <c r="U40" s="746"/>
      <c r="V40" s="951"/>
      <c r="W40" s="953"/>
    </row>
    <row r="41" spans="4:25" ht="32.5" x14ac:dyDescent="0.25">
      <c r="I41" s="739" t="str">
        <f>I28</f>
        <v>dự kiến bán TS ở BB</v>
      </c>
      <c r="J41" s="739">
        <f t="shared" ref="J41:K41" si="3">J28</f>
        <v>0</v>
      </c>
      <c r="K41" s="739">
        <f t="shared" si="3"/>
        <v>30000</v>
      </c>
      <c r="L41" s="254"/>
      <c r="M41" s="757"/>
      <c r="N41" s="757"/>
      <c r="O41" s="739">
        <f>K41</f>
        <v>30000</v>
      </c>
      <c r="P41" s="761">
        <f>O41</f>
        <v>30000</v>
      </c>
      <c r="Q41" s="739"/>
      <c r="R41" s="747" t="str">
        <f>'[8]Dự thảo'!$B$36</f>
        <v>Hạ tầng kỹ thuật trung tâm thị trấn Chợ Rã, huyện Ba Bể</v>
      </c>
      <c r="S41" s="757"/>
      <c r="T41" s="254"/>
      <c r="U41" s="746"/>
      <c r="V41" s="757"/>
      <c r="W41" s="254"/>
    </row>
    <row r="42" spans="4:25" ht="24.75" customHeight="1" x14ac:dyDescent="0.25">
      <c r="I42" s="763" t="str">
        <f>I29</f>
        <v>bán tài sản + tiền sử dụng đất + tiền thuê (từ xử lý SỞ VH năm 2023)</v>
      </c>
      <c r="J42" s="739">
        <f t="shared" ref="J42:K42" si="4">J29</f>
        <v>0</v>
      </c>
      <c r="K42" s="739">
        <f t="shared" si="4"/>
        <v>37250</v>
      </c>
      <c r="L42" s="254"/>
      <c r="M42" s="757"/>
      <c r="N42" s="757"/>
      <c r="O42" s="739">
        <f>K42</f>
        <v>37250</v>
      </c>
      <c r="P42" s="761">
        <f>O42+O43</f>
        <v>41200</v>
      </c>
      <c r="Q42" s="739"/>
      <c r="R42" s="944" t="s">
        <v>586</v>
      </c>
      <c r="S42" s="757"/>
      <c r="T42" s="254"/>
      <c r="U42" s="746"/>
      <c r="V42" s="757"/>
      <c r="W42" s="254"/>
    </row>
    <row r="43" spans="4:25" x14ac:dyDescent="0.25">
      <c r="G43" s="750" t="str">
        <f>G46</f>
        <v>tăng thu tkc</v>
      </c>
      <c r="H43" s="750"/>
      <c r="I43" s="751" t="s">
        <v>580</v>
      </c>
      <c r="J43" s="751"/>
      <c r="K43" s="751">
        <f>K32</f>
        <v>3950</v>
      </c>
      <c r="L43" s="752"/>
      <c r="M43" s="758"/>
      <c r="N43" s="759"/>
      <c r="O43" s="751">
        <f>K43</f>
        <v>3950</v>
      </c>
      <c r="P43" s="757"/>
      <c r="Q43" s="254"/>
      <c r="R43" s="945"/>
      <c r="S43" s="757"/>
      <c r="T43" s="254"/>
      <c r="U43" s="746"/>
      <c r="V43" s="757"/>
      <c r="W43" s="254"/>
      <c r="Y43" s="722" t="s">
        <v>599</v>
      </c>
    </row>
    <row r="44" spans="4:25" ht="13" x14ac:dyDescent="0.3">
      <c r="I44" s="737" t="str">
        <f>I23</f>
        <v>Chi đầu tư hạ tầng từ nguồn thu tiền sử dụng đất</v>
      </c>
      <c r="J44" s="254"/>
      <c r="K44" s="737">
        <f>K23+K33</f>
        <v>239200</v>
      </c>
      <c r="L44" s="254"/>
      <c r="M44" s="756">
        <f>M45+M46</f>
        <v>40000</v>
      </c>
      <c r="N44" s="756">
        <f>N23</f>
        <v>144990</v>
      </c>
      <c r="O44" s="737">
        <f>K44-M44-N44</f>
        <v>54210</v>
      </c>
      <c r="P44" s="762">
        <f>P45</f>
        <v>200</v>
      </c>
      <c r="Q44" s="737">
        <f>Q45+Q46</f>
        <v>54010</v>
      </c>
      <c r="R44" s="748"/>
      <c r="S44" s="757"/>
      <c r="T44" s="737">
        <f>T45+T46</f>
        <v>54010</v>
      </c>
      <c r="U44" s="746"/>
      <c r="V44" s="756">
        <f>V46</f>
        <v>39300</v>
      </c>
      <c r="W44" s="737">
        <v>14710</v>
      </c>
    </row>
    <row r="45" spans="4:25" ht="40.5" x14ac:dyDescent="0.25">
      <c r="I45" s="739" t="str">
        <f>I23</f>
        <v>Chi đầu tư hạ tầng từ nguồn thu tiền sử dụng đất</v>
      </c>
      <c r="J45" s="254"/>
      <c r="K45" s="739">
        <f>K23</f>
        <v>199900</v>
      </c>
      <c r="L45" s="254"/>
      <c r="M45" s="760">
        <v>40000</v>
      </c>
      <c r="N45" s="760">
        <v>144990</v>
      </c>
      <c r="O45" s="740">
        <f>K45-M45-N45</f>
        <v>14910</v>
      </c>
      <c r="P45" s="757">
        <v>200</v>
      </c>
      <c r="Q45" s="739">
        <f>O45-P45</f>
        <v>14710</v>
      </c>
      <c r="R45" s="748" t="s">
        <v>588</v>
      </c>
      <c r="S45" s="757"/>
      <c r="T45" s="739">
        <v>14710</v>
      </c>
      <c r="U45" s="746"/>
      <c r="V45" s="757"/>
      <c r="W45" s="739">
        <v>14710</v>
      </c>
    </row>
    <row r="46" spans="4:25" s="750" customFormat="1" ht="22" x14ac:dyDescent="0.25">
      <c r="D46" s="749"/>
      <c r="E46" s="749"/>
      <c r="G46" s="750" t="s">
        <v>583</v>
      </c>
      <c r="I46" s="751" t="s">
        <v>582</v>
      </c>
      <c r="J46" s="752"/>
      <c r="K46" s="751">
        <f>K33</f>
        <v>39300</v>
      </c>
      <c r="L46" s="752"/>
      <c r="M46" s="758"/>
      <c r="N46" s="759"/>
      <c r="O46" s="751">
        <f>K46</f>
        <v>39300</v>
      </c>
      <c r="P46" s="759"/>
      <c r="Q46" s="751">
        <f>O46</f>
        <v>39300</v>
      </c>
      <c r="R46" s="753" t="s">
        <v>593</v>
      </c>
      <c r="S46" s="759"/>
      <c r="T46" s="751">
        <f>Q46</f>
        <v>39300</v>
      </c>
      <c r="U46" s="754"/>
      <c r="V46" s="758">
        <f>Q46</f>
        <v>39300</v>
      </c>
      <c r="W46" s="752"/>
    </row>
    <row r="47" spans="4:25" ht="13" x14ac:dyDescent="0.3">
      <c r="I47" s="737" t="str">
        <f>I24</f>
        <v>Chi đầu tư từ nguồn thu sổ xố kiến thiết</v>
      </c>
      <c r="J47" s="738"/>
      <c r="K47" s="737">
        <f>K24</f>
        <v>25000</v>
      </c>
      <c r="L47" s="254"/>
      <c r="M47" s="756">
        <f>M24</f>
        <v>20068</v>
      </c>
      <c r="N47" s="757"/>
      <c r="O47" s="737">
        <f>K47-M47</f>
        <v>4932</v>
      </c>
      <c r="P47" s="762">
        <v>2600</v>
      </c>
      <c r="Q47" s="737">
        <f>O47-P47</f>
        <v>2332</v>
      </c>
      <c r="R47" s="748" t="s">
        <v>590</v>
      </c>
      <c r="S47" s="756">
        <f>Q47</f>
        <v>2332</v>
      </c>
      <c r="T47" s="738">
        <v>0</v>
      </c>
      <c r="U47" s="746"/>
      <c r="V47" s="757"/>
      <c r="W47" s="254"/>
    </row>
    <row r="48" spans="4:25" x14ac:dyDescent="0.25">
      <c r="U48" s="746"/>
    </row>
    <row r="49" spans="9:15" ht="13" x14ac:dyDescent="0.3">
      <c r="I49" s="85" t="s">
        <v>21</v>
      </c>
      <c r="K49" s="739">
        <v>4300</v>
      </c>
    </row>
    <row r="51" spans="9:15" x14ac:dyDescent="0.25">
      <c r="M51" s="722" t="s">
        <v>596</v>
      </c>
      <c r="N51" s="722" t="s">
        <v>597</v>
      </c>
      <c r="O51" s="722" t="s">
        <v>598</v>
      </c>
    </row>
    <row r="52" spans="9:15" ht="13" x14ac:dyDescent="0.3">
      <c r="I52" s="85" t="s">
        <v>595</v>
      </c>
    </row>
    <row r="53" spans="9:15" ht="25" x14ac:dyDescent="0.25">
      <c r="I53" s="744" t="s">
        <v>594</v>
      </c>
      <c r="M53" s="11">
        <f>M45</f>
        <v>40000</v>
      </c>
      <c r="N53" s="11">
        <f>M53</f>
        <v>40000</v>
      </c>
    </row>
    <row r="54" spans="9:15" ht="25" x14ac:dyDescent="0.25">
      <c r="I54" s="399" t="str">
        <f>R45</f>
        <v>Hoàn thiện mặt bằng phần diện tích còn lại của Khu công nghiệp Thanh Bình giai đoạn I</v>
      </c>
      <c r="M54">
        <f>P45</f>
        <v>200</v>
      </c>
      <c r="N54">
        <f>M54</f>
        <v>200</v>
      </c>
    </row>
    <row r="56" spans="9:15" ht="13" x14ac:dyDescent="0.3">
      <c r="I56" s="85" t="str">
        <f>G46</f>
        <v>tăng thu tkc</v>
      </c>
    </row>
    <row r="57" spans="9:15" x14ac:dyDescent="0.25">
      <c r="I57" t="str">
        <f>R46</f>
        <v>GPMB và san nền tạo mặt bằng KCN Thanh Bình</v>
      </c>
      <c r="M57" s="11">
        <f>K46</f>
        <v>39300</v>
      </c>
      <c r="N57" s="11">
        <f>M57</f>
        <v>39300</v>
      </c>
    </row>
    <row r="59" spans="9:15" ht="13" x14ac:dyDescent="0.3">
      <c r="I59" s="665" t="str">
        <f>I47</f>
        <v>Chi đầu tư từ nguồn thu sổ xố kiến thiết</v>
      </c>
      <c r="M59" s="11">
        <f>M47+P47+S47</f>
        <v>25000</v>
      </c>
      <c r="N59">
        <v>23658</v>
      </c>
      <c r="O59">
        <v>18982</v>
      </c>
    </row>
  </sheetData>
  <mergeCells count="15">
    <mergeCell ref="V35:W35"/>
    <mergeCell ref="V39:V40"/>
    <mergeCell ref="W39:W40"/>
    <mergeCell ref="M20:N20"/>
    <mergeCell ref="M39:M40"/>
    <mergeCell ref="N39:N40"/>
    <mergeCell ref="O39:O40"/>
    <mergeCell ref="M36:N36"/>
    <mergeCell ref="P35:Q35"/>
    <mergeCell ref="R42:R43"/>
    <mergeCell ref="S35:T35"/>
    <mergeCell ref="P39:P40"/>
    <mergeCell ref="Q39:Q40"/>
    <mergeCell ref="S39:S40"/>
    <mergeCell ref="T39:T40"/>
  </mergeCells>
  <pageMargins left="0.7" right="0.7" top="0.75" bottom="0.75" header="0.3" footer="0.3"/>
  <legacy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dimension ref="A1:Q108"/>
  <sheetViews>
    <sheetView workbookViewId="0">
      <pane xSplit="2" ySplit="4" topLeftCell="C41" activePane="bottomRight" state="frozen"/>
      <selection pane="topRight" activeCell="C1" sqref="C1"/>
      <selection pane="bottomLeft" activeCell="A5" sqref="A5"/>
      <selection pane="bottomRight" activeCell="S24" sqref="S24"/>
    </sheetView>
  </sheetViews>
  <sheetFormatPr defaultColWidth="9.1796875" defaultRowHeight="14" x14ac:dyDescent="0.3"/>
  <cols>
    <col min="1" max="1" width="5.81640625" style="38" customWidth="1"/>
    <col min="2" max="2" width="45.453125" style="13" customWidth="1"/>
    <col min="3" max="3" width="9.7265625" style="13" customWidth="1"/>
    <col min="4" max="4" width="9.1796875" style="13" customWidth="1"/>
    <col min="5" max="6" width="13.453125" style="13" customWidth="1"/>
    <col min="7" max="7" width="12.1796875" style="13" customWidth="1"/>
    <col min="8" max="8" width="11.7265625" style="13" customWidth="1"/>
    <col min="9" max="9" width="11" style="13" customWidth="1"/>
    <col min="10" max="10" width="9.7265625" style="13" customWidth="1"/>
    <col min="11" max="11" width="10.453125" style="13" customWidth="1"/>
    <col min="12" max="15" width="10.7265625" style="13" customWidth="1"/>
    <col min="16" max="16" width="11" style="13" bestFit="1" customWidth="1"/>
    <col min="17" max="16384" width="9.1796875" style="13"/>
  </cols>
  <sheetData>
    <row r="1" spans="1:17" ht="40.5" customHeight="1" x14ac:dyDescent="0.3">
      <c r="A1" s="876" t="s">
        <v>107</v>
      </c>
      <c r="B1" s="876"/>
      <c r="C1" s="876"/>
      <c r="D1" s="876"/>
      <c r="E1" s="876"/>
      <c r="F1" s="876"/>
      <c r="G1" s="876"/>
      <c r="H1" s="876"/>
      <c r="I1" s="876"/>
      <c r="J1" s="876"/>
      <c r="K1" s="876"/>
      <c r="L1" s="876"/>
      <c r="M1" s="876"/>
      <c r="N1" s="876"/>
      <c r="O1" s="876"/>
      <c r="P1" s="876"/>
      <c r="Q1" s="876"/>
    </row>
    <row r="2" spans="1:17" ht="12.75" customHeight="1" x14ac:dyDescent="0.3">
      <c r="A2" s="14"/>
      <c r="B2" s="15"/>
      <c r="C2" s="15"/>
      <c r="D2" s="15"/>
      <c r="E2" s="15"/>
      <c r="F2" s="16" t="s">
        <v>59</v>
      </c>
      <c r="G2" s="16"/>
      <c r="K2" s="877" t="s">
        <v>3</v>
      </c>
      <c r="L2" s="877"/>
      <c r="M2" s="39"/>
      <c r="N2" s="39"/>
      <c r="O2" s="39"/>
    </row>
    <row r="3" spans="1:17" s="17" customFormat="1" ht="33" customHeight="1" x14ac:dyDescent="0.35">
      <c r="A3" s="878" t="s">
        <v>0</v>
      </c>
      <c r="B3" s="872" t="s">
        <v>47</v>
      </c>
      <c r="C3" s="872" t="s">
        <v>60</v>
      </c>
      <c r="D3" s="872" t="s">
        <v>61</v>
      </c>
      <c r="E3" s="872" t="s">
        <v>62</v>
      </c>
      <c r="F3" s="872" t="s">
        <v>63</v>
      </c>
      <c r="G3" s="872" t="s">
        <v>64</v>
      </c>
      <c r="H3" s="872" t="s">
        <v>65</v>
      </c>
      <c r="I3" s="872" t="s">
        <v>66</v>
      </c>
      <c r="J3" s="874" t="s">
        <v>67</v>
      </c>
      <c r="K3" s="872" t="s">
        <v>68</v>
      </c>
      <c r="L3" s="872" t="s">
        <v>69</v>
      </c>
      <c r="M3" s="874" t="s">
        <v>104</v>
      </c>
      <c r="N3" s="874" t="s">
        <v>105</v>
      </c>
      <c r="O3" s="874" t="s">
        <v>106</v>
      </c>
      <c r="P3" s="874" t="s">
        <v>116</v>
      </c>
      <c r="Q3" s="874" t="s">
        <v>118</v>
      </c>
    </row>
    <row r="4" spans="1:17" s="17" customFormat="1" ht="44.25" customHeight="1" x14ac:dyDescent="0.35">
      <c r="A4" s="879"/>
      <c r="B4" s="873"/>
      <c r="C4" s="873"/>
      <c r="D4" s="873"/>
      <c r="E4" s="873"/>
      <c r="F4" s="873"/>
      <c r="G4" s="873"/>
      <c r="H4" s="873"/>
      <c r="I4" s="873"/>
      <c r="J4" s="875"/>
      <c r="K4" s="873"/>
      <c r="L4" s="873"/>
      <c r="M4" s="875"/>
      <c r="N4" s="875"/>
      <c r="O4" s="875"/>
      <c r="P4" s="875"/>
      <c r="Q4" s="875"/>
    </row>
    <row r="5" spans="1:17" s="17" customFormat="1" ht="24" customHeight="1" x14ac:dyDescent="0.35">
      <c r="A5" s="42"/>
      <c r="B5" s="40" t="s">
        <v>70</v>
      </c>
      <c r="C5" s="43">
        <f t="shared" ref="C5:K5" si="0">C10+C16+C23+C6+C25+C29</f>
        <v>638091</v>
      </c>
      <c r="D5" s="43">
        <f t="shared" si="0"/>
        <v>129844.7</v>
      </c>
      <c r="E5" s="43">
        <f t="shared" si="0"/>
        <v>231345.3</v>
      </c>
      <c r="F5" s="43">
        <f t="shared" si="0"/>
        <v>85000</v>
      </c>
      <c r="G5" s="43">
        <f t="shared" si="0"/>
        <v>227406.3</v>
      </c>
      <c r="H5" s="43">
        <f t="shared" si="0"/>
        <v>0</v>
      </c>
      <c r="I5" s="43">
        <f t="shared" si="0"/>
        <v>423246.3</v>
      </c>
      <c r="J5" s="43">
        <f t="shared" si="0"/>
        <v>45602</v>
      </c>
      <c r="K5" s="43">
        <f t="shared" si="0"/>
        <v>35520</v>
      </c>
      <c r="L5" s="43">
        <f>L10+L16+L23+L6+L25+L29</f>
        <v>433328.3</v>
      </c>
      <c r="M5" s="43">
        <f>M34</f>
        <v>66757</v>
      </c>
      <c r="N5" s="43">
        <f>N13</f>
        <v>4878</v>
      </c>
      <c r="O5" s="44">
        <f>L5+M5-N5</f>
        <v>495207.3</v>
      </c>
      <c r="P5" s="45">
        <f>P43</f>
        <v>19550</v>
      </c>
      <c r="Q5" s="45">
        <f>Q34+Q43</f>
        <v>22217</v>
      </c>
    </row>
    <row r="6" spans="1:17" s="22" customFormat="1" ht="19.5" customHeight="1" x14ac:dyDescent="0.35">
      <c r="A6" s="18" t="s">
        <v>4</v>
      </c>
      <c r="B6" s="19" t="s">
        <v>71</v>
      </c>
      <c r="C6" s="20">
        <f t="shared" ref="C6:I6" si="1">SUM(C7:C9)</f>
        <v>110000</v>
      </c>
      <c r="D6" s="20">
        <f t="shared" si="1"/>
        <v>65000</v>
      </c>
      <c r="E6" s="20">
        <f t="shared" si="1"/>
        <v>45000</v>
      </c>
      <c r="F6" s="20">
        <f t="shared" si="1"/>
        <v>0</v>
      </c>
      <c r="G6" s="20">
        <f t="shared" si="1"/>
        <v>45000</v>
      </c>
      <c r="H6" s="20">
        <f t="shared" si="1"/>
        <v>0</v>
      </c>
      <c r="I6" s="20">
        <f t="shared" si="1"/>
        <v>45000</v>
      </c>
      <c r="J6" s="20"/>
      <c r="K6" s="20">
        <f>SUM(K7:K9)</f>
        <v>0</v>
      </c>
      <c r="L6" s="20">
        <f>SUM(L7:L9)</f>
        <v>45000</v>
      </c>
      <c r="M6" s="20"/>
      <c r="N6" s="20"/>
      <c r="O6" s="20">
        <f>L6+M6-N6</f>
        <v>45000</v>
      </c>
      <c r="P6" s="21"/>
      <c r="Q6" s="46"/>
    </row>
    <row r="7" spans="1:17" ht="18" customHeight="1" x14ac:dyDescent="0.3">
      <c r="A7" s="23" t="s">
        <v>72</v>
      </c>
      <c r="B7" s="24" t="s">
        <v>73</v>
      </c>
      <c r="C7" s="25">
        <v>50000</v>
      </c>
      <c r="D7" s="25">
        <v>50000</v>
      </c>
      <c r="E7" s="26">
        <f>C7-D7</f>
        <v>0</v>
      </c>
      <c r="F7" s="25"/>
      <c r="G7" s="25"/>
      <c r="H7" s="25"/>
      <c r="I7" s="25"/>
      <c r="J7" s="25"/>
      <c r="K7" s="25"/>
      <c r="L7" s="25"/>
      <c r="M7" s="25"/>
      <c r="N7" s="25"/>
      <c r="O7" s="25">
        <f t="shared" ref="O7:O43" si="2">L7+M7-N7</f>
        <v>0</v>
      </c>
      <c r="P7" s="25"/>
      <c r="Q7" s="47"/>
    </row>
    <row r="8" spans="1:17" ht="18" customHeight="1" x14ac:dyDescent="0.3">
      <c r="A8" s="23" t="s">
        <v>74</v>
      </c>
      <c r="B8" s="24" t="s">
        <v>75</v>
      </c>
      <c r="C8" s="25">
        <v>20000</v>
      </c>
      <c r="D8" s="25">
        <v>15000</v>
      </c>
      <c r="E8" s="26">
        <f>C8-D8</f>
        <v>5000</v>
      </c>
      <c r="F8" s="25"/>
      <c r="G8" s="25">
        <f>E8</f>
        <v>5000</v>
      </c>
      <c r="H8" s="25"/>
      <c r="I8" s="25">
        <f>G8</f>
        <v>5000</v>
      </c>
      <c r="J8" s="25"/>
      <c r="K8" s="25"/>
      <c r="L8" s="25">
        <f>I8</f>
        <v>5000</v>
      </c>
      <c r="M8" s="25"/>
      <c r="N8" s="25"/>
      <c r="O8" s="25">
        <f t="shared" si="2"/>
        <v>5000</v>
      </c>
      <c r="P8" s="25"/>
      <c r="Q8" s="47"/>
    </row>
    <row r="9" spans="1:17" ht="18" customHeight="1" x14ac:dyDescent="0.3">
      <c r="A9" s="23" t="s">
        <v>76</v>
      </c>
      <c r="B9" s="24" t="s">
        <v>77</v>
      </c>
      <c r="C9" s="25">
        <v>40000</v>
      </c>
      <c r="D9" s="25"/>
      <c r="E9" s="26">
        <f>C9-D9</f>
        <v>40000</v>
      </c>
      <c r="F9" s="25"/>
      <c r="G9" s="25">
        <f>E9</f>
        <v>40000</v>
      </c>
      <c r="H9" s="25"/>
      <c r="I9" s="25">
        <f>G9</f>
        <v>40000</v>
      </c>
      <c r="J9" s="25"/>
      <c r="K9" s="25"/>
      <c r="L9" s="25">
        <f>I9</f>
        <v>40000</v>
      </c>
      <c r="M9" s="25"/>
      <c r="N9" s="25"/>
      <c r="O9" s="25">
        <f t="shared" si="2"/>
        <v>40000</v>
      </c>
      <c r="P9" s="25"/>
      <c r="Q9" s="47"/>
    </row>
    <row r="10" spans="1:17" s="17" customFormat="1" ht="18" customHeight="1" x14ac:dyDescent="0.35">
      <c r="A10" s="41" t="s">
        <v>9</v>
      </c>
      <c r="B10" s="19" t="s">
        <v>78</v>
      </c>
      <c r="C10" s="27">
        <f t="shared" ref="C10:L10" si="3">SUM(C11:C15)</f>
        <v>136190</v>
      </c>
      <c r="D10" s="21">
        <f t="shared" si="3"/>
        <v>64844.7</v>
      </c>
      <c r="E10" s="21">
        <f t="shared" si="3"/>
        <v>71345.3</v>
      </c>
      <c r="F10" s="27">
        <f t="shared" si="3"/>
        <v>0</v>
      </c>
      <c r="G10" s="27">
        <f t="shared" si="3"/>
        <v>71345.3</v>
      </c>
      <c r="H10" s="27">
        <f t="shared" si="3"/>
        <v>0</v>
      </c>
      <c r="I10" s="26">
        <f t="shared" si="3"/>
        <v>71345.3</v>
      </c>
      <c r="J10" s="27"/>
      <c r="K10" s="27">
        <f t="shared" si="3"/>
        <v>15229</v>
      </c>
      <c r="L10" s="27">
        <f t="shared" si="3"/>
        <v>56116.3</v>
      </c>
      <c r="M10" s="27"/>
      <c r="N10" s="27"/>
      <c r="O10" s="25">
        <f t="shared" si="2"/>
        <v>56116.3</v>
      </c>
      <c r="P10" s="48"/>
      <c r="Q10" s="49"/>
    </row>
    <row r="11" spans="1:17" ht="18" customHeight="1" x14ac:dyDescent="0.3">
      <c r="A11" s="23" t="s">
        <v>72</v>
      </c>
      <c r="B11" s="24" t="s">
        <v>79</v>
      </c>
      <c r="C11" s="25">
        <v>11000</v>
      </c>
      <c r="D11" s="56">
        <v>9592</v>
      </c>
      <c r="E11" s="25">
        <f>C11-D11</f>
        <v>1408</v>
      </c>
      <c r="F11" s="25"/>
      <c r="G11" s="25">
        <f>E11</f>
        <v>1408</v>
      </c>
      <c r="H11" s="25"/>
      <c r="I11" s="25">
        <f>G11</f>
        <v>1408</v>
      </c>
      <c r="J11" s="25"/>
      <c r="K11" s="25"/>
      <c r="L11" s="25">
        <f>I11</f>
        <v>1408</v>
      </c>
      <c r="M11" s="25"/>
      <c r="N11" s="25"/>
      <c r="O11" s="25">
        <f t="shared" si="2"/>
        <v>1408</v>
      </c>
      <c r="P11" s="50"/>
      <c r="Q11" s="47"/>
    </row>
    <row r="12" spans="1:17" ht="18" customHeight="1" x14ac:dyDescent="0.3">
      <c r="A12" s="23" t="s">
        <v>74</v>
      </c>
      <c r="B12" s="24" t="s">
        <v>80</v>
      </c>
      <c r="C12" s="25">
        <v>50000</v>
      </c>
      <c r="D12" s="57">
        <v>10539.7</v>
      </c>
      <c r="E12" s="26">
        <f>C12-D12</f>
        <v>39460.300000000003</v>
      </c>
      <c r="F12" s="26"/>
      <c r="G12" s="26">
        <f>E12</f>
        <v>39460.300000000003</v>
      </c>
      <c r="H12" s="25"/>
      <c r="I12" s="26">
        <f>G12</f>
        <v>39460.300000000003</v>
      </c>
      <c r="J12" s="25"/>
      <c r="K12" s="25">
        <f>3685+262</f>
        <v>3947</v>
      </c>
      <c r="L12" s="25">
        <f>I12-K12</f>
        <v>35513.300000000003</v>
      </c>
      <c r="M12" s="25"/>
      <c r="N12" s="25"/>
      <c r="O12" s="25">
        <f t="shared" si="2"/>
        <v>35513.300000000003</v>
      </c>
      <c r="P12" s="25"/>
      <c r="Q12" s="47"/>
    </row>
    <row r="13" spans="1:17" ht="18" customHeight="1" x14ac:dyDescent="0.3">
      <c r="A13" s="23" t="s">
        <v>76</v>
      </c>
      <c r="B13" s="24" t="s">
        <v>81</v>
      </c>
      <c r="C13" s="25">
        <f>73400</f>
        <v>73400</v>
      </c>
      <c r="D13" s="25">
        <f>15000+29438+275</f>
        <v>44713</v>
      </c>
      <c r="E13" s="25">
        <f>C13-D13</f>
        <v>28687</v>
      </c>
      <c r="F13" s="26"/>
      <c r="G13" s="26">
        <f>E13</f>
        <v>28687</v>
      </c>
      <c r="H13" s="25"/>
      <c r="I13" s="25">
        <f>G13</f>
        <v>28687</v>
      </c>
      <c r="J13" s="25"/>
      <c r="K13" s="25">
        <f>3000+224+4141+3917</f>
        <v>11282</v>
      </c>
      <c r="L13" s="25">
        <f>I13-K13</f>
        <v>17405</v>
      </c>
      <c r="M13" s="25"/>
      <c r="N13" s="25">
        <v>4878</v>
      </c>
      <c r="O13" s="25">
        <f t="shared" si="2"/>
        <v>12527</v>
      </c>
      <c r="P13" s="25"/>
      <c r="Q13" s="47"/>
    </row>
    <row r="14" spans="1:17" ht="18" customHeight="1" x14ac:dyDescent="0.3">
      <c r="A14" s="23" t="s">
        <v>82</v>
      </c>
      <c r="B14" s="24" t="s">
        <v>83</v>
      </c>
      <c r="C14" s="25">
        <v>690</v>
      </c>
      <c r="D14" s="25"/>
      <c r="E14" s="25">
        <f>C14-D14</f>
        <v>690</v>
      </c>
      <c r="F14" s="26"/>
      <c r="G14" s="26">
        <f>E14</f>
        <v>690</v>
      </c>
      <c r="H14" s="25"/>
      <c r="I14" s="25">
        <f>G14</f>
        <v>690</v>
      </c>
      <c r="J14" s="25"/>
      <c r="K14" s="25"/>
      <c r="L14" s="25">
        <f>I14</f>
        <v>690</v>
      </c>
      <c r="M14" s="25"/>
      <c r="N14" s="25"/>
      <c r="O14" s="25">
        <f t="shared" si="2"/>
        <v>690</v>
      </c>
      <c r="P14" s="25"/>
      <c r="Q14" s="47"/>
    </row>
    <row r="15" spans="1:17" ht="18" customHeight="1" x14ac:dyDescent="0.3">
      <c r="A15" s="23" t="s">
        <v>84</v>
      </c>
      <c r="B15" s="24" t="s">
        <v>85</v>
      </c>
      <c r="C15" s="25">
        <v>1100</v>
      </c>
      <c r="D15" s="25"/>
      <c r="E15" s="25">
        <f>C15-D15</f>
        <v>1100</v>
      </c>
      <c r="F15" s="26"/>
      <c r="G15" s="26">
        <f>E15</f>
        <v>1100</v>
      </c>
      <c r="H15" s="25"/>
      <c r="I15" s="25">
        <f>G15</f>
        <v>1100</v>
      </c>
      <c r="J15" s="25"/>
      <c r="K15" s="25"/>
      <c r="L15" s="25">
        <f>I15</f>
        <v>1100</v>
      </c>
      <c r="M15" s="25"/>
      <c r="N15" s="25"/>
      <c r="O15" s="25">
        <f t="shared" si="2"/>
        <v>1100</v>
      </c>
      <c r="P15" s="25"/>
      <c r="Q15" s="47"/>
    </row>
    <row r="16" spans="1:17" s="22" customFormat="1" ht="22.5" customHeight="1" x14ac:dyDescent="0.35">
      <c r="A16" s="28" t="s">
        <v>10</v>
      </c>
      <c r="B16" s="29" t="s">
        <v>86</v>
      </c>
      <c r="C16" s="20">
        <f t="shared" ref="C16:L16" si="4">SUM(C17:C22)</f>
        <v>186500</v>
      </c>
      <c r="D16" s="20">
        <f t="shared" si="4"/>
        <v>0</v>
      </c>
      <c r="E16" s="20">
        <f t="shared" si="4"/>
        <v>115000</v>
      </c>
      <c r="F16" s="20">
        <f t="shared" si="4"/>
        <v>85000</v>
      </c>
      <c r="G16" s="20">
        <f t="shared" si="4"/>
        <v>101500</v>
      </c>
      <c r="H16" s="20">
        <f t="shared" si="4"/>
        <v>0</v>
      </c>
      <c r="I16" s="20">
        <f t="shared" si="4"/>
        <v>101500</v>
      </c>
      <c r="J16" s="20"/>
      <c r="K16" s="20">
        <f t="shared" si="4"/>
        <v>10000</v>
      </c>
      <c r="L16" s="20">
        <f t="shared" si="4"/>
        <v>91500</v>
      </c>
      <c r="M16" s="20"/>
      <c r="N16" s="20"/>
      <c r="O16" s="20">
        <f t="shared" si="2"/>
        <v>91500</v>
      </c>
      <c r="P16" s="20"/>
      <c r="Q16" s="46"/>
    </row>
    <row r="17" spans="1:17" ht="54" customHeight="1" x14ac:dyDescent="0.3">
      <c r="A17" s="30" t="s">
        <v>72</v>
      </c>
      <c r="B17" s="31" t="s">
        <v>87</v>
      </c>
      <c r="C17" s="25">
        <v>30000</v>
      </c>
      <c r="D17" s="32"/>
      <c r="E17" s="25">
        <f>C17</f>
        <v>30000</v>
      </c>
      <c r="F17" s="32"/>
      <c r="G17" s="25">
        <f>C17</f>
        <v>30000</v>
      </c>
      <c r="H17" s="25"/>
      <c r="I17" s="25">
        <f>G17</f>
        <v>30000</v>
      </c>
      <c r="J17" s="25"/>
      <c r="K17" s="25"/>
      <c r="L17" s="25">
        <f>I17</f>
        <v>30000</v>
      </c>
      <c r="M17" s="25"/>
      <c r="N17" s="25"/>
      <c r="O17" s="25">
        <f t="shared" si="2"/>
        <v>30000</v>
      </c>
      <c r="P17" s="25"/>
      <c r="Q17" s="47"/>
    </row>
    <row r="18" spans="1:17" ht="52.5" customHeight="1" x14ac:dyDescent="0.3">
      <c r="A18" s="30" t="s">
        <v>74</v>
      </c>
      <c r="B18" s="31" t="s">
        <v>88</v>
      </c>
      <c r="C18" s="25">
        <v>85000</v>
      </c>
      <c r="D18" s="32"/>
      <c r="E18" s="25">
        <f>C18</f>
        <v>85000</v>
      </c>
      <c r="F18" s="25">
        <v>70000</v>
      </c>
      <c r="G18" s="25">
        <f>C18-F18</f>
        <v>15000</v>
      </c>
      <c r="H18" s="25"/>
      <c r="I18" s="25">
        <f>G18</f>
        <v>15000</v>
      </c>
      <c r="J18" s="25"/>
      <c r="K18" s="25"/>
      <c r="L18" s="25">
        <f>I18</f>
        <v>15000</v>
      </c>
      <c r="M18" s="25"/>
      <c r="N18" s="25"/>
      <c r="O18" s="25">
        <f t="shared" si="2"/>
        <v>15000</v>
      </c>
      <c r="P18" s="25"/>
      <c r="Q18" s="47"/>
    </row>
    <row r="19" spans="1:17" ht="31" x14ac:dyDescent="0.35">
      <c r="A19" s="30" t="s">
        <v>76</v>
      </c>
      <c r="B19" s="9" t="s">
        <v>89</v>
      </c>
      <c r="C19" s="25">
        <v>15000</v>
      </c>
      <c r="D19" s="32"/>
      <c r="E19" s="32"/>
      <c r="F19" s="25">
        <v>15000</v>
      </c>
      <c r="G19" s="25"/>
      <c r="H19" s="25"/>
      <c r="I19" s="25"/>
      <c r="J19" s="25"/>
      <c r="K19" s="25"/>
      <c r="L19" s="25"/>
      <c r="M19" s="25"/>
      <c r="N19" s="25"/>
      <c r="O19" s="25">
        <f t="shared" si="2"/>
        <v>0</v>
      </c>
      <c r="P19" s="25"/>
      <c r="Q19" s="47"/>
    </row>
    <row r="20" spans="1:17" ht="31" x14ac:dyDescent="0.35">
      <c r="A20" s="30" t="s">
        <v>82</v>
      </c>
      <c r="B20" s="9" t="s">
        <v>90</v>
      </c>
      <c r="C20" s="25">
        <v>10000</v>
      </c>
      <c r="D20" s="32"/>
      <c r="E20" s="32"/>
      <c r="F20" s="25"/>
      <c r="G20" s="25">
        <f>C20</f>
        <v>10000</v>
      </c>
      <c r="H20" s="25"/>
      <c r="I20" s="25">
        <f>G20</f>
        <v>10000</v>
      </c>
      <c r="J20" s="25"/>
      <c r="K20" s="25">
        <v>10000</v>
      </c>
      <c r="L20" s="25">
        <f>I20-K20</f>
        <v>0</v>
      </c>
      <c r="M20" s="25"/>
      <c r="N20" s="25"/>
      <c r="O20" s="25">
        <f t="shared" si="2"/>
        <v>0</v>
      </c>
      <c r="P20" s="25"/>
      <c r="Q20" s="47"/>
    </row>
    <row r="21" spans="1:17" ht="18.75" customHeight="1" x14ac:dyDescent="0.35">
      <c r="A21" s="30" t="s">
        <v>84</v>
      </c>
      <c r="B21" s="8" t="s">
        <v>91</v>
      </c>
      <c r="C21" s="25">
        <v>500</v>
      </c>
      <c r="D21" s="32"/>
      <c r="E21" s="32"/>
      <c r="F21" s="32"/>
      <c r="G21" s="32">
        <f>C21</f>
        <v>500</v>
      </c>
      <c r="H21" s="25"/>
      <c r="I21" s="25">
        <f>G21</f>
        <v>500</v>
      </c>
      <c r="J21" s="25"/>
      <c r="K21" s="25"/>
      <c r="L21" s="25">
        <f>I21</f>
        <v>500</v>
      </c>
      <c r="M21" s="25"/>
      <c r="N21" s="25"/>
      <c r="O21" s="25">
        <f t="shared" si="2"/>
        <v>500</v>
      </c>
      <c r="P21" s="25"/>
      <c r="Q21" s="47"/>
    </row>
    <row r="22" spans="1:17" ht="36.75" customHeight="1" x14ac:dyDescent="0.35">
      <c r="A22" s="30" t="s">
        <v>92</v>
      </c>
      <c r="B22" s="8" t="s">
        <v>93</v>
      </c>
      <c r="C22" s="25">
        <v>46000</v>
      </c>
      <c r="D22" s="32"/>
      <c r="E22" s="32"/>
      <c r="F22" s="32"/>
      <c r="G22" s="32">
        <f>C22</f>
        <v>46000</v>
      </c>
      <c r="H22" s="25"/>
      <c r="I22" s="25">
        <f>G22</f>
        <v>46000</v>
      </c>
      <c r="J22" s="25"/>
      <c r="K22" s="25"/>
      <c r="L22" s="25">
        <f>I22</f>
        <v>46000</v>
      </c>
      <c r="M22" s="25"/>
      <c r="N22" s="25"/>
      <c r="O22" s="25">
        <f t="shared" si="2"/>
        <v>46000</v>
      </c>
      <c r="P22" s="25"/>
      <c r="Q22" s="47"/>
    </row>
    <row r="23" spans="1:17" s="22" customFormat="1" ht="15.5" x14ac:dyDescent="0.35">
      <c r="A23" s="28" t="s">
        <v>11</v>
      </c>
      <c r="B23" s="33" t="s">
        <v>94</v>
      </c>
      <c r="C23" s="20">
        <f t="shared" ref="C23:I23" si="5">SUM(C24:C24)</f>
        <v>9561</v>
      </c>
      <c r="D23" s="20">
        <f t="shared" si="5"/>
        <v>0</v>
      </c>
      <c r="E23" s="20">
        <f t="shared" si="5"/>
        <v>0</v>
      </c>
      <c r="F23" s="20">
        <f t="shared" si="5"/>
        <v>0</v>
      </c>
      <c r="G23" s="20">
        <f t="shared" si="5"/>
        <v>9561</v>
      </c>
      <c r="H23" s="20">
        <f t="shared" si="5"/>
        <v>0</v>
      </c>
      <c r="I23" s="20">
        <f t="shared" si="5"/>
        <v>9561</v>
      </c>
      <c r="J23" s="20"/>
      <c r="K23" s="20">
        <f>SUM(K24:K24)</f>
        <v>9561</v>
      </c>
      <c r="L23" s="20">
        <f>SUM(L24:L24)</f>
        <v>0</v>
      </c>
      <c r="M23" s="20"/>
      <c r="N23" s="20"/>
      <c r="O23" s="25">
        <f t="shared" si="2"/>
        <v>0</v>
      </c>
      <c r="P23" s="20"/>
      <c r="Q23" s="46"/>
    </row>
    <row r="24" spans="1:17" ht="31" x14ac:dyDescent="0.35">
      <c r="A24" s="30"/>
      <c r="B24" s="9" t="s">
        <v>90</v>
      </c>
      <c r="C24" s="25">
        <v>9561</v>
      </c>
      <c r="D24" s="32"/>
      <c r="E24" s="32"/>
      <c r="F24" s="32"/>
      <c r="G24" s="25">
        <f>C24</f>
        <v>9561</v>
      </c>
      <c r="H24" s="25"/>
      <c r="I24" s="25">
        <f>G24</f>
        <v>9561</v>
      </c>
      <c r="J24" s="25"/>
      <c r="K24" s="25">
        <f>I24</f>
        <v>9561</v>
      </c>
      <c r="L24" s="25">
        <f>I24-K24</f>
        <v>0</v>
      </c>
      <c r="M24" s="25"/>
      <c r="N24" s="25"/>
      <c r="O24" s="25">
        <f t="shared" si="2"/>
        <v>0</v>
      </c>
      <c r="P24" s="25"/>
      <c r="Q24" s="47"/>
    </row>
    <row r="25" spans="1:17" ht="15" x14ac:dyDescent="0.3">
      <c r="A25" s="18" t="s">
        <v>19</v>
      </c>
      <c r="B25" s="33" t="s">
        <v>95</v>
      </c>
      <c r="C25" s="20">
        <f>SUM(C26:C28)</f>
        <v>195840</v>
      </c>
      <c r="D25" s="20">
        <f>SUM(D26:D28)</f>
        <v>0</v>
      </c>
      <c r="E25" s="20">
        <f t="shared" ref="E25:L25" si="6">SUM(E26:E28)</f>
        <v>0</v>
      </c>
      <c r="F25" s="20">
        <f t="shared" si="6"/>
        <v>0</v>
      </c>
      <c r="G25" s="20">
        <f t="shared" si="6"/>
        <v>0</v>
      </c>
      <c r="H25" s="20">
        <f t="shared" si="6"/>
        <v>0</v>
      </c>
      <c r="I25" s="20">
        <f t="shared" si="6"/>
        <v>195840</v>
      </c>
      <c r="J25" s="20"/>
      <c r="K25" s="20">
        <f t="shared" si="6"/>
        <v>730</v>
      </c>
      <c r="L25" s="20">
        <f t="shared" si="6"/>
        <v>195110</v>
      </c>
      <c r="M25" s="20"/>
      <c r="N25" s="20"/>
      <c r="O25" s="20">
        <f t="shared" si="2"/>
        <v>195110</v>
      </c>
      <c r="P25" s="25"/>
      <c r="Q25" s="47"/>
    </row>
    <row r="26" spans="1:17" ht="31" x14ac:dyDescent="0.35">
      <c r="A26" s="30">
        <v>1</v>
      </c>
      <c r="B26" s="34" t="s">
        <v>96</v>
      </c>
      <c r="C26" s="25">
        <v>730</v>
      </c>
      <c r="D26" s="32"/>
      <c r="E26" s="32"/>
      <c r="F26" s="32"/>
      <c r="G26" s="25"/>
      <c r="H26" s="25"/>
      <c r="I26" s="25">
        <f>C26</f>
        <v>730</v>
      </c>
      <c r="J26" s="25"/>
      <c r="K26" s="25">
        <v>730</v>
      </c>
      <c r="L26" s="25">
        <f>I26-K26</f>
        <v>0</v>
      </c>
      <c r="M26" s="25"/>
      <c r="N26" s="25"/>
      <c r="O26" s="25">
        <f t="shared" si="2"/>
        <v>0</v>
      </c>
      <c r="P26" s="25"/>
      <c r="Q26" s="47"/>
    </row>
    <row r="27" spans="1:17" ht="18.75" customHeight="1" x14ac:dyDescent="0.35">
      <c r="A27" s="30">
        <v>2</v>
      </c>
      <c r="B27" s="34" t="s">
        <v>97</v>
      </c>
      <c r="C27" s="25">
        <v>95110</v>
      </c>
      <c r="D27" s="32"/>
      <c r="E27" s="32"/>
      <c r="F27" s="32"/>
      <c r="G27" s="25"/>
      <c r="H27" s="25"/>
      <c r="I27" s="25">
        <f>C27</f>
        <v>95110</v>
      </c>
      <c r="J27" s="25"/>
      <c r="K27" s="25"/>
      <c r="L27" s="25">
        <f>I27</f>
        <v>95110</v>
      </c>
      <c r="M27" s="25"/>
      <c r="N27" s="25"/>
      <c r="O27" s="25">
        <f t="shared" si="2"/>
        <v>95110</v>
      </c>
      <c r="P27" s="25"/>
      <c r="Q27" s="47"/>
    </row>
    <row r="28" spans="1:17" ht="18.75" customHeight="1" x14ac:dyDescent="0.35">
      <c r="A28" s="30">
        <v>3</v>
      </c>
      <c r="B28" s="34" t="s">
        <v>98</v>
      </c>
      <c r="C28" s="25">
        <v>100000</v>
      </c>
      <c r="D28" s="32"/>
      <c r="E28" s="32"/>
      <c r="F28" s="32"/>
      <c r="G28" s="25"/>
      <c r="H28" s="25"/>
      <c r="I28" s="25">
        <f>C28</f>
        <v>100000</v>
      </c>
      <c r="J28" s="25"/>
      <c r="K28" s="25"/>
      <c r="L28" s="25">
        <f>I28</f>
        <v>100000</v>
      </c>
      <c r="M28" s="25"/>
      <c r="N28" s="25"/>
      <c r="O28" s="25">
        <f t="shared" si="2"/>
        <v>100000</v>
      </c>
      <c r="P28" s="25"/>
      <c r="Q28" s="47"/>
    </row>
    <row r="29" spans="1:17" s="22" customFormat="1" ht="15.5" x14ac:dyDescent="0.35">
      <c r="A29" s="28" t="s">
        <v>99</v>
      </c>
      <c r="B29" s="33" t="s">
        <v>100</v>
      </c>
      <c r="C29" s="20"/>
      <c r="D29" s="35"/>
      <c r="E29" s="35"/>
      <c r="F29" s="35"/>
      <c r="G29" s="20"/>
      <c r="H29" s="20"/>
      <c r="I29" s="20">
        <f>I30+I31+I32</f>
        <v>0</v>
      </c>
      <c r="J29" s="20">
        <f>J30+J31+J32</f>
        <v>45602</v>
      </c>
      <c r="K29" s="20">
        <f>K30+K31+K32</f>
        <v>0</v>
      </c>
      <c r="L29" s="20">
        <f>L30+L31+L32</f>
        <v>45602</v>
      </c>
      <c r="M29" s="20"/>
      <c r="N29" s="20"/>
      <c r="O29" s="20">
        <f t="shared" si="2"/>
        <v>45602</v>
      </c>
      <c r="P29" s="20"/>
      <c r="Q29" s="46"/>
    </row>
    <row r="30" spans="1:17" ht="15.5" x14ac:dyDescent="0.35">
      <c r="A30" s="30">
        <v>1</v>
      </c>
      <c r="B30" s="34" t="s">
        <v>101</v>
      </c>
      <c r="C30" s="25"/>
      <c r="D30" s="32"/>
      <c r="E30" s="32"/>
      <c r="F30" s="32"/>
      <c r="G30" s="25"/>
      <c r="H30" s="25"/>
      <c r="I30" s="25"/>
      <c r="J30" s="25">
        <v>17000</v>
      </c>
      <c r="K30" s="25"/>
      <c r="L30" s="25">
        <v>17000</v>
      </c>
      <c r="M30" s="25"/>
      <c r="N30" s="25"/>
      <c r="O30" s="25">
        <f t="shared" si="2"/>
        <v>17000</v>
      </c>
      <c r="P30" s="25"/>
      <c r="Q30" s="47"/>
    </row>
    <row r="31" spans="1:17" ht="31" x14ac:dyDescent="0.35">
      <c r="A31" s="30">
        <v>2</v>
      </c>
      <c r="B31" s="34" t="s">
        <v>102</v>
      </c>
      <c r="C31" s="25"/>
      <c r="D31" s="32"/>
      <c r="E31" s="32"/>
      <c r="F31" s="32"/>
      <c r="G31" s="25"/>
      <c r="H31" s="25"/>
      <c r="I31" s="25"/>
      <c r="J31" s="25">
        <v>602</v>
      </c>
      <c r="K31" s="25"/>
      <c r="L31" s="25">
        <v>602</v>
      </c>
      <c r="M31" s="25"/>
      <c r="N31" s="25"/>
      <c r="O31" s="25">
        <f t="shared" si="2"/>
        <v>602</v>
      </c>
      <c r="P31" s="25"/>
      <c r="Q31" s="47"/>
    </row>
    <row r="32" spans="1:17" ht="31" x14ac:dyDescent="0.35">
      <c r="A32" s="30">
        <v>3</v>
      </c>
      <c r="B32" s="34" t="s">
        <v>103</v>
      </c>
      <c r="C32" s="25"/>
      <c r="D32" s="32"/>
      <c r="E32" s="32"/>
      <c r="F32" s="32"/>
      <c r="G32" s="25"/>
      <c r="H32" s="25"/>
      <c r="I32" s="25"/>
      <c r="J32" s="25">
        <v>28000</v>
      </c>
      <c r="K32" s="25"/>
      <c r="L32" s="25">
        <v>28000</v>
      </c>
      <c r="M32" s="25"/>
      <c r="N32" s="25"/>
      <c r="O32" s="25">
        <f t="shared" si="2"/>
        <v>28000</v>
      </c>
      <c r="P32" s="25"/>
      <c r="Q32" s="47"/>
    </row>
    <row r="33" spans="1:17" ht="15" customHeight="1" x14ac:dyDescent="0.3">
      <c r="A33" s="51"/>
      <c r="B33" s="52"/>
      <c r="C33" s="25"/>
      <c r="D33" s="25"/>
      <c r="E33" s="25"/>
      <c r="F33" s="25"/>
      <c r="G33" s="25"/>
      <c r="H33" s="25"/>
      <c r="I33" s="25"/>
      <c r="J33" s="25"/>
      <c r="K33" s="25"/>
      <c r="L33" s="25"/>
      <c r="M33" s="25"/>
      <c r="N33" s="25"/>
      <c r="O33" s="25">
        <f t="shared" si="2"/>
        <v>0</v>
      </c>
      <c r="P33" s="25"/>
      <c r="Q33" s="47"/>
    </row>
    <row r="34" spans="1:17" ht="15" customHeight="1" x14ac:dyDescent="0.3">
      <c r="A34" s="51" t="s">
        <v>108</v>
      </c>
      <c r="B34" s="33" t="s">
        <v>112</v>
      </c>
      <c r="C34" s="47"/>
      <c r="D34" s="47"/>
      <c r="E34" s="47"/>
      <c r="F34" s="47"/>
      <c r="G34" s="47"/>
      <c r="H34" s="25"/>
      <c r="I34" s="25"/>
      <c r="J34" s="25"/>
      <c r="K34" s="25"/>
      <c r="L34" s="25"/>
      <c r="M34" s="20">
        <f>SUM(M35:M42)</f>
        <v>66757</v>
      </c>
      <c r="N34" s="25"/>
      <c r="O34" s="20">
        <f t="shared" si="2"/>
        <v>66757</v>
      </c>
      <c r="P34" s="25"/>
      <c r="Q34" s="47">
        <f>Q41</f>
        <v>749</v>
      </c>
    </row>
    <row r="35" spans="1:17" ht="34.5" customHeight="1" x14ac:dyDescent="0.35">
      <c r="A35" s="51" t="s">
        <v>72</v>
      </c>
      <c r="B35" s="1" t="s">
        <v>51</v>
      </c>
      <c r="C35" s="47"/>
      <c r="D35" s="47"/>
      <c r="E35" s="47"/>
      <c r="F35" s="47"/>
      <c r="G35" s="47"/>
      <c r="H35" s="25"/>
      <c r="I35" s="25"/>
      <c r="J35" s="25"/>
      <c r="K35" s="25"/>
      <c r="L35" s="25"/>
      <c r="M35" s="2">
        <v>12000</v>
      </c>
      <c r="N35" s="25"/>
      <c r="O35" s="25">
        <f t="shared" si="2"/>
        <v>12000</v>
      </c>
      <c r="P35" s="25"/>
      <c r="Q35" s="47"/>
    </row>
    <row r="36" spans="1:17" ht="31" x14ac:dyDescent="0.35">
      <c r="A36" s="51" t="s">
        <v>74</v>
      </c>
      <c r="B36" s="1" t="s">
        <v>52</v>
      </c>
      <c r="C36" s="47"/>
      <c r="D36" s="47"/>
      <c r="E36" s="47"/>
      <c r="F36" s="47"/>
      <c r="G36" s="47"/>
      <c r="H36" s="25"/>
      <c r="I36" s="25"/>
      <c r="J36" s="25"/>
      <c r="K36" s="25"/>
      <c r="L36" s="25"/>
      <c r="M36" s="2">
        <v>490</v>
      </c>
      <c r="N36" s="25"/>
      <c r="O36" s="25">
        <f t="shared" si="2"/>
        <v>490</v>
      </c>
      <c r="P36" s="25"/>
      <c r="Q36" s="47"/>
    </row>
    <row r="37" spans="1:17" ht="31" x14ac:dyDescent="0.35">
      <c r="A37" s="51" t="s">
        <v>76</v>
      </c>
      <c r="B37" s="3" t="s">
        <v>53</v>
      </c>
      <c r="C37" s="47"/>
      <c r="D37" s="47"/>
      <c r="E37" s="47"/>
      <c r="F37" s="47"/>
      <c r="G37" s="47"/>
      <c r="H37" s="25"/>
      <c r="I37" s="25"/>
      <c r="J37" s="25"/>
      <c r="K37" s="25"/>
      <c r="L37" s="25"/>
      <c r="M37" s="53">
        <v>1918</v>
      </c>
      <c r="N37" s="25"/>
      <c r="O37" s="25">
        <f t="shared" si="2"/>
        <v>1918</v>
      </c>
      <c r="P37" s="25"/>
      <c r="Q37" s="47">
        <f>O37</f>
        <v>1918</v>
      </c>
    </row>
    <row r="38" spans="1:17" ht="31" x14ac:dyDescent="0.35">
      <c r="A38" s="51" t="s">
        <v>82</v>
      </c>
      <c r="B38" s="1" t="s">
        <v>54</v>
      </c>
      <c r="C38" s="47"/>
      <c r="D38" s="47"/>
      <c r="E38" s="47"/>
      <c r="F38" s="47"/>
      <c r="G38" s="47"/>
      <c r="H38" s="25"/>
      <c r="I38" s="25"/>
      <c r="J38" s="25"/>
      <c r="K38" s="25"/>
      <c r="L38" s="25"/>
      <c r="M38" s="2">
        <v>30000</v>
      </c>
      <c r="N38" s="25"/>
      <c r="O38" s="25">
        <f t="shared" si="2"/>
        <v>30000</v>
      </c>
      <c r="P38" s="25"/>
      <c r="Q38" s="47"/>
    </row>
    <row r="39" spans="1:17" ht="46.5" x14ac:dyDescent="0.35">
      <c r="A39" s="51" t="s">
        <v>84</v>
      </c>
      <c r="B39" s="1" t="s">
        <v>55</v>
      </c>
      <c r="C39" s="47"/>
      <c r="D39" s="47"/>
      <c r="E39" s="47"/>
      <c r="F39" s="47"/>
      <c r="G39" s="47"/>
      <c r="H39" s="25"/>
      <c r="I39" s="25"/>
      <c r="J39" s="25"/>
      <c r="K39" s="25"/>
      <c r="L39" s="25"/>
      <c r="M39" s="2">
        <v>10000</v>
      </c>
      <c r="N39" s="25"/>
      <c r="O39" s="25">
        <f t="shared" si="2"/>
        <v>10000</v>
      </c>
      <c r="P39" s="25"/>
      <c r="Q39" s="47"/>
    </row>
    <row r="40" spans="1:17" ht="31" x14ac:dyDescent="0.35">
      <c r="A40" s="51" t="s">
        <v>109</v>
      </c>
      <c r="B40" s="3" t="s">
        <v>56</v>
      </c>
      <c r="C40" s="47"/>
      <c r="D40" s="47"/>
      <c r="E40" s="47"/>
      <c r="F40" s="47"/>
      <c r="G40" s="47"/>
      <c r="H40" s="25"/>
      <c r="I40" s="25"/>
      <c r="J40" s="25"/>
      <c r="K40" s="25"/>
      <c r="L40" s="25"/>
      <c r="M40" s="2">
        <v>1600</v>
      </c>
      <c r="N40" s="25"/>
      <c r="O40" s="25">
        <f t="shared" si="2"/>
        <v>1600</v>
      </c>
      <c r="P40" s="25"/>
      <c r="Q40" s="47"/>
    </row>
    <row r="41" spans="1:17" ht="31" x14ac:dyDescent="0.35">
      <c r="A41" s="51" t="s">
        <v>110</v>
      </c>
      <c r="B41" s="8" t="s">
        <v>57</v>
      </c>
      <c r="C41" s="47"/>
      <c r="D41" s="47"/>
      <c r="E41" s="47"/>
      <c r="F41" s="47"/>
      <c r="G41" s="47"/>
      <c r="H41" s="25"/>
      <c r="I41" s="25"/>
      <c r="J41" s="25"/>
      <c r="K41" s="25"/>
      <c r="L41" s="25"/>
      <c r="M41" s="12">
        <v>749</v>
      </c>
      <c r="N41" s="25"/>
      <c r="O41" s="25">
        <f t="shared" si="2"/>
        <v>749</v>
      </c>
      <c r="P41" s="25"/>
      <c r="Q41" s="47">
        <f>O41</f>
        <v>749</v>
      </c>
    </row>
    <row r="42" spans="1:17" ht="31" x14ac:dyDescent="0.35">
      <c r="A42" s="51" t="s">
        <v>111</v>
      </c>
      <c r="B42" s="3" t="s">
        <v>58</v>
      </c>
      <c r="C42" s="47"/>
      <c r="D42" s="47"/>
      <c r="E42" s="47"/>
      <c r="F42" s="47"/>
      <c r="G42" s="47"/>
      <c r="H42" s="25"/>
      <c r="I42" s="25"/>
      <c r="J42" s="25"/>
      <c r="K42" s="25"/>
      <c r="L42" s="25"/>
      <c r="M42" s="2">
        <v>10000</v>
      </c>
      <c r="N42" s="25"/>
      <c r="O42" s="25">
        <f t="shared" si="2"/>
        <v>10000</v>
      </c>
      <c r="P42" s="25"/>
      <c r="Q42" s="47"/>
    </row>
    <row r="43" spans="1:17" ht="15.5" x14ac:dyDescent="0.35">
      <c r="A43" s="51" t="s">
        <v>113</v>
      </c>
      <c r="B43" s="33" t="s">
        <v>114</v>
      </c>
      <c r="C43" s="47"/>
      <c r="D43" s="47"/>
      <c r="E43" s="47"/>
      <c r="F43" s="47"/>
      <c r="G43" s="47"/>
      <c r="H43" s="25"/>
      <c r="I43" s="25"/>
      <c r="J43" s="25"/>
      <c r="K43" s="25"/>
      <c r="L43" s="25"/>
      <c r="M43" s="2"/>
      <c r="N43" s="25"/>
      <c r="O43" s="25">
        <f t="shared" si="2"/>
        <v>0</v>
      </c>
      <c r="P43" s="25">
        <f>SUM(P44:P63)</f>
        <v>19550</v>
      </c>
      <c r="Q43" s="25">
        <f>SUM(Q44:Q63)</f>
        <v>21468</v>
      </c>
    </row>
    <row r="44" spans="1:17" ht="31" x14ac:dyDescent="0.35">
      <c r="A44" s="36" t="s">
        <v>72</v>
      </c>
      <c r="B44" s="54" t="s">
        <v>115</v>
      </c>
      <c r="C44" s="55"/>
      <c r="D44" s="55"/>
      <c r="E44" s="55"/>
      <c r="F44" s="55"/>
      <c r="G44" s="55"/>
      <c r="H44" s="37"/>
      <c r="I44" s="37"/>
      <c r="J44" s="37"/>
      <c r="K44" s="37"/>
      <c r="L44" s="37"/>
      <c r="M44" s="37"/>
      <c r="N44" s="37"/>
      <c r="O44" s="37"/>
      <c r="P44" s="37">
        <v>17900</v>
      </c>
      <c r="Q44" s="55">
        <f>P44</f>
        <v>17900</v>
      </c>
    </row>
    <row r="45" spans="1:17" ht="15.5" x14ac:dyDescent="0.35">
      <c r="A45" s="38" t="s">
        <v>74</v>
      </c>
      <c r="B45" s="54" t="s">
        <v>121</v>
      </c>
      <c r="H45" s="15"/>
      <c r="I45" s="15"/>
      <c r="J45" s="15"/>
      <c r="K45" s="15"/>
      <c r="L45" s="15"/>
      <c r="M45" s="15"/>
      <c r="N45" s="15"/>
      <c r="O45" s="15"/>
      <c r="P45" s="15">
        <v>1650</v>
      </c>
    </row>
    <row r="46" spans="1:17" ht="15.5" x14ac:dyDescent="0.35">
      <c r="A46" s="38" t="s">
        <v>76</v>
      </c>
      <c r="B46" s="54" t="s">
        <v>120</v>
      </c>
      <c r="H46" s="15"/>
      <c r="I46" s="15"/>
      <c r="J46" s="15"/>
      <c r="K46" s="15"/>
      <c r="L46" s="15"/>
      <c r="M46" s="15"/>
      <c r="N46" s="15"/>
      <c r="O46" s="15"/>
      <c r="P46" s="15"/>
      <c r="Q46" s="13">
        <f>1918+1650</f>
        <v>3568</v>
      </c>
    </row>
    <row r="47" spans="1:17" x14ac:dyDescent="0.3">
      <c r="H47" s="15"/>
      <c r="I47" s="15"/>
      <c r="J47" s="15"/>
      <c r="K47" s="15"/>
      <c r="L47" s="15"/>
      <c r="M47" s="15"/>
      <c r="N47" s="15"/>
      <c r="O47" s="15"/>
      <c r="P47" s="15"/>
    </row>
    <row r="48" spans="1:17" x14ac:dyDescent="0.3">
      <c r="H48" s="15"/>
      <c r="I48" s="15"/>
      <c r="J48" s="15"/>
      <c r="K48" s="15"/>
      <c r="L48" s="15"/>
      <c r="M48" s="15"/>
      <c r="N48" s="15"/>
      <c r="O48" s="15"/>
      <c r="P48" s="15"/>
    </row>
    <row r="49" spans="8:16" x14ac:dyDescent="0.3">
      <c r="H49" s="15"/>
      <c r="I49" s="15"/>
      <c r="J49" s="15"/>
      <c r="K49" s="15"/>
      <c r="L49" s="15"/>
      <c r="M49" s="15"/>
      <c r="N49" s="15"/>
      <c r="O49" s="15"/>
      <c r="P49" s="15"/>
    </row>
    <row r="50" spans="8:16" x14ac:dyDescent="0.3">
      <c r="H50" s="15"/>
      <c r="I50" s="15"/>
      <c r="J50" s="15"/>
      <c r="K50" s="15"/>
      <c r="L50" s="15"/>
      <c r="M50" s="15"/>
      <c r="N50" s="15"/>
      <c r="O50" s="15"/>
      <c r="P50" s="15"/>
    </row>
    <row r="51" spans="8:16" x14ac:dyDescent="0.3">
      <c r="H51" s="15"/>
      <c r="I51" s="15"/>
      <c r="J51" s="15"/>
      <c r="K51" s="15"/>
      <c r="L51" s="15"/>
      <c r="M51" s="15"/>
      <c r="N51" s="15"/>
      <c r="O51" s="15"/>
      <c r="P51" s="15"/>
    </row>
    <row r="52" spans="8:16" x14ac:dyDescent="0.3">
      <c r="H52" s="15"/>
      <c r="I52" s="15"/>
      <c r="J52" s="15"/>
      <c r="K52" s="15"/>
      <c r="L52" s="15"/>
      <c r="M52" s="15"/>
      <c r="N52" s="15"/>
      <c r="O52" s="15"/>
      <c r="P52" s="15"/>
    </row>
    <row r="53" spans="8:16" x14ac:dyDescent="0.3">
      <c r="H53" s="15"/>
      <c r="I53" s="15"/>
      <c r="J53" s="15"/>
      <c r="K53" s="15"/>
      <c r="L53" s="15"/>
      <c r="M53" s="15"/>
      <c r="N53" s="15"/>
      <c r="O53" s="15"/>
      <c r="P53" s="15"/>
    </row>
    <row r="54" spans="8:16" x14ac:dyDescent="0.3">
      <c r="H54" s="15"/>
      <c r="I54" s="15"/>
      <c r="J54" s="15"/>
      <c r="K54" s="15"/>
      <c r="L54" s="15"/>
      <c r="M54" s="15"/>
      <c r="N54" s="15"/>
      <c r="O54" s="15"/>
      <c r="P54" s="15"/>
    </row>
    <row r="55" spans="8:16" x14ac:dyDescent="0.3">
      <c r="H55" s="15"/>
      <c r="I55" s="15"/>
      <c r="J55" s="15"/>
      <c r="K55" s="15"/>
      <c r="L55" s="15"/>
      <c r="M55" s="15"/>
      <c r="N55" s="15"/>
      <c r="O55" s="15"/>
      <c r="P55" s="15"/>
    </row>
    <row r="56" spans="8:16" x14ac:dyDescent="0.3">
      <c r="H56" s="15"/>
      <c r="I56" s="15"/>
      <c r="J56" s="15"/>
      <c r="K56" s="15"/>
      <c r="L56" s="15"/>
      <c r="M56" s="15"/>
      <c r="N56" s="15"/>
      <c r="O56" s="15"/>
      <c r="P56" s="15"/>
    </row>
    <row r="57" spans="8:16" x14ac:dyDescent="0.3">
      <c r="H57" s="15"/>
      <c r="I57" s="15"/>
      <c r="J57" s="15"/>
      <c r="K57" s="15"/>
      <c r="L57" s="15"/>
      <c r="M57" s="15"/>
      <c r="N57" s="15"/>
      <c r="O57" s="15"/>
      <c r="P57" s="15"/>
    </row>
    <row r="58" spans="8:16" x14ac:dyDescent="0.3">
      <c r="H58" s="15"/>
      <c r="I58" s="15"/>
      <c r="J58" s="15"/>
      <c r="K58" s="15"/>
      <c r="L58" s="15"/>
      <c r="M58" s="15"/>
      <c r="N58" s="15"/>
      <c r="O58" s="15"/>
      <c r="P58" s="15"/>
    </row>
    <row r="59" spans="8:16" x14ac:dyDescent="0.3">
      <c r="H59" s="15"/>
      <c r="I59" s="15"/>
      <c r="J59" s="15"/>
      <c r="K59" s="15"/>
      <c r="L59" s="15"/>
      <c r="M59" s="15"/>
      <c r="N59" s="15"/>
      <c r="O59" s="15"/>
      <c r="P59" s="15"/>
    </row>
    <row r="60" spans="8:16" x14ac:dyDescent="0.3">
      <c r="H60" s="15"/>
      <c r="I60" s="15"/>
      <c r="J60" s="15"/>
      <c r="K60" s="15"/>
      <c r="L60" s="15"/>
      <c r="M60" s="15"/>
      <c r="N60" s="15"/>
      <c r="O60" s="15"/>
      <c r="P60" s="15"/>
    </row>
    <row r="61" spans="8:16" x14ac:dyDescent="0.3">
      <c r="H61" s="15"/>
      <c r="I61" s="15"/>
      <c r="J61" s="15"/>
      <c r="K61" s="15"/>
      <c r="L61" s="15"/>
      <c r="M61" s="15"/>
      <c r="N61" s="15"/>
      <c r="O61" s="15"/>
      <c r="P61" s="15"/>
    </row>
    <row r="62" spans="8:16" x14ac:dyDescent="0.3">
      <c r="H62" s="15"/>
      <c r="I62" s="15"/>
      <c r="J62" s="15"/>
      <c r="K62" s="15"/>
      <c r="L62" s="15"/>
      <c r="M62" s="15"/>
      <c r="N62" s="15"/>
      <c r="O62" s="15"/>
      <c r="P62" s="15"/>
    </row>
    <row r="63" spans="8:16" x14ac:dyDescent="0.3">
      <c r="H63" s="15"/>
      <c r="I63" s="15"/>
      <c r="J63" s="15"/>
      <c r="K63" s="15"/>
      <c r="L63" s="15"/>
      <c r="M63" s="15"/>
      <c r="N63" s="15"/>
      <c r="O63" s="15"/>
      <c r="P63" s="15"/>
    </row>
    <row r="64" spans="8:16" x14ac:dyDescent="0.3">
      <c r="H64" s="15"/>
      <c r="I64" s="15"/>
      <c r="J64" s="15"/>
      <c r="K64" s="15"/>
      <c r="L64" s="15"/>
      <c r="M64" s="15"/>
      <c r="N64" s="15"/>
      <c r="O64" s="15"/>
      <c r="P64" s="15"/>
    </row>
    <row r="65" spans="8:16" x14ac:dyDescent="0.3">
      <c r="H65" s="15"/>
      <c r="I65" s="15"/>
      <c r="J65" s="15"/>
      <c r="K65" s="15"/>
      <c r="L65" s="15"/>
      <c r="M65" s="15"/>
      <c r="N65" s="15"/>
      <c r="O65" s="15"/>
      <c r="P65" s="15"/>
    </row>
    <row r="66" spans="8:16" x14ac:dyDescent="0.3">
      <c r="H66" s="15"/>
      <c r="I66" s="15"/>
      <c r="J66" s="15"/>
      <c r="K66" s="15"/>
      <c r="L66" s="15"/>
      <c r="M66" s="15"/>
      <c r="N66" s="15"/>
      <c r="O66" s="15"/>
      <c r="P66" s="15"/>
    </row>
    <row r="67" spans="8:16" x14ac:dyDescent="0.3">
      <c r="H67" s="15"/>
      <c r="I67" s="15"/>
      <c r="J67" s="15"/>
      <c r="K67" s="15"/>
      <c r="L67" s="15"/>
      <c r="M67" s="15"/>
      <c r="N67" s="15"/>
      <c r="O67" s="15"/>
      <c r="P67" s="15"/>
    </row>
    <row r="68" spans="8:16" x14ac:dyDescent="0.3">
      <c r="H68" s="15"/>
      <c r="I68" s="15"/>
      <c r="J68" s="15"/>
      <c r="K68" s="15"/>
      <c r="L68" s="15"/>
      <c r="M68" s="15"/>
      <c r="N68" s="15"/>
      <c r="O68" s="15"/>
      <c r="P68" s="15"/>
    </row>
    <row r="69" spans="8:16" x14ac:dyDescent="0.3">
      <c r="H69" s="15"/>
      <c r="I69" s="15"/>
      <c r="J69" s="15"/>
      <c r="K69" s="15"/>
      <c r="L69" s="15"/>
      <c r="M69" s="15"/>
      <c r="N69" s="15"/>
      <c r="O69" s="15"/>
      <c r="P69" s="15"/>
    </row>
    <row r="70" spans="8:16" x14ac:dyDescent="0.3">
      <c r="H70" s="15"/>
      <c r="I70" s="15"/>
      <c r="J70" s="15"/>
      <c r="K70" s="15"/>
      <c r="L70" s="15"/>
      <c r="M70" s="15"/>
      <c r="N70" s="15"/>
      <c r="O70" s="15"/>
      <c r="P70" s="15"/>
    </row>
    <row r="71" spans="8:16" x14ac:dyDescent="0.3">
      <c r="H71" s="15"/>
      <c r="I71" s="15"/>
      <c r="J71" s="15"/>
      <c r="K71" s="15"/>
      <c r="L71" s="15"/>
      <c r="M71" s="15"/>
      <c r="N71" s="15"/>
      <c r="O71" s="15"/>
      <c r="P71" s="15"/>
    </row>
    <row r="72" spans="8:16" x14ac:dyDescent="0.3">
      <c r="H72" s="15"/>
      <c r="I72" s="15"/>
      <c r="J72" s="15"/>
      <c r="K72" s="15"/>
      <c r="L72" s="15"/>
      <c r="M72" s="15"/>
      <c r="N72" s="15"/>
      <c r="O72" s="15"/>
      <c r="P72" s="15"/>
    </row>
    <row r="73" spans="8:16" x14ac:dyDescent="0.3">
      <c r="H73" s="15"/>
      <c r="I73" s="15"/>
      <c r="J73" s="15"/>
      <c r="K73" s="15"/>
      <c r="L73" s="15"/>
      <c r="M73" s="15"/>
      <c r="N73" s="15"/>
      <c r="O73" s="15"/>
      <c r="P73" s="15"/>
    </row>
    <row r="74" spans="8:16" x14ac:dyDescent="0.3">
      <c r="H74" s="15"/>
      <c r="I74" s="15"/>
      <c r="J74" s="15"/>
      <c r="K74" s="15"/>
      <c r="L74" s="15"/>
      <c r="M74" s="15"/>
      <c r="N74" s="15"/>
      <c r="O74" s="15"/>
      <c r="P74" s="15"/>
    </row>
    <row r="75" spans="8:16" x14ac:dyDescent="0.3">
      <c r="H75" s="15"/>
      <c r="I75" s="15"/>
      <c r="J75" s="15"/>
      <c r="K75" s="15"/>
      <c r="L75" s="15"/>
      <c r="M75" s="15"/>
      <c r="N75" s="15"/>
      <c r="O75" s="15"/>
      <c r="P75" s="15"/>
    </row>
    <row r="76" spans="8:16" x14ac:dyDescent="0.3">
      <c r="H76" s="15"/>
      <c r="I76" s="15"/>
      <c r="J76" s="15"/>
      <c r="K76" s="15"/>
      <c r="L76" s="15"/>
      <c r="M76" s="15"/>
      <c r="N76" s="15"/>
      <c r="O76" s="15"/>
      <c r="P76" s="15"/>
    </row>
    <row r="77" spans="8:16" x14ac:dyDescent="0.3">
      <c r="H77" s="15"/>
      <c r="I77" s="15"/>
      <c r="J77" s="15"/>
      <c r="K77" s="15"/>
      <c r="L77" s="15"/>
      <c r="M77" s="15"/>
      <c r="N77" s="15"/>
      <c r="O77" s="15"/>
      <c r="P77" s="15"/>
    </row>
    <row r="78" spans="8:16" x14ac:dyDescent="0.3">
      <c r="H78" s="15"/>
      <c r="I78" s="15"/>
      <c r="J78" s="15"/>
      <c r="K78" s="15"/>
      <c r="L78" s="15"/>
      <c r="M78" s="15"/>
      <c r="N78" s="15"/>
      <c r="O78" s="15"/>
      <c r="P78" s="15"/>
    </row>
    <row r="79" spans="8:16" x14ac:dyDescent="0.3">
      <c r="H79" s="15"/>
      <c r="I79" s="15"/>
      <c r="J79" s="15"/>
      <c r="K79" s="15"/>
      <c r="L79" s="15"/>
      <c r="M79" s="15"/>
      <c r="N79" s="15"/>
      <c r="O79" s="15"/>
      <c r="P79" s="15"/>
    </row>
    <row r="80" spans="8:16" x14ac:dyDescent="0.3">
      <c r="H80" s="15"/>
      <c r="I80" s="15"/>
      <c r="J80" s="15"/>
      <c r="K80" s="15"/>
      <c r="L80" s="15"/>
      <c r="M80" s="15"/>
      <c r="N80" s="15"/>
      <c r="O80" s="15"/>
      <c r="P80" s="15"/>
    </row>
    <row r="81" spans="8:16" x14ac:dyDescent="0.3">
      <c r="H81" s="15"/>
      <c r="I81" s="15"/>
      <c r="J81" s="15"/>
      <c r="K81" s="15"/>
      <c r="L81" s="15"/>
      <c r="M81" s="15"/>
      <c r="N81" s="15"/>
      <c r="O81" s="15"/>
      <c r="P81" s="15"/>
    </row>
    <row r="82" spans="8:16" x14ac:dyDescent="0.3">
      <c r="H82" s="15"/>
      <c r="I82" s="15"/>
      <c r="J82" s="15"/>
      <c r="K82" s="15"/>
      <c r="L82" s="15"/>
      <c r="M82" s="15"/>
      <c r="N82" s="15"/>
      <c r="O82" s="15"/>
      <c r="P82" s="15"/>
    </row>
    <row r="83" spans="8:16" x14ac:dyDescent="0.3">
      <c r="H83" s="15"/>
      <c r="I83" s="15"/>
      <c r="J83" s="15"/>
      <c r="K83" s="15"/>
      <c r="L83" s="15"/>
      <c r="M83" s="15"/>
      <c r="N83" s="15"/>
      <c r="O83" s="15"/>
      <c r="P83" s="15"/>
    </row>
    <row r="84" spans="8:16" x14ac:dyDescent="0.3">
      <c r="H84" s="15"/>
      <c r="I84" s="15"/>
      <c r="J84" s="15"/>
      <c r="K84" s="15"/>
      <c r="L84" s="15"/>
      <c r="M84" s="15"/>
      <c r="N84" s="15"/>
      <c r="O84" s="15"/>
      <c r="P84" s="15"/>
    </row>
    <row r="85" spans="8:16" x14ac:dyDescent="0.3">
      <c r="H85" s="15"/>
      <c r="I85" s="15"/>
      <c r="J85" s="15"/>
      <c r="K85" s="15"/>
      <c r="L85" s="15"/>
      <c r="M85" s="15"/>
      <c r="N85" s="15"/>
      <c r="O85" s="15"/>
      <c r="P85" s="15"/>
    </row>
    <row r="86" spans="8:16" x14ac:dyDescent="0.3">
      <c r="H86" s="15"/>
      <c r="I86" s="15"/>
      <c r="J86" s="15"/>
      <c r="K86" s="15"/>
      <c r="L86" s="15"/>
      <c r="M86" s="15"/>
      <c r="N86" s="15"/>
      <c r="O86" s="15"/>
      <c r="P86" s="15"/>
    </row>
    <row r="87" spans="8:16" x14ac:dyDescent="0.3">
      <c r="H87" s="15"/>
      <c r="I87" s="15"/>
      <c r="J87" s="15"/>
      <c r="K87" s="15"/>
      <c r="L87" s="15"/>
      <c r="M87" s="15"/>
      <c r="N87" s="15"/>
      <c r="O87" s="15"/>
      <c r="P87" s="15"/>
    </row>
    <row r="88" spans="8:16" x14ac:dyDescent="0.3">
      <c r="H88" s="15"/>
      <c r="I88" s="15"/>
      <c r="J88" s="15"/>
      <c r="K88" s="15"/>
      <c r="L88" s="15"/>
      <c r="M88" s="15"/>
      <c r="N88" s="15"/>
      <c r="O88" s="15"/>
      <c r="P88" s="15"/>
    </row>
    <row r="89" spans="8:16" x14ac:dyDescent="0.3">
      <c r="H89" s="15"/>
      <c r="I89" s="15"/>
      <c r="J89" s="15"/>
      <c r="K89" s="15"/>
      <c r="L89" s="15"/>
      <c r="M89" s="15"/>
      <c r="N89" s="15"/>
      <c r="O89" s="15"/>
      <c r="P89" s="15"/>
    </row>
    <row r="90" spans="8:16" x14ac:dyDescent="0.3">
      <c r="H90" s="15"/>
      <c r="I90" s="15"/>
      <c r="J90" s="15"/>
      <c r="K90" s="15"/>
      <c r="L90" s="15"/>
      <c r="M90" s="15"/>
      <c r="N90" s="15"/>
      <c r="O90" s="15"/>
      <c r="P90" s="15"/>
    </row>
    <row r="91" spans="8:16" x14ac:dyDescent="0.3">
      <c r="H91" s="15"/>
      <c r="I91" s="15"/>
      <c r="J91" s="15"/>
      <c r="K91" s="15"/>
      <c r="L91" s="15"/>
      <c r="M91" s="15"/>
      <c r="N91" s="15"/>
      <c r="O91" s="15"/>
      <c r="P91" s="15"/>
    </row>
    <row r="92" spans="8:16" x14ac:dyDescent="0.3">
      <c r="H92" s="15"/>
      <c r="I92" s="15"/>
      <c r="J92" s="15"/>
      <c r="K92" s="15"/>
      <c r="L92" s="15"/>
      <c r="M92" s="15"/>
      <c r="N92" s="15"/>
      <c r="O92" s="15"/>
      <c r="P92" s="15"/>
    </row>
    <row r="93" spans="8:16" x14ac:dyDescent="0.3">
      <c r="H93" s="15"/>
      <c r="I93" s="15"/>
      <c r="J93" s="15"/>
      <c r="K93" s="15"/>
      <c r="L93" s="15"/>
      <c r="M93" s="15"/>
      <c r="N93" s="15"/>
      <c r="O93" s="15"/>
      <c r="P93" s="15"/>
    </row>
    <row r="94" spans="8:16" x14ac:dyDescent="0.3">
      <c r="H94" s="15"/>
      <c r="I94" s="15"/>
      <c r="J94" s="15"/>
      <c r="K94" s="15"/>
      <c r="L94" s="15"/>
      <c r="M94" s="15"/>
      <c r="N94" s="15"/>
      <c r="O94" s="15"/>
      <c r="P94" s="15"/>
    </row>
    <row r="95" spans="8:16" x14ac:dyDescent="0.3">
      <c r="H95" s="15"/>
      <c r="I95" s="15"/>
      <c r="J95" s="15"/>
      <c r="K95" s="15"/>
      <c r="L95" s="15"/>
      <c r="M95" s="15"/>
      <c r="N95" s="15"/>
      <c r="O95" s="15"/>
      <c r="P95" s="15"/>
    </row>
    <row r="96" spans="8:16" x14ac:dyDescent="0.3">
      <c r="H96" s="15"/>
      <c r="I96" s="15"/>
      <c r="J96" s="15"/>
      <c r="K96" s="15"/>
      <c r="L96" s="15"/>
      <c r="M96" s="15"/>
      <c r="N96" s="15"/>
      <c r="O96" s="15"/>
      <c r="P96" s="15"/>
    </row>
    <row r="97" spans="8:16" x14ac:dyDescent="0.3">
      <c r="H97" s="15"/>
      <c r="I97" s="15"/>
      <c r="J97" s="15"/>
      <c r="K97" s="15"/>
      <c r="L97" s="15"/>
      <c r="M97" s="15"/>
      <c r="N97" s="15"/>
      <c r="O97" s="15"/>
      <c r="P97" s="15"/>
    </row>
    <row r="98" spans="8:16" x14ac:dyDescent="0.3">
      <c r="H98" s="15"/>
      <c r="I98" s="15"/>
      <c r="J98" s="15"/>
      <c r="K98" s="15"/>
      <c r="L98" s="15"/>
      <c r="M98" s="15"/>
      <c r="N98" s="15"/>
      <c r="O98" s="15"/>
      <c r="P98" s="15"/>
    </row>
    <row r="99" spans="8:16" x14ac:dyDescent="0.3">
      <c r="H99" s="15"/>
      <c r="I99" s="15"/>
      <c r="J99" s="15"/>
      <c r="K99" s="15"/>
      <c r="L99" s="15"/>
      <c r="M99" s="15"/>
      <c r="N99" s="15"/>
      <c r="O99" s="15"/>
      <c r="P99" s="15"/>
    </row>
    <row r="100" spans="8:16" x14ac:dyDescent="0.3">
      <c r="H100" s="15"/>
      <c r="I100" s="15"/>
      <c r="J100" s="15"/>
      <c r="K100" s="15"/>
      <c r="L100" s="15"/>
      <c r="M100" s="15"/>
      <c r="N100" s="15"/>
      <c r="O100" s="15"/>
      <c r="P100" s="15"/>
    </row>
    <row r="101" spans="8:16" x14ac:dyDescent="0.3">
      <c r="H101" s="15"/>
      <c r="I101" s="15"/>
      <c r="J101" s="15"/>
      <c r="K101" s="15"/>
      <c r="L101" s="15"/>
      <c r="M101" s="15"/>
      <c r="N101" s="15"/>
      <c r="O101" s="15"/>
      <c r="P101" s="15"/>
    </row>
    <row r="102" spans="8:16" x14ac:dyDescent="0.3">
      <c r="H102" s="15"/>
      <c r="I102" s="15"/>
      <c r="J102" s="15"/>
      <c r="K102" s="15"/>
      <c r="L102" s="15"/>
      <c r="M102" s="15"/>
      <c r="N102" s="15"/>
      <c r="O102" s="15"/>
      <c r="P102" s="15"/>
    </row>
    <row r="103" spans="8:16" x14ac:dyDescent="0.3">
      <c r="H103" s="15"/>
      <c r="I103" s="15"/>
      <c r="J103" s="15"/>
      <c r="K103" s="15"/>
      <c r="L103" s="15"/>
      <c r="M103" s="15"/>
      <c r="N103" s="15"/>
      <c r="O103" s="15"/>
      <c r="P103" s="15"/>
    </row>
    <row r="104" spans="8:16" x14ac:dyDescent="0.3">
      <c r="H104" s="15"/>
      <c r="I104" s="15"/>
      <c r="J104" s="15"/>
      <c r="K104" s="15"/>
      <c r="L104" s="15"/>
      <c r="M104" s="15"/>
      <c r="N104" s="15"/>
      <c r="O104" s="15"/>
      <c r="P104" s="15"/>
    </row>
    <row r="105" spans="8:16" x14ac:dyDescent="0.3">
      <c r="H105" s="15"/>
      <c r="I105" s="15"/>
      <c r="J105" s="15"/>
      <c r="K105" s="15"/>
      <c r="L105" s="15"/>
      <c r="M105" s="15"/>
      <c r="N105" s="15"/>
      <c r="O105" s="15"/>
      <c r="P105" s="15"/>
    </row>
    <row r="106" spans="8:16" x14ac:dyDescent="0.3">
      <c r="H106" s="15"/>
      <c r="I106" s="15"/>
      <c r="J106" s="15"/>
      <c r="K106" s="15"/>
      <c r="L106" s="15"/>
      <c r="M106" s="15"/>
      <c r="N106" s="15"/>
      <c r="O106" s="15"/>
      <c r="P106" s="15"/>
    </row>
    <row r="107" spans="8:16" x14ac:dyDescent="0.3">
      <c r="H107" s="15"/>
      <c r="I107" s="15"/>
      <c r="J107" s="15"/>
      <c r="K107" s="15"/>
      <c r="L107" s="15"/>
      <c r="M107" s="15"/>
      <c r="N107" s="15"/>
      <c r="O107" s="15"/>
      <c r="P107" s="15"/>
    </row>
    <row r="108" spans="8:16" x14ac:dyDescent="0.3">
      <c r="H108" s="15"/>
      <c r="I108" s="15"/>
      <c r="J108" s="15"/>
      <c r="K108" s="15"/>
      <c r="L108" s="15"/>
      <c r="M108" s="15"/>
      <c r="N108" s="15"/>
      <c r="O108" s="15"/>
      <c r="P108" s="15"/>
    </row>
  </sheetData>
  <mergeCells count="19">
    <mergeCell ref="D3:D4"/>
    <mergeCell ref="E3:E4"/>
    <mergeCell ref="F3:F4"/>
    <mergeCell ref="G3:G4"/>
    <mergeCell ref="O3:O4"/>
    <mergeCell ref="A1:Q1"/>
    <mergeCell ref="I3:I4"/>
    <mergeCell ref="J3:J4"/>
    <mergeCell ref="K3:K4"/>
    <mergeCell ref="L3:L4"/>
    <mergeCell ref="M3:M4"/>
    <mergeCell ref="N3:N4"/>
    <mergeCell ref="K2:L2"/>
    <mergeCell ref="A3:A4"/>
    <mergeCell ref="H3:H4"/>
    <mergeCell ref="P3:P4"/>
    <mergeCell ref="Q3:Q4"/>
    <mergeCell ref="B3:B4"/>
    <mergeCell ref="C3:C4"/>
  </mergeCells>
  <pageMargins left="0.7" right="0.7" top="0.75" bottom="0.75" header="0.3" footer="0.3"/>
  <pageSetup paperSize="9" orientation="portrait" verticalDpi="0"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D3"/>
  <sheetViews>
    <sheetView workbookViewId="0">
      <selection activeCell="G15" sqref="G15"/>
    </sheetView>
  </sheetViews>
  <sheetFormatPr defaultColWidth="9.1796875" defaultRowHeight="18.75" customHeight="1" x14ac:dyDescent="0.4"/>
  <cols>
    <col min="1" max="1" width="9.1796875" style="60"/>
    <col min="2" max="2" width="13.1796875" style="60" customWidth="1"/>
    <col min="3" max="3" width="55.1796875" style="59" customWidth="1"/>
    <col min="4" max="4" width="16.81640625" style="59" customWidth="1"/>
    <col min="5" max="16384" width="9.1796875" style="59"/>
  </cols>
  <sheetData>
    <row r="1" spans="1:4" s="58" customFormat="1" ht="27.75" customHeight="1" x14ac:dyDescent="0.35">
      <c r="A1" s="880" t="s">
        <v>125</v>
      </c>
      <c r="B1" s="880"/>
      <c r="C1" s="880"/>
      <c r="D1" s="880"/>
    </row>
    <row r="2" spans="1:4" ht="45" customHeight="1" x14ac:dyDescent="0.4">
      <c r="A2" s="60" t="s">
        <v>0</v>
      </c>
      <c r="B2" s="61" t="s">
        <v>129</v>
      </c>
      <c r="C2" s="60" t="s">
        <v>126</v>
      </c>
      <c r="D2" s="61" t="s">
        <v>128</v>
      </c>
    </row>
    <row r="3" spans="1:4" ht="54.75" customHeight="1" x14ac:dyDescent="0.4">
      <c r="A3" s="60">
        <v>1</v>
      </c>
      <c r="B3" s="61" t="s">
        <v>130</v>
      </c>
      <c r="C3" s="59" t="s">
        <v>127</v>
      </c>
      <c r="D3" s="59">
        <v>1695</v>
      </c>
    </row>
  </sheetData>
  <mergeCells count="1">
    <mergeCell ref="A1:D1"/>
  </mergeCells>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E29"/>
  <sheetViews>
    <sheetView workbookViewId="0">
      <selection activeCell="E4" sqref="E4"/>
    </sheetView>
  </sheetViews>
  <sheetFormatPr defaultRowHeight="18" customHeight="1" x14ac:dyDescent="0.25"/>
  <cols>
    <col min="1" max="1" width="6" style="83" customWidth="1"/>
    <col min="2" max="2" width="14.54296875" customWidth="1"/>
    <col min="3" max="3" width="14.1796875" style="83" customWidth="1"/>
    <col min="4" max="4" width="38" customWidth="1"/>
    <col min="5" max="5" width="18.1796875" customWidth="1"/>
  </cols>
  <sheetData>
    <row r="1" spans="1:5" ht="18" customHeight="1" x14ac:dyDescent="0.3">
      <c r="A1" s="881" t="s">
        <v>157</v>
      </c>
      <c r="B1" s="881"/>
      <c r="C1" s="881"/>
      <c r="D1" s="881"/>
      <c r="E1" s="881"/>
    </row>
    <row r="2" spans="1:5" s="85" customFormat="1" ht="22.5" customHeight="1" x14ac:dyDescent="0.3">
      <c r="A2" s="84" t="s">
        <v>0</v>
      </c>
      <c r="B2" s="84" t="s">
        <v>154</v>
      </c>
      <c r="C2" s="84" t="s">
        <v>155</v>
      </c>
      <c r="D2" s="84"/>
      <c r="E2" s="84" t="s">
        <v>156</v>
      </c>
    </row>
    <row r="3" spans="1:5" ht="18" customHeight="1" x14ac:dyDescent="0.25">
      <c r="A3" s="83">
        <v>1</v>
      </c>
      <c r="B3" s="88" t="s">
        <v>159</v>
      </c>
      <c r="C3" s="87">
        <v>43350</v>
      </c>
      <c r="D3" s="86" t="s">
        <v>158</v>
      </c>
      <c r="E3" s="11">
        <f>1444214000-336100000</f>
        <v>1108114000</v>
      </c>
    </row>
    <row r="4" spans="1:5" ht="18" customHeight="1" x14ac:dyDescent="0.25">
      <c r="A4" s="83">
        <v>2</v>
      </c>
      <c r="B4" s="88" t="s">
        <v>160</v>
      </c>
      <c r="C4" s="87">
        <v>43380</v>
      </c>
      <c r="D4" s="86" t="s">
        <v>161</v>
      </c>
      <c r="E4" s="11"/>
    </row>
    <row r="5" spans="1:5" ht="18" customHeight="1" x14ac:dyDescent="0.25">
      <c r="A5" s="83">
        <v>3</v>
      </c>
      <c r="B5" s="83"/>
      <c r="E5" s="11"/>
    </row>
    <row r="6" spans="1:5" ht="18" customHeight="1" x14ac:dyDescent="0.25">
      <c r="A6" s="83">
        <v>4</v>
      </c>
      <c r="B6" s="83"/>
      <c r="E6" s="11"/>
    </row>
    <row r="7" spans="1:5" ht="18" customHeight="1" x14ac:dyDescent="0.25">
      <c r="A7" s="83">
        <v>5</v>
      </c>
      <c r="B7" s="83"/>
      <c r="E7" s="11"/>
    </row>
    <row r="8" spans="1:5" ht="18" customHeight="1" x14ac:dyDescent="0.25">
      <c r="A8" s="83">
        <v>6</v>
      </c>
      <c r="B8" s="83"/>
      <c r="E8" s="11"/>
    </row>
    <row r="9" spans="1:5" ht="18" customHeight="1" x14ac:dyDescent="0.25">
      <c r="A9" s="83">
        <v>7</v>
      </c>
      <c r="B9" s="83"/>
      <c r="E9" s="11"/>
    </row>
    <row r="10" spans="1:5" ht="18" customHeight="1" x14ac:dyDescent="0.25">
      <c r="A10" s="83">
        <v>8</v>
      </c>
      <c r="B10" s="83"/>
      <c r="E10" s="11"/>
    </row>
    <row r="11" spans="1:5" ht="18" customHeight="1" x14ac:dyDescent="0.25">
      <c r="A11" s="83">
        <v>9</v>
      </c>
      <c r="B11" s="83"/>
      <c r="E11" s="11"/>
    </row>
    <row r="12" spans="1:5" ht="18" customHeight="1" x14ac:dyDescent="0.25">
      <c r="A12" s="83">
        <v>10</v>
      </c>
      <c r="B12" s="83"/>
      <c r="E12" s="11"/>
    </row>
    <row r="13" spans="1:5" ht="18" customHeight="1" x14ac:dyDescent="0.25">
      <c r="A13" s="83">
        <v>11</v>
      </c>
      <c r="B13" s="83"/>
      <c r="E13" s="11"/>
    </row>
    <row r="14" spans="1:5" ht="18" customHeight="1" x14ac:dyDescent="0.25">
      <c r="A14" s="83">
        <v>12</v>
      </c>
      <c r="B14" s="83"/>
      <c r="E14" s="11"/>
    </row>
    <row r="15" spans="1:5" ht="18" customHeight="1" x14ac:dyDescent="0.25">
      <c r="A15" s="83">
        <v>13</v>
      </c>
      <c r="B15" s="83"/>
      <c r="E15" s="11"/>
    </row>
    <row r="16" spans="1:5" ht="18" customHeight="1" x14ac:dyDescent="0.25">
      <c r="A16" s="83">
        <v>14</v>
      </c>
      <c r="B16" s="83"/>
      <c r="E16" s="11"/>
    </row>
    <row r="17" spans="1:5" ht="18" customHeight="1" x14ac:dyDescent="0.25">
      <c r="A17" s="83">
        <v>15</v>
      </c>
      <c r="B17" s="83"/>
      <c r="E17" s="11"/>
    </row>
    <row r="18" spans="1:5" ht="18" customHeight="1" x14ac:dyDescent="0.25">
      <c r="B18" s="83"/>
      <c r="E18" s="11"/>
    </row>
    <row r="19" spans="1:5" ht="18" customHeight="1" x14ac:dyDescent="0.25">
      <c r="B19" s="83"/>
      <c r="E19" s="11"/>
    </row>
    <row r="20" spans="1:5" ht="18" customHeight="1" x14ac:dyDescent="0.25">
      <c r="B20" s="83"/>
      <c r="E20" s="11"/>
    </row>
    <row r="21" spans="1:5" ht="18" customHeight="1" x14ac:dyDescent="0.25">
      <c r="B21" s="83"/>
      <c r="E21" s="11"/>
    </row>
    <row r="22" spans="1:5" ht="18" customHeight="1" x14ac:dyDescent="0.25">
      <c r="B22" s="83"/>
      <c r="E22" s="11"/>
    </row>
    <row r="23" spans="1:5" ht="18" customHeight="1" x14ac:dyDescent="0.25">
      <c r="B23" s="83"/>
      <c r="E23" s="11"/>
    </row>
    <row r="24" spans="1:5" ht="18" customHeight="1" x14ac:dyDescent="0.25">
      <c r="B24" s="83"/>
      <c r="E24" s="11"/>
    </row>
    <row r="25" spans="1:5" ht="18" customHeight="1" x14ac:dyDescent="0.25">
      <c r="B25" s="83"/>
      <c r="E25" s="11"/>
    </row>
    <row r="26" spans="1:5" ht="18" customHeight="1" x14ac:dyDescent="0.25">
      <c r="B26" s="83"/>
      <c r="E26" s="11"/>
    </row>
    <row r="27" spans="1:5" ht="18" customHeight="1" x14ac:dyDescent="0.25">
      <c r="B27" s="83"/>
    </row>
    <row r="28" spans="1:5" ht="18" customHeight="1" x14ac:dyDescent="0.25">
      <c r="B28" s="83"/>
    </row>
    <row r="29" spans="1:5" ht="18" customHeight="1" x14ac:dyDescent="0.25">
      <c r="B29" s="83"/>
    </row>
  </sheetData>
  <mergeCells count="1">
    <mergeCell ref="A1:E1"/>
  </mergeCells>
  <pageMargins left="0.7" right="0.7" top="0.75" bottom="0.75"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pageSetUpPr fitToPage="1"/>
  </sheetPr>
  <dimension ref="A1:V94"/>
  <sheetViews>
    <sheetView topLeftCell="A64" zoomScale="115" zoomScaleNormal="115" workbookViewId="0">
      <selection activeCell="G8" sqref="G8"/>
    </sheetView>
  </sheetViews>
  <sheetFormatPr defaultColWidth="9.1796875" defaultRowHeight="13" x14ac:dyDescent="0.3"/>
  <cols>
    <col min="1" max="1" width="4.1796875" style="170" customWidth="1"/>
    <col min="2" max="2" width="22.54296875" style="173" customWidth="1"/>
    <col min="3" max="3" width="10" style="173" hidden="1" customWidth="1"/>
    <col min="4" max="4" width="7.54296875" style="171" customWidth="1"/>
    <col min="5" max="5" width="8" style="171" customWidth="1"/>
    <col min="6" max="6" width="68.453125" style="171" customWidth="1"/>
    <col min="7" max="7" width="7.453125" style="171" customWidth="1"/>
    <col min="8" max="8" width="32.81640625" style="171" customWidth="1"/>
    <col min="9" max="9" width="22.1796875" style="62" hidden="1" customWidth="1"/>
    <col min="10" max="10" width="10.26953125" style="92" hidden="1" customWidth="1"/>
    <col min="11" max="11" width="17.7265625" style="92" hidden="1" customWidth="1"/>
    <col min="12" max="14" width="0" style="92" hidden="1" customWidth="1"/>
    <col min="15" max="15" width="0" style="221" hidden="1" customWidth="1"/>
    <col min="16" max="21" width="0" style="92" hidden="1" customWidth="1"/>
    <col min="22" max="16384" width="9.1796875" style="92"/>
  </cols>
  <sheetData>
    <row r="1" spans="1:22" s="89" customFormat="1" ht="24" customHeight="1" x14ac:dyDescent="0.3">
      <c r="A1" s="886" t="s">
        <v>359</v>
      </c>
      <c r="B1" s="886"/>
      <c r="C1" s="886"/>
      <c r="D1" s="886"/>
      <c r="E1" s="886"/>
      <c r="F1" s="886"/>
      <c r="G1" s="886"/>
      <c r="H1" s="886"/>
      <c r="I1" s="886"/>
      <c r="J1" s="133"/>
      <c r="K1" s="133"/>
      <c r="O1" s="219"/>
    </row>
    <row r="2" spans="1:22" s="89" customFormat="1" ht="18" hidden="1" x14ac:dyDescent="0.3">
      <c r="A2" s="887" t="s">
        <v>295</v>
      </c>
      <c r="B2" s="887"/>
      <c r="C2" s="887"/>
      <c r="D2" s="887"/>
      <c r="E2" s="887"/>
      <c r="F2" s="887"/>
      <c r="G2" s="887"/>
      <c r="H2" s="887"/>
      <c r="I2" s="888"/>
      <c r="J2" s="133"/>
      <c r="K2" s="133"/>
      <c r="O2" s="219"/>
    </row>
    <row r="3" spans="1:22" s="89" customFormat="1" ht="24" customHeight="1" x14ac:dyDescent="0.35">
      <c r="A3" s="134"/>
      <c r="B3" s="172"/>
      <c r="C3" s="172"/>
      <c r="D3" s="134"/>
      <c r="E3" s="134"/>
      <c r="F3" s="134"/>
      <c r="G3" s="134"/>
      <c r="H3" s="197" t="s">
        <v>59</v>
      </c>
      <c r="I3" s="135"/>
      <c r="J3" s="133"/>
      <c r="K3" s="133"/>
      <c r="O3" s="219"/>
    </row>
    <row r="4" spans="1:22" s="77" customFormat="1" ht="18.75" customHeight="1" x14ac:dyDescent="0.3">
      <c r="A4" s="889" t="s">
        <v>0</v>
      </c>
      <c r="B4" s="889" t="s">
        <v>1</v>
      </c>
      <c r="C4" s="890" t="s">
        <v>303</v>
      </c>
      <c r="D4" s="890" t="s">
        <v>247</v>
      </c>
      <c r="E4" s="889" t="s">
        <v>124</v>
      </c>
      <c r="F4" s="889"/>
      <c r="G4" s="889" t="s">
        <v>248</v>
      </c>
      <c r="H4" s="889"/>
      <c r="I4" s="203" t="s">
        <v>2</v>
      </c>
      <c r="J4" s="136"/>
      <c r="K4" s="136"/>
      <c r="O4" s="219"/>
    </row>
    <row r="5" spans="1:22" s="77" customFormat="1" ht="20.25" customHeight="1" x14ac:dyDescent="0.3">
      <c r="A5" s="889"/>
      <c r="B5" s="889"/>
      <c r="C5" s="891"/>
      <c r="D5" s="891"/>
      <c r="E5" s="202" t="s">
        <v>249</v>
      </c>
      <c r="F5" s="202" t="s">
        <v>13</v>
      </c>
      <c r="G5" s="202" t="s">
        <v>249</v>
      </c>
      <c r="H5" s="202" t="s">
        <v>250</v>
      </c>
      <c r="I5" s="203"/>
      <c r="J5" s="136"/>
      <c r="K5" s="136"/>
      <c r="O5" s="219"/>
    </row>
    <row r="6" spans="1:22" s="77" customFormat="1" ht="20.25" customHeight="1" x14ac:dyDescent="0.3">
      <c r="A6" s="202"/>
      <c r="B6" s="202" t="s">
        <v>294</v>
      </c>
      <c r="C6" s="228"/>
      <c r="D6" s="273" t="e">
        <f>D7+D64+D76</f>
        <v>#REF!</v>
      </c>
      <c r="E6" s="273" t="e">
        <f>E7+E64+E76</f>
        <v>#REF!</v>
      </c>
      <c r="F6" s="203"/>
      <c r="G6" s="273" t="e">
        <f>G7+G64+G76</f>
        <v>#REF!</v>
      </c>
      <c r="H6" s="203"/>
      <c r="I6" s="203"/>
      <c r="J6" s="136"/>
      <c r="K6" s="136"/>
      <c r="N6" s="76" t="e">
        <f>D6-E6</f>
        <v>#REF!</v>
      </c>
      <c r="O6" s="219">
        <v>68312</v>
      </c>
      <c r="R6" s="196">
        <v>824917.69700000016</v>
      </c>
      <c r="S6" s="244" t="e">
        <f>D6-R6</f>
        <v>#REF!</v>
      </c>
      <c r="T6" s="76" t="e">
        <f>D6-S6</f>
        <v>#REF!</v>
      </c>
    </row>
    <row r="7" spans="1:22" s="190" customFormat="1" ht="22.5" customHeight="1" x14ac:dyDescent="0.3">
      <c r="A7" s="205" t="s">
        <v>222</v>
      </c>
      <c r="B7" s="204" t="s">
        <v>301</v>
      </c>
      <c r="C7" s="204"/>
      <c r="D7" s="206" t="e">
        <f>D8+D25</f>
        <v>#REF!</v>
      </c>
      <c r="E7" s="206" t="e">
        <f>E8+E25</f>
        <v>#REF!</v>
      </c>
      <c r="F7" s="207"/>
      <c r="G7" s="206" t="e">
        <f>G8+G25</f>
        <v>#REF!</v>
      </c>
      <c r="H7" s="207"/>
      <c r="I7" s="203"/>
      <c r="J7" s="136"/>
      <c r="K7" s="137"/>
      <c r="L7" s="77"/>
      <c r="M7" s="77"/>
      <c r="N7" s="77"/>
      <c r="O7" s="220"/>
      <c r="R7" s="206">
        <v>742687.8870000001</v>
      </c>
      <c r="S7" s="243" t="e">
        <f t="shared" ref="S7:S71" si="0">D7-R7</f>
        <v>#REF!</v>
      </c>
      <c r="U7" s="77"/>
      <c r="V7" s="271"/>
    </row>
    <row r="8" spans="1:22" s="191" customFormat="1" ht="25.5" customHeight="1" x14ac:dyDescent="0.3">
      <c r="A8" s="138" t="s">
        <v>4</v>
      </c>
      <c r="B8" s="146" t="s">
        <v>251</v>
      </c>
      <c r="C8" s="229"/>
      <c r="D8" s="208" t="e">
        <f>D9+D13+D24</f>
        <v>#REF!</v>
      </c>
      <c r="E8" s="208" t="e">
        <f>E9+E13+E24</f>
        <v>#REF!</v>
      </c>
      <c r="F8" s="208"/>
      <c r="G8" s="208" t="e">
        <f>G9+G13+G24</f>
        <v>#REF!</v>
      </c>
      <c r="H8" s="208"/>
      <c r="I8" s="209"/>
      <c r="J8" s="139" t="e">
        <f>D8-#REF!</f>
        <v>#REF!</v>
      </c>
      <c r="K8" s="137"/>
      <c r="L8" s="89"/>
      <c r="M8" s="90" t="e">
        <f>D8-E8</f>
        <v>#REF!</v>
      </c>
      <c r="N8" s="89"/>
      <c r="O8" s="220"/>
      <c r="R8" s="208">
        <v>236860.88700000005</v>
      </c>
      <c r="S8" s="244" t="e">
        <f t="shared" si="0"/>
        <v>#REF!</v>
      </c>
    </row>
    <row r="9" spans="1:22" s="191" customFormat="1" ht="25.5" customHeight="1" x14ac:dyDescent="0.3">
      <c r="A9" s="138">
        <v>1</v>
      </c>
      <c r="B9" s="154" t="s">
        <v>119</v>
      </c>
      <c r="C9" s="154"/>
      <c r="D9" s="140" t="e">
        <f>SUM(D10:D12)</f>
        <v>#REF!</v>
      </c>
      <c r="E9" s="140" t="e">
        <f>SUM(E10:E12)</f>
        <v>#REF!</v>
      </c>
      <c r="F9" s="140"/>
      <c r="G9" s="140">
        <f>SUM(G10:G12)</f>
        <v>0</v>
      </c>
      <c r="H9" s="140"/>
      <c r="I9" s="141"/>
      <c r="J9" s="139"/>
      <c r="K9" s="137"/>
      <c r="L9" s="89"/>
      <c r="M9" s="90" t="e">
        <f>D9-E9</f>
        <v>#REF!</v>
      </c>
      <c r="N9" s="89"/>
      <c r="O9" s="220"/>
      <c r="R9" s="140">
        <v>59445</v>
      </c>
      <c r="S9" s="244" t="e">
        <f t="shared" si="0"/>
        <v>#REF!</v>
      </c>
      <c r="V9" s="272"/>
    </row>
    <row r="10" spans="1:22" ht="21" x14ac:dyDescent="0.3">
      <c r="A10" s="141" t="s">
        <v>135</v>
      </c>
      <c r="B10" s="142" t="s">
        <v>50</v>
      </c>
      <c r="C10" s="142"/>
      <c r="D10" s="143"/>
      <c r="E10" s="143"/>
      <c r="F10" s="143"/>
      <c r="G10" s="143">
        <f>D10-E10</f>
        <v>0</v>
      </c>
      <c r="H10" s="142"/>
      <c r="I10" s="141"/>
      <c r="J10" s="144"/>
      <c r="K10" s="137"/>
      <c r="R10" s="143"/>
      <c r="S10" s="244">
        <f t="shared" si="0"/>
        <v>0</v>
      </c>
      <c r="V10" s="91"/>
    </row>
    <row r="11" spans="1:22" ht="42" x14ac:dyDescent="0.3">
      <c r="A11" s="141" t="s">
        <v>136</v>
      </c>
      <c r="B11" s="142" t="s">
        <v>132</v>
      </c>
      <c r="C11" s="142"/>
      <c r="D11" s="143" t="e">
        <f>#REF!</f>
        <v>#REF!</v>
      </c>
      <c r="E11" s="143" t="e">
        <f>D11</f>
        <v>#REF!</v>
      </c>
      <c r="F11" s="152" t="s">
        <v>315</v>
      </c>
      <c r="G11" s="143"/>
      <c r="H11" s="142"/>
      <c r="I11" s="192"/>
      <c r="J11" s="145"/>
      <c r="K11" s="137"/>
      <c r="O11" s="221">
        <v>5142</v>
      </c>
      <c r="P11" s="231" t="s">
        <v>302</v>
      </c>
      <c r="R11" s="143">
        <v>51445</v>
      </c>
      <c r="S11" s="244" t="e">
        <f t="shared" si="0"/>
        <v>#REF!</v>
      </c>
    </row>
    <row r="12" spans="1:22" ht="21" x14ac:dyDescent="0.3">
      <c r="A12" s="141" t="s">
        <v>163</v>
      </c>
      <c r="B12" s="142" t="s">
        <v>162</v>
      </c>
      <c r="C12" s="142"/>
      <c r="D12" s="143">
        <v>8000</v>
      </c>
      <c r="E12" s="143">
        <f>D12</f>
        <v>8000</v>
      </c>
      <c r="F12" s="143" t="s">
        <v>296</v>
      </c>
      <c r="G12" s="143">
        <f>D12-E12</f>
        <v>0</v>
      </c>
      <c r="H12" s="142"/>
      <c r="I12" s="192"/>
      <c r="J12" s="144"/>
      <c r="K12" s="137"/>
      <c r="R12" s="143">
        <v>8000</v>
      </c>
      <c r="S12" s="244">
        <f t="shared" si="0"/>
        <v>0</v>
      </c>
    </row>
    <row r="13" spans="1:22" s="89" customFormat="1" ht="50.25" customHeight="1" x14ac:dyDescent="0.3">
      <c r="A13" s="278">
        <v>2</v>
      </c>
      <c r="B13" s="279" t="s">
        <v>252</v>
      </c>
      <c r="C13" s="279"/>
      <c r="D13" s="280" t="e">
        <f>SUM(D14:D23)</f>
        <v>#REF!</v>
      </c>
      <c r="E13" s="280">
        <f>SUM(E14:E23)</f>
        <v>46862.879000000001</v>
      </c>
      <c r="F13" s="280"/>
      <c r="G13" s="280" t="e">
        <f>SUM(G14:G23)</f>
        <v>#REF!</v>
      </c>
      <c r="H13" s="281" t="s">
        <v>300</v>
      </c>
      <c r="I13" s="138"/>
      <c r="J13" s="147"/>
      <c r="K13" s="101">
        <v>108577</v>
      </c>
      <c r="L13" s="90" t="e">
        <f>D13-K13</f>
        <v>#REF!</v>
      </c>
      <c r="M13" s="90" t="e">
        <f>D13-E13</f>
        <v>#REF!</v>
      </c>
      <c r="N13" s="90"/>
      <c r="O13" s="219"/>
      <c r="R13" s="140">
        <v>113561.54700000005</v>
      </c>
      <c r="S13" s="244" t="e">
        <f t="shared" si="0"/>
        <v>#REF!</v>
      </c>
    </row>
    <row r="14" spans="1:22" ht="115.5" customHeight="1" x14ac:dyDescent="0.3">
      <c r="A14" s="141" t="s">
        <v>122</v>
      </c>
      <c r="B14" s="152" t="s">
        <v>5</v>
      </c>
      <c r="C14" s="152"/>
      <c r="D14" s="143" t="e">
        <f>'Chi tiet bo sung KP'!I6</f>
        <v>#REF!</v>
      </c>
      <c r="E14" s="143">
        <f>'Chi tiet bo sung KP'!I7</f>
        <v>17907.400000000001</v>
      </c>
      <c r="F14" s="148" t="s">
        <v>345</v>
      </c>
      <c r="G14" s="143" t="e">
        <f>D14-E14</f>
        <v>#REF!</v>
      </c>
      <c r="H14" s="148" t="s">
        <v>253</v>
      </c>
      <c r="I14" s="192"/>
      <c r="J14" s="144"/>
      <c r="K14" s="144">
        <v>18328.958999999999</v>
      </c>
      <c r="L14" s="91" t="e">
        <f>D7-L13</f>
        <v>#REF!</v>
      </c>
      <c r="O14" s="221">
        <v>619</v>
      </c>
      <c r="R14" s="143">
        <v>30000</v>
      </c>
      <c r="S14" s="244" t="e">
        <f t="shared" si="0"/>
        <v>#REF!</v>
      </c>
      <c r="U14" s="92">
        <f>575+72+635+138+562+968+1051+676+3590+1000+109+1845+335</f>
        <v>11556</v>
      </c>
    </row>
    <row r="15" spans="1:22" ht="31.5" x14ac:dyDescent="0.3">
      <c r="A15" s="141" t="s">
        <v>123</v>
      </c>
      <c r="B15" s="142" t="s">
        <v>6</v>
      </c>
      <c r="C15" s="142"/>
      <c r="D15" s="143" t="e">
        <f>'Chi tiet bo sung KP'!J6</f>
        <v>#REF!</v>
      </c>
      <c r="E15" s="143">
        <f>'Chi tiet bo sung KP'!J7</f>
        <v>969.02</v>
      </c>
      <c r="F15" s="148" t="s">
        <v>354</v>
      </c>
      <c r="G15" s="143" t="e">
        <f t="shared" ref="G15:G24" si="1">D15-E15</f>
        <v>#REF!</v>
      </c>
      <c r="H15" s="148" t="s">
        <v>254</v>
      </c>
      <c r="I15" s="192"/>
      <c r="J15" s="144"/>
      <c r="K15" s="144">
        <f>K14-E14</f>
        <v>421.55899999999747</v>
      </c>
      <c r="N15" s="91"/>
      <c r="R15" s="143">
        <v>15000</v>
      </c>
      <c r="S15" s="244" t="e">
        <f t="shared" si="0"/>
        <v>#REF!</v>
      </c>
      <c r="U15" s="92">
        <f>3441+703+42</f>
        <v>4186</v>
      </c>
    </row>
    <row r="16" spans="1:22" ht="41.25" customHeight="1" x14ac:dyDescent="0.3">
      <c r="A16" s="141" t="s">
        <v>137</v>
      </c>
      <c r="B16" s="152" t="s">
        <v>42</v>
      </c>
      <c r="C16" s="152"/>
      <c r="D16" s="143">
        <f>'Chi tiet bo sung KP'!K6</f>
        <v>0</v>
      </c>
      <c r="E16" s="143">
        <f>'Chi tiet bo sung KP'!K7</f>
        <v>0</v>
      </c>
      <c r="F16" s="148"/>
      <c r="G16" s="143">
        <f t="shared" si="1"/>
        <v>0</v>
      </c>
      <c r="H16" s="148" t="s">
        <v>255</v>
      </c>
      <c r="I16" s="192"/>
      <c r="J16" s="144"/>
      <c r="K16" s="149"/>
      <c r="R16" s="143">
        <v>8000</v>
      </c>
      <c r="S16" s="244">
        <f t="shared" si="0"/>
        <v>-8000</v>
      </c>
    </row>
    <row r="17" spans="1:21" ht="21" x14ac:dyDescent="0.3">
      <c r="A17" s="141" t="s">
        <v>138</v>
      </c>
      <c r="B17" s="152" t="s">
        <v>7</v>
      </c>
      <c r="C17" s="152"/>
      <c r="D17" s="143">
        <f>'Chi tiet bo sung KP'!L6</f>
        <v>0</v>
      </c>
      <c r="E17" s="143">
        <f>'Chi tiet bo sung KP'!L26</f>
        <v>0</v>
      </c>
      <c r="F17" s="148" t="s">
        <v>346</v>
      </c>
      <c r="G17" s="143">
        <f t="shared" si="1"/>
        <v>0</v>
      </c>
      <c r="H17" s="148" t="s">
        <v>256</v>
      </c>
      <c r="I17" s="141"/>
      <c r="J17" s="150"/>
      <c r="K17" s="150"/>
      <c r="L17" s="93"/>
      <c r="R17" s="143">
        <v>3000</v>
      </c>
      <c r="S17" s="244">
        <f t="shared" si="0"/>
        <v>-3000</v>
      </c>
      <c r="U17" s="92">
        <f>1107+192</f>
        <v>1299</v>
      </c>
    </row>
    <row r="18" spans="1:21" ht="84" x14ac:dyDescent="0.3">
      <c r="A18" s="141" t="s">
        <v>139</v>
      </c>
      <c r="B18" s="152" t="s">
        <v>8</v>
      </c>
      <c r="C18" s="152"/>
      <c r="D18" s="143">
        <f>'Chi tiet bo sung KP'!N6</f>
        <v>0</v>
      </c>
      <c r="E18" s="143">
        <f>'Chi tiet bo sung KP'!N7</f>
        <v>0</v>
      </c>
      <c r="F18" s="151" t="s">
        <v>347</v>
      </c>
      <c r="G18" s="143">
        <f t="shared" si="1"/>
        <v>0</v>
      </c>
      <c r="H18" s="151" t="s">
        <v>257</v>
      </c>
      <c r="I18" s="192"/>
      <c r="J18" s="144"/>
      <c r="K18" s="149">
        <v>11512</v>
      </c>
      <c r="O18" s="221">
        <v>1000</v>
      </c>
      <c r="R18" s="143">
        <v>29676.447000000044</v>
      </c>
      <c r="S18" s="244">
        <f t="shared" si="0"/>
        <v>-29676.447000000044</v>
      </c>
      <c r="U18" s="92">
        <f>1471+1550-788+1451+96+780+1600+1000+95+158+49+4+20+51+238+469</f>
        <v>8244</v>
      </c>
    </row>
    <row r="19" spans="1:21" ht="24.75" customHeight="1" x14ac:dyDescent="0.3">
      <c r="A19" s="141" t="s">
        <v>140</v>
      </c>
      <c r="B19" s="152" t="s">
        <v>285</v>
      </c>
      <c r="C19" s="152"/>
      <c r="D19" s="143">
        <f>'Chi tiet bo sung KP'!M6</f>
        <v>0</v>
      </c>
      <c r="E19" s="143">
        <f>'Chi tiet bo sung KP'!M7</f>
        <v>0</v>
      </c>
      <c r="F19" s="151" t="s">
        <v>348</v>
      </c>
      <c r="G19" s="143">
        <f t="shared" si="1"/>
        <v>0</v>
      </c>
      <c r="H19" s="151" t="s">
        <v>287</v>
      </c>
      <c r="I19" s="192"/>
      <c r="J19" s="144"/>
      <c r="K19" s="149"/>
      <c r="R19" s="143">
        <v>2000</v>
      </c>
      <c r="S19" s="244">
        <f t="shared" si="0"/>
        <v>-2000</v>
      </c>
      <c r="U19" s="92">
        <f>1345+67</f>
        <v>1412</v>
      </c>
    </row>
    <row r="20" spans="1:21" ht="31.5" x14ac:dyDescent="0.3">
      <c r="A20" s="141" t="s">
        <v>141</v>
      </c>
      <c r="B20" s="152" t="s">
        <v>218</v>
      </c>
      <c r="C20" s="152"/>
      <c r="D20" s="143" t="e">
        <f>'Chi tiet bo sung KP'!O6</f>
        <v>#REF!</v>
      </c>
      <c r="E20" s="143">
        <f>'Chi tiet bo sung KP'!O7</f>
        <v>27986.458999999999</v>
      </c>
      <c r="F20" s="148" t="s">
        <v>352</v>
      </c>
      <c r="G20" s="143" t="e">
        <f t="shared" si="1"/>
        <v>#REF!</v>
      </c>
      <c r="H20" s="152" t="s">
        <v>349</v>
      </c>
      <c r="I20" s="192"/>
      <c r="J20" s="144"/>
      <c r="K20" s="144">
        <f>G18-K18</f>
        <v>-11512</v>
      </c>
      <c r="O20" s="221">
        <v>1262</v>
      </c>
      <c r="R20" s="143">
        <v>24885.1</v>
      </c>
      <c r="S20" s="244" t="e">
        <f t="shared" si="0"/>
        <v>#REF!</v>
      </c>
      <c r="U20" s="92">
        <f>11439+278+3620</f>
        <v>15337</v>
      </c>
    </row>
    <row r="21" spans="1:21" ht="21" x14ac:dyDescent="0.3">
      <c r="A21" s="141" t="s">
        <v>142</v>
      </c>
      <c r="B21" s="152" t="s">
        <v>134</v>
      </c>
      <c r="C21" s="152"/>
      <c r="D21" s="143">
        <v>1000</v>
      </c>
      <c r="E21" s="143">
        <f>'Chi tiet bo sung KP'!P26</f>
        <v>0</v>
      </c>
      <c r="F21" s="148" t="s">
        <v>353</v>
      </c>
      <c r="G21" s="143">
        <f t="shared" si="1"/>
        <v>1000</v>
      </c>
      <c r="H21" s="143" t="s">
        <v>258</v>
      </c>
      <c r="I21" s="192"/>
      <c r="J21" s="144"/>
      <c r="K21" s="150"/>
      <c r="R21" s="143">
        <v>1000</v>
      </c>
      <c r="S21" s="244">
        <f t="shared" si="0"/>
        <v>0</v>
      </c>
      <c r="U21" s="92">
        <v>200</v>
      </c>
    </row>
    <row r="22" spans="1:21" hidden="1" x14ac:dyDescent="0.3">
      <c r="A22" s="141" t="s">
        <v>143</v>
      </c>
      <c r="B22" s="152" t="s">
        <v>215</v>
      </c>
      <c r="C22" s="152"/>
      <c r="D22" s="143" t="e">
        <f>#REF!</f>
        <v>#REF!</v>
      </c>
      <c r="E22" s="143"/>
      <c r="F22" s="148"/>
      <c r="G22" s="143" t="e">
        <f>D22</f>
        <v>#REF!</v>
      </c>
      <c r="H22" s="143" t="s">
        <v>343</v>
      </c>
      <c r="I22" s="192"/>
      <c r="J22" s="144"/>
      <c r="K22" s="150"/>
      <c r="R22" s="143"/>
      <c r="S22" s="244"/>
    </row>
    <row r="23" spans="1:21" ht="22.5" hidden="1" customHeight="1" x14ac:dyDescent="0.3">
      <c r="A23" s="141" t="s">
        <v>143</v>
      </c>
      <c r="B23" s="152" t="s">
        <v>259</v>
      </c>
      <c r="C23" s="152"/>
      <c r="D23" s="143"/>
      <c r="E23" s="143"/>
      <c r="F23" s="143"/>
      <c r="G23" s="143">
        <f t="shared" si="1"/>
        <v>0</v>
      </c>
      <c r="H23" s="143"/>
      <c r="I23" s="141"/>
      <c r="J23" s="144"/>
      <c r="K23" s="150"/>
      <c r="R23" s="143"/>
      <c r="S23" s="244">
        <f t="shared" si="0"/>
        <v>0</v>
      </c>
    </row>
    <row r="24" spans="1:21" ht="85.5" customHeight="1" x14ac:dyDescent="0.3">
      <c r="A24" s="138">
        <v>3</v>
      </c>
      <c r="B24" s="154" t="s">
        <v>260</v>
      </c>
      <c r="C24" s="154"/>
      <c r="D24" s="140" t="e">
        <f>'Chi tiet bo sung KP'!R6</f>
        <v>#REF!</v>
      </c>
      <c r="E24" s="140" t="e">
        <f>'Chi tiet bo sung KP'!R7</f>
        <v>#REF!</v>
      </c>
      <c r="F24" s="148" t="s">
        <v>350</v>
      </c>
      <c r="G24" s="140" t="e">
        <f t="shared" si="1"/>
        <v>#REF!</v>
      </c>
      <c r="H24" s="148" t="s">
        <v>286</v>
      </c>
      <c r="I24" s="192"/>
      <c r="J24" s="150"/>
      <c r="K24" s="144" t="e">
        <f>G24-287</f>
        <v>#REF!</v>
      </c>
      <c r="M24" s="90" t="e">
        <f t="shared" ref="M24:M33" si="2">D24-E24</f>
        <v>#REF!</v>
      </c>
      <c r="N24" s="92">
        <f>50+1900+155+3327-5971+7400+3000</f>
        <v>9861</v>
      </c>
      <c r="R24" s="140">
        <v>63854.34</v>
      </c>
      <c r="S24" s="244" t="e">
        <f t="shared" si="0"/>
        <v>#REF!</v>
      </c>
      <c r="U24" s="92">
        <f>4781+2380+400+946+50+13436+3690+63+19838+729+1873+1125</f>
        <v>49311</v>
      </c>
    </row>
    <row r="25" spans="1:21" s="89" customFormat="1" ht="36" customHeight="1" x14ac:dyDescent="0.3">
      <c r="A25" s="138" t="s">
        <v>9</v>
      </c>
      <c r="B25" s="146" t="s">
        <v>261</v>
      </c>
      <c r="C25" s="146"/>
      <c r="D25" s="140">
        <f>D26+D34</f>
        <v>505827</v>
      </c>
      <c r="E25" s="140">
        <f>E26+E34</f>
        <v>464924.8</v>
      </c>
      <c r="F25" s="140"/>
      <c r="G25" s="140">
        <f>G26+G34</f>
        <v>40902.200000000012</v>
      </c>
      <c r="H25" s="140"/>
      <c r="I25" s="141"/>
      <c r="J25" s="133"/>
      <c r="K25" s="133"/>
      <c r="M25" s="90">
        <f t="shared" si="2"/>
        <v>40902.200000000012</v>
      </c>
      <c r="O25" s="219"/>
      <c r="R25" s="140">
        <v>505827</v>
      </c>
      <c r="S25" s="244">
        <f t="shared" si="0"/>
        <v>0</v>
      </c>
    </row>
    <row r="26" spans="1:21" s="89" customFormat="1" ht="26.25" customHeight="1" x14ac:dyDescent="0.3">
      <c r="A26" s="138" t="s">
        <v>148</v>
      </c>
      <c r="B26" s="146" t="s">
        <v>262</v>
      </c>
      <c r="C26" s="146"/>
      <c r="D26" s="140">
        <f>D27+D28</f>
        <v>170646</v>
      </c>
      <c r="E26" s="140">
        <f>E27+E28</f>
        <v>160855.25</v>
      </c>
      <c r="F26" s="140"/>
      <c r="G26" s="140">
        <f>G27+G28</f>
        <v>9790.75</v>
      </c>
      <c r="H26" s="140"/>
      <c r="I26" s="141"/>
      <c r="J26" s="139"/>
      <c r="K26" s="133"/>
      <c r="M26" s="90">
        <f t="shared" si="2"/>
        <v>9790.75</v>
      </c>
      <c r="O26" s="219"/>
      <c r="R26" s="140">
        <v>170646</v>
      </c>
      <c r="S26" s="244">
        <f t="shared" si="0"/>
        <v>0</v>
      </c>
    </row>
    <row r="27" spans="1:21" s="89" customFormat="1" ht="48.75" customHeight="1" x14ac:dyDescent="0.3">
      <c r="A27" s="138">
        <v>1</v>
      </c>
      <c r="B27" s="154" t="s">
        <v>145</v>
      </c>
      <c r="C27" s="154"/>
      <c r="D27" s="140">
        <v>44210</v>
      </c>
      <c r="E27" s="140">
        <v>35616.25</v>
      </c>
      <c r="F27" s="148" t="s">
        <v>298</v>
      </c>
      <c r="G27" s="140">
        <f t="shared" ref="G27:G34" si="3">D27-E27</f>
        <v>8593.75</v>
      </c>
      <c r="H27" s="148" t="s">
        <v>291</v>
      </c>
      <c r="I27" s="141"/>
      <c r="J27" s="133"/>
      <c r="K27" s="133"/>
      <c r="M27" s="90">
        <f t="shared" si="2"/>
        <v>8593.75</v>
      </c>
      <c r="O27" s="219"/>
      <c r="R27" s="140">
        <v>44210</v>
      </c>
      <c r="S27" s="244">
        <f t="shared" si="0"/>
        <v>0</v>
      </c>
    </row>
    <row r="28" spans="1:21" s="187" customFormat="1" ht="19.5" customHeight="1" x14ac:dyDescent="0.3">
      <c r="A28" s="138">
        <v>2</v>
      </c>
      <c r="B28" s="154" t="s">
        <v>39</v>
      </c>
      <c r="C28" s="154"/>
      <c r="D28" s="140">
        <v>126436</v>
      </c>
      <c r="E28" s="140">
        <f>E29+E30+E31</f>
        <v>125239</v>
      </c>
      <c r="F28" s="140"/>
      <c r="G28" s="140">
        <f t="shared" si="3"/>
        <v>1197</v>
      </c>
      <c r="H28" s="140"/>
      <c r="I28" s="141"/>
      <c r="J28" s="133"/>
      <c r="K28" s="133"/>
      <c r="L28" s="89"/>
      <c r="M28" s="90">
        <f t="shared" si="2"/>
        <v>1197</v>
      </c>
      <c r="N28" s="89"/>
      <c r="O28" s="222"/>
      <c r="R28" s="140">
        <v>126436</v>
      </c>
      <c r="S28" s="244">
        <f t="shared" si="0"/>
        <v>0</v>
      </c>
    </row>
    <row r="29" spans="1:21" s="89" customFormat="1" ht="21" x14ac:dyDescent="0.3">
      <c r="A29" s="141" t="s">
        <v>122</v>
      </c>
      <c r="B29" s="148" t="s">
        <v>168</v>
      </c>
      <c r="C29" s="148"/>
      <c r="D29" s="143">
        <v>917</v>
      </c>
      <c r="E29" s="143"/>
      <c r="F29" s="103"/>
      <c r="G29" s="143">
        <f t="shared" si="3"/>
        <v>917</v>
      </c>
      <c r="H29" s="148" t="s">
        <v>299</v>
      </c>
      <c r="I29" s="101" t="s">
        <v>292</v>
      </c>
      <c r="J29" s="101" t="s">
        <v>292</v>
      </c>
      <c r="K29" s="101"/>
      <c r="L29" s="103"/>
      <c r="M29" s="90">
        <f t="shared" si="2"/>
        <v>917</v>
      </c>
      <c r="O29" s="219"/>
      <c r="R29" s="143">
        <v>917</v>
      </c>
      <c r="S29" s="244">
        <f t="shared" si="0"/>
        <v>0</v>
      </c>
    </row>
    <row r="30" spans="1:21" s="89" customFormat="1" ht="51.75" customHeight="1" x14ac:dyDescent="0.3">
      <c r="A30" s="141" t="s">
        <v>123</v>
      </c>
      <c r="B30" s="148" t="s">
        <v>169</v>
      </c>
      <c r="C30" s="148"/>
      <c r="D30" s="143">
        <v>280</v>
      </c>
      <c r="E30" s="143"/>
      <c r="F30" s="103"/>
      <c r="G30" s="143">
        <f t="shared" si="3"/>
        <v>280</v>
      </c>
      <c r="H30" s="148" t="s">
        <v>293</v>
      </c>
      <c r="I30" s="101"/>
      <c r="J30" s="101"/>
      <c r="K30" s="101"/>
      <c r="L30" s="104"/>
      <c r="M30" s="90">
        <f t="shared" si="2"/>
        <v>280</v>
      </c>
      <c r="O30" s="219"/>
      <c r="R30" s="143">
        <v>280</v>
      </c>
      <c r="S30" s="244">
        <f t="shared" si="0"/>
        <v>0</v>
      </c>
    </row>
    <row r="31" spans="1:21" s="188" customFormat="1" ht="20.25" customHeight="1" x14ac:dyDescent="0.3">
      <c r="A31" s="141" t="s">
        <v>137</v>
      </c>
      <c r="B31" s="148" t="s">
        <v>150</v>
      </c>
      <c r="C31" s="148"/>
      <c r="D31" s="143">
        <v>125239</v>
      </c>
      <c r="E31" s="143">
        <f>E32+E33</f>
        <v>125239</v>
      </c>
      <c r="F31" s="127"/>
      <c r="G31" s="143">
        <f t="shared" si="3"/>
        <v>0</v>
      </c>
      <c r="H31" s="128"/>
      <c r="I31" s="103"/>
      <c r="J31" s="103"/>
      <c r="K31" s="103"/>
      <c r="L31" s="102"/>
      <c r="M31" s="90">
        <f t="shared" si="2"/>
        <v>0</v>
      </c>
      <c r="N31" s="92"/>
      <c r="O31" s="223"/>
      <c r="R31" s="143">
        <v>125239</v>
      </c>
      <c r="S31" s="244">
        <f t="shared" si="0"/>
        <v>0</v>
      </c>
    </row>
    <row r="32" spans="1:21" s="189" customFormat="1" ht="20.25" customHeight="1" x14ac:dyDescent="0.35">
      <c r="A32" s="210" t="s">
        <v>40</v>
      </c>
      <c r="B32" s="211" t="s">
        <v>151</v>
      </c>
      <c r="C32" s="211"/>
      <c r="D32" s="212">
        <v>34139</v>
      </c>
      <c r="E32" s="212">
        <f>D32</f>
        <v>34139</v>
      </c>
      <c r="F32" s="128"/>
      <c r="G32" s="212">
        <f t="shared" si="3"/>
        <v>0</v>
      </c>
      <c r="H32" s="211"/>
      <c r="I32" s="126"/>
      <c r="J32" s="126"/>
      <c r="K32" s="126"/>
      <c r="L32" s="213"/>
      <c r="M32" s="90">
        <f t="shared" si="2"/>
        <v>0</v>
      </c>
      <c r="N32" s="214"/>
      <c r="O32" s="233"/>
      <c r="R32" s="212">
        <v>34139</v>
      </c>
      <c r="S32" s="244">
        <f t="shared" si="0"/>
        <v>0</v>
      </c>
    </row>
    <row r="33" spans="1:19" s="189" customFormat="1" ht="20.25" customHeight="1" x14ac:dyDescent="0.35">
      <c r="A33" s="210" t="s">
        <v>40</v>
      </c>
      <c r="B33" s="211" t="s">
        <v>152</v>
      </c>
      <c r="C33" s="211"/>
      <c r="D33" s="212">
        <v>91100</v>
      </c>
      <c r="E33" s="212">
        <f>D33</f>
        <v>91100</v>
      </c>
      <c r="F33" s="128"/>
      <c r="G33" s="212">
        <f t="shared" si="3"/>
        <v>0</v>
      </c>
      <c r="H33" s="128"/>
      <c r="I33" s="126"/>
      <c r="J33" s="126"/>
      <c r="K33" s="126"/>
      <c r="L33" s="213"/>
      <c r="M33" s="90">
        <f t="shared" si="2"/>
        <v>0</v>
      </c>
      <c r="N33" s="214"/>
      <c r="O33" s="224"/>
      <c r="R33" s="212">
        <v>91100</v>
      </c>
      <c r="S33" s="244">
        <f t="shared" si="0"/>
        <v>0</v>
      </c>
    </row>
    <row r="34" spans="1:19" s="89" customFormat="1" x14ac:dyDescent="0.3">
      <c r="A34" s="153" t="s">
        <v>149</v>
      </c>
      <c r="B34" s="154" t="s">
        <v>119</v>
      </c>
      <c r="C34" s="154"/>
      <c r="D34" s="140">
        <v>335181</v>
      </c>
      <c r="E34" s="140">
        <f>E36</f>
        <v>304069.55</v>
      </c>
      <c r="F34" s="140"/>
      <c r="G34" s="140">
        <f t="shared" si="3"/>
        <v>31111.450000000012</v>
      </c>
      <c r="H34" s="140"/>
      <c r="I34" s="138"/>
      <c r="J34" s="133"/>
      <c r="K34" s="139"/>
      <c r="O34" s="219"/>
      <c r="R34" s="140">
        <v>335181</v>
      </c>
      <c r="S34" s="244">
        <f t="shared" si="0"/>
        <v>0</v>
      </c>
    </row>
    <row r="35" spans="1:19" s="89" customFormat="1" x14ac:dyDescent="0.3">
      <c r="A35" s="138">
        <v>1</v>
      </c>
      <c r="B35" s="154" t="s">
        <v>145</v>
      </c>
      <c r="C35" s="154"/>
      <c r="D35" s="140">
        <v>0</v>
      </c>
      <c r="E35" s="140">
        <v>0</v>
      </c>
      <c r="F35" s="140"/>
      <c r="G35" s="140"/>
      <c r="H35" s="152"/>
      <c r="I35" s="141"/>
      <c r="J35" s="133"/>
      <c r="K35" s="133"/>
      <c r="O35" s="219"/>
      <c r="R35" s="140">
        <v>0</v>
      </c>
      <c r="S35" s="244">
        <f t="shared" si="0"/>
        <v>0</v>
      </c>
    </row>
    <row r="36" spans="1:19" s="89" customFormat="1" x14ac:dyDescent="0.3">
      <c r="A36" s="138">
        <v>2</v>
      </c>
      <c r="B36" s="154" t="s">
        <v>39</v>
      </c>
      <c r="C36" s="154"/>
      <c r="D36" s="140">
        <v>335181</v>
      </c>
      <c r="E36" s="140">
        <f>E37+E40</f>
        <v>304069.55</v>
      </c>
      <c r="F36" s="140"/>
      <c r="G36" s="140">
        <f>D36-E36</f>
        <v>31111.450000000012</v>
      </c>
      <c r="H36" s="140"/>
      <c r="I36" s="138"/>
      <c r="J36" s="133"/>
      <c r="K36" s="133"/>
      <c r="O36" s="219"/>
      <c r="R36" s="140">
        <v>335181</v>
      </c>
      <c r="S36" s="244">
        <f t="shared" si="0"/>
        <v>0</v>
      </c>
    </row>
    <row r="37" spans="1:19" s="89" customFormat="1" ht="19.5" customHeight="1" x14ac:dyDescent="0.3">
      <c r="A37" s="215" t="s">
        <v>122</v>
      </c>
      <c r="B37" s="148" t="s">
        <v>150</v>
      </c>
      <c r="C37" s="148"/>
      <c r="D37" s="152">
        <v>222676</v>
      </c>
      <c r="E37" s="152">
        <f>E38+E39</f>
        <v>222244</v>
      </c>
      <c r="F37" s="103"/>
      <c r="G37" s="152">
        <f>D37-E37</f>
        <v>432</v>
      </c>
      <c r="H37" s="105"/>
      <c r="I37" s="103"/>
      <c r="J37" s="103"/>
      <c r="K37" s="103"/>
      <c r="L37" s="102"/>
      <c r="M37" s="94"/>
      <c r="O37" s="219"/>
      <c r="R37" s="152">
        <v>222676</v>
      </c>
      <c r="S37" s="244">
        <f t="shared" si="0"/>
        <v>0</v>
      </c>
    </row>
    <row r="38" spans="1:19" s="89" customFormat="1" ht="19.5" customHeight="1" x14ac:dyDescent="0.3">
      <c r="A38" s="210" t="s">
        <v>40</v>
      </c>
      <c r="B38" s="211" t="s">
        <v>151</v>
      </c>
      <c r="C38" s="211"/>
      <c r="D38" s="212">
        <v>171654</v>
      </c>
      <c r="E38" s="212">
        <v>171654</v>
      </c>
      <c r="F38" s="128"/>
      <c r="G38" s="212">
        <f>D38-E38</f>
        <v>0</v>
      </c>
      <c r="H38" s="129"/>
      <c r="I38" s="126"/>
      <c r="J38" s="126"/>
      <c r="K38" s="126"/>
      <c r="L38" s="127"/>
      <c r="M38" s="94"/>
      <c r="O38" s="219"/>
      <c r="R38" s="212">
        <v>171654</v>
      </c>
      <c r="S38" s="244">
        <f t="shared" si="0"/>
        <v>0</v>
      </c>
    </row>
    <row r="39" spans="1:19" s="89" customFormat="1" ht="19.5" customHeight="1" x14ac:dyDescent="0.3">
      <c r="A39" s="210" t="s">
        <v>40</v>
      </c>
      <c r="B39" s="211" t="s">
        <v>152</v>
      </c>
      <c r="C39" s="211"/>
      <c r="D39" s="212">
        <v>51022</v>
      </c>
      <c r="E39" s="212">
        <f>D39-G39</f>
        <v>50590</v>
      </c>
      <c r="F39" s="128"/>
      <c r="G39" s="212">
        <v>432</v>
      </c>
      <c r="H39" s="148" t="s">
        <v>318</v>
      </c>
      <c r="I39" s="126"/>
      <c r="J39" s="126"/>
      <c r="K39" s="126"/>
      <c r="L39" s="130"/>
      <c r="M39" s="94"/>
      <c r="O39" s="219"/>
      <c r="R39" s="212">
        <v>51022</v>
      </c>
      <c r="S39" s="244">
        <f t="shared" si="0"/>
        <v>0</v>
      </c>
    </row>
    <row r="40" spans="1:19" s="89" customFormat="1" ht="42" customHeight="1" x14ac:dyDescent="0.3">
      <c r="A40" s="215" t="s">
        <v>123</v>
      </c>
      <c r="B40" s="148" t="s">
        <v>153</v>
      </c>
      <c r="C40" s="234"/>
      <c r="D40" s="227">
        <v>112505</v>
      </c>
      <c r="E40" s="227">
        <f>13600+14225.55+49000+5000</f>
        <v>81825.55</v>
      </c>
      <c r="F40" s="235" t="s">
        <v>317</v>
      </c>
      <c r="G40" s="227">
        <f>D40-E40</f>
        <v>30679.449999999997</v>
      </c>
      <c r="H40" s="148" t="s">
        <v>316</v>
      </c>
      <c r="I40" s="131"/>
      <c r="J40" s="131"/>
      <c r="K40" s="131"/>
      <c r="L40" s="236"/>
      <c r="M40" s="94"/>
      <c r="N40" s="237"/>
      <c r="O40" s="238">
        <f>49000+8615</f>
        <v>57615</v>
      </c>
      <c r="R40" s="227">
        <v>112505</v>
      </c>
      <c r="S40" s="244">
        <f t="shared" si="0"/>
        <v>0</v>
      </c>
    </row>
    <row r="41" spans="1:19" s="89" customFormat="1" ht="23.25" hidden="1" customHeight="1" x14ac:dyDescent="0.3">
      <c r="A41" s="153" t="s">
        <v>10</v>
      </c>
      <c r="B41" s="146" t="s">
        <v>263</v>
      </c>
      <c r="C41" s="146"/>
      <c r="D41" s="155">
        <f>D42+D50</f>
        <v>139700</v>
      </c>
      <c r="E41" s="156" t="e">
        <f>E42+E50</f>
        <v>#REF!</v>
      </c>
      <c r="F41" s="156"/>
      <c r="G41" s="155" t="e">
        <f>G42+G50</f>
        <v>#REF!</v>
      </c>
      <c r="H41" s="140"/>
      <c r="I41" s="141"/>
      <c r="J41" s="133"/>
      <c r="K41" s="133"/>
      <c r="O41" s="219"/>
      <c r="R41" s="155">
        <v>139700</v>
      </c>
      <c r="S41" s="244">
        <f t="shared" si="0"/>
        <v>0</v>
      </c>
    </row>
    <row r="42" spans="1:19" s="89" customFormat="1" ht="35.25" hidden="1" customHeight="1" x14ac:dyDescent="0.3">
      <c r="A42" s="153">
        <v>1</v>
      </c>
      <c r="B42" s="146" t="s">
        <v>43</v>
      </c>
      <c r="C42" s="146"/>
      <c r="D42" s="155">
        <f>SUM(D43:D49)</f>
        <v>139700</v>
      </c>
      <c r="E42" s="156" t="e">
        <f>SUM(E43:E49)</f>
        <v>#REF!</v>
      </c>
      <c r="F42" s="156"/>
      <c r="G42" s="155" t="e">
        <f>SUM(G43:G49)</f>
        <v>#REF!</v>
      </c>
      <c r="H42" s="143"/>
      <c r="I42" s="192"/>
      <c r="J42" s="133"/>
      <c r="K42" s="133"/>
      <c r="O42" s="219"/>
      <c r="R42" s="155">
        <v>139700</v>
      </c>
      <c r="S42" s="244">
        <f t="shared" si="0"/>
        <v>0</v>
      </c>
    </row>
    <row r="43" spans="1:19" s="89" customFormat="1" ht="40.5" hidden="1" customHeight="1" x14ac:dyDescent="0.3">
      <c r="A43" s="192" t="s">
        <v>40</v>
      </c>
      <c r="B43" s="157" t="s">
        <v>264</v>
      </c>
      <c r="C43" s="157"/>
      <c r="D43" s="216">
        <v>3900</v>
      </c>
      <c r="E43" s="158"/>
      <c r="F43" s="158"/>
      <c r="G43" s="158">
        <f t="shared" ref="G43:G50" si="4">D43-E43</f>
        <v>3900</v>
      </c>
      <c r="H43" s="159"/>
      <c r="I43" s="882" t="s">
        <v>265</v>
      </c>
      <c r="J43" s="133"/>
      <c r="K43" s="133"/>
      <c r="O43" s="219"/>
      <c r="R43" s="216">
        <v>3900</v>
      </c>
      <c r="S43" s="244">
        <f t="shared" si="0"/>
        <v>0</v>
      </c>
    </row>
    <row r="44" spans="1:19" s="89" customFormat="1" ht="74.25" hidden="1" customHeight="1" x14ac:dyDescent="0.3">
      <c r="A44" s="192" t="s">
        <v>40</v>
      </c>
      <c r="B44" s="157" t="s">
        <v>266</v>
      </c>
      <c r="C44" s="157"/>
      <c r="D44" s="216">
        <v>18000</v>
      </c>
      <c r="E44" s="158"/>
      <c r="F44" s="158"/>
      <c r="G44" s="158">
        <f t="shared" si="4"/>
        <v>18000</v>
      </c>
      <c r="H44" s="160"/>
      <c r="I44" s="883"/>
      <c r="J44" s="147"/>
      <c r="K44" s="133"/>
      <c r="O44" s="219"/>
      <c r="R44" s="216">
        <v>18000</v>
      </c>
      <c r="S44" s="244">
        <f t="shared" si="0"/>
        <v>0</v>
      </c>
    </row>
    <row r="45" spans="1:19" s="89" customFormat="1" ht="54.75" hidden="1" customHeight="1" x14ac:dyDescent="0.3">
      <c r="A45" s="192" t="s">
        <v>40</v>
      </c>
      <c r="B45" s="157" t="s">
        <v>267</v>
      </c>
      <c r="C45" s="157"/>
      <c r="D45" s="216">
        <v>24500</v>
      </c>
      <c r="E45" s="158"/>
      <c r="F45" s="158"/>
      <c r="G45" s="158">
        <f t="shared" si="4"/>
        <v>24500</v>
      </c>
      <c r="H45" s="160"/>
      <c r="I45" s="883"/>
      <c r="J45" s="147"/>
      <c r="K45" s="136"/>
      <c r="O45" s="219"/>
      <c r="R45" s="216">
        <v>24500</v>
      </c>
      <c r="S45" s="244">
        <f t="shared" si="0"/>
        <v>0</v>
      </c>
    </row>
    <row r="46" spans="1:19" s="89" customFormat="1" ht="40.5" hidden="1" customHeight="1" x14ac:dyDescent="0.3">
      <c r="A46" s="192" t="s">
        <v>40</v>
      </c>
      <c r="B46" s="166" t="s">
        <v>268</v>
      </c>
      <c r="C46" s="166"/>
      <c r="D46" s="216">
        <v>12300</v>
      </c>
      <c r="E46" s="158">
        <f>D46</f>
        <v>12300</v>
      </c>
      <c r="F46" s="158"/>
      <c r="G46" s="158">
        <f t="shared" si="4"/>
        <v>0</v>
      </c>
      <c r="H46" s="160"/>
      <c r="I46" s="883"/>
      <c r="J46" s="147"/>
      <c r="K46" s="147"/>
      <c r="O46" s="219"/>
      <c r="R46" s="216">
        <v>12300</v>
      </c>
      <c r="S46" s="244">
        <f t="shared" si="0"/>
        <v>0</v>
      </c>
    </row>
    <row r="47" spans="1:19" s="89" customFormat="1" ht="38.25" hidden="1" customHeight="1" x14ac:dyDescent="0.3">
      <c r="A47" s="192" t="s">
        <v>40</v>
      </c>
      <c r="B47" s="166" t="s">
        <v>269</v>
      </c>
      <c r="C47" s="166"/>
      <c r="D47" s="216">
        <v>10000</v>
      </c>
      <c r="E47" s="158" t="e">
        <f>'[1]Chi tiet bo sung KP'!U17</f>
        <v>#REF!</v>
      </c>
      <c r="F47" s="158"/>
      <c r="G47" s="158" t="e">
        <f t="shared" si="4"/>
        <v>#REF!</v>
      </c>
      <c r="H47" s="160"/>
      <c r="I47" s="883"/>
      <c r="J47" s="147"/>
      <c r="K47" s="133"/>
      <c r="O47" s="219"/>
      <c r="R47" s="216">
        <v>10000</v>
      </c>
      <c r="S47" s="244">
        <f t="shared" si="0"/>
        <v>0</v>
      </c>
    </row>
    <row r="48" spans="1:19" s="89" customFormat="1" ht="60" hidden="1" customHeight="1" x14ac:dyDescent="0.3">
      <c r="A48" s="192" t="s">
        <v>40</v>
      </c>
      <c r="B48" s="157" t="s">
        <v>270</v>
      </c>
      <c r="C48" s="157"/>
      <c r="D48" s="216">
        <v>16000</v>
      </c>
      <c r="E48" s="217"/>
      <c r="F48" s="217"/>
      <c r="G48" s="158">
        <f t="shared" si="4"/>
        <v>16000</v>
      </c>
      <c r="H48" s="160"/>
      <c r="I48" s="883"/>
      <c r="J48" s="147"/>
      <c r="K48" s="133"/>
      <c r="O48" s="219"/>
      <c r="R48" s="216">
        <v>16000</v>
      </c>
      <c r="S48" s="244">
        <f t="shared" si="0"/>
        <v>0</v>
      </c>
    </row>
    <row r="49" spans="1:19" s="89" customFormat="1" ht="36" hidden="1" customHeight="1" x14ac:dyDescent="0.3">
      <c r="A49" s="192" t="s">
        <v>40</v>
      </c>
      <c r="B49" s="157" t="s">
        <v>270</v>
      </c>
      <c r="C49" s="157"/>
      <c r="D49" s="143">
        <v>55000</v>
      </c>
      <c r="E49" s="161"/>
      <c r="F49" s="161"/>
      <c r="G49" s="161">
        <f t="shared" si="4"/>
        <v>55000</v>
      </c>
      <c r="H49" s="162"/>
      <c r="I49" s="884"/>
      <c r="J49" s="133"/>
      <c r="K49" s="139"/>
      <c r="O49" s="219"/>
      <c r="R49" s="143">
        <v>55000</v>
      </c>
      <c r="S49" s="244">
        <f t="shared" si="0"/>
        <v>0</v>
      </c>
    </row>
    <row r="50" spans="1:19" s="89" customFormat="1" ht="52.5" hidden="1" customHeight="1" x14ac:dyDescent="0.3">
      <c r="A50" s="192">
        <v>2</v>
      </c>
      <c r="B50" s="163" t="s">
        <v>271</v>
      </c>
      <c r="C50" s="163"/>
      <c r="D50" s="156">
        <f>D51+D57</f>
        <v>0</v>
      </c>
      <c r="E50" s="156">
        <f>E51+E57</f>
        <v>0</v>
      </c>
      <c r="F50" s="156"/>
      <c r="G50" s="156">
        <f t="shared" si="4"/>
        <v>0</v>
      </c>
      <c r="H50" s="143"/>
      <c r="I50" s="885" t="s">
        <v>272</v>
      </c>
      <c r="J50" s="147"/>
      <c r="K50" s="133"/>
      <c r="O50" s="219"/>
      <c r="R50" s="156">
        <v>0</v>
      </c>
      <c r="S50" s="244">
        <f t="shared" si="0"/>
        <v>0</v>
      </c>
    </row>
    <row r="51" spans="1:19" s="89" customFormat="1" ht="29.25" hidden="1" customHeight="1" x14ac:dyDescent="0.3">
      <c r="A51" s="192" t="s">
        <v>122</v>
      </c>
      <c r="B51" s="164" t="s">
        <v>146</v>
      </c>
      <c r="C51" s="164"/>
      <c r="D51" s="165">
        <f>SUM(D52:D56)</f>
        <v>0</v>
      </c>
      <c r="E51" s="165">
        <f>SUM(E52:E56)</f>
        <v>0</v>
      </c>
      <c r="F51" s="165"/>
      <c r="G51" s="165">
        <f>SUM(G52:G56)</f>
        <v>0</v>
      </c>
      <c r="H51" s="143"/>
      <c r="I51" s="885"/>
      <c r="J51" s="133"/>
      <c r="K51" s="133"/>
      <c r="O51" s="219"/>
      <c r="R51" s="165">
        <v>0</v>
      </c>
      <c r="S51" s="244">
        <f t="shared" si="0"/>
        <v>0</v>
      </c>
    </row>
    <row r="52" spans="1:19" s="89" customFormat="1" ht="45" hidden="1" customHeight="1" x14ac:dyDescent="0.3">
      <c r="A52" s="192" t="s">
        <v>40</v>
      </c>
      <c r="B52" s="166" t="s">
        <v>273</v>
      </c>
      <c r="C52" s="166"/>
      <c r="D52" s="161"/>
      <c r="E52" s="161"/>
      <c r="F52" s="161"/>
      <c r="G52" s="161">
        <f>D52-E52</f>
        <v>0</v>
      </c>
      <c r="H52" s="143"/>
      <c r="I52" s="885"/>
      <c r="J52" s="133"/>
      <c r="K52" s="133"/>
      <c r="O52" s="219"/>
      <c r="R52" s="161"/>
      <c r="S52" s="244">
        <f t="shared" si="0"/>
        <v>0</v>
      </c>
    </row>
    <row r="53" spans="1:19" s="89" customFormat="1" ht="41.25" hidden="1" customHeight="1" x14ac:dyDescent="0.3">
      <c r="A53" s="192" t="s">
        <v>40</v>
      </c>
      <c r="B53" s="166" t="s">
        <v>274</v>
      </c>
      <c r="C53" s="166"/>
      <c r="D53" s="161"/>
      <c r="E53" s="161"/>
      <c r="F53" s="161"/>
      <c r="G53" s="161">
        <f>D53-E53</f>
        <v>0</v>
      </c>
      <c r="H53" s="143"/>
      <c r="I53" s="885"/>
      <c r="J53" s="133"/>
      <c r="K53" s="133"/>
      <c r="O53" s="219"/>
      <c r="R53" s="161"/>
      <c r="S53" s="244">
        <f t="shared" si="0"/>
        <v>0</v>
      </c>
    </row>
    <row r="54" spans="1:19" s="89" customFormat="1" ht="44.25" hidden="1" customHeight="1" x14ac:dyDescent="0.3">
      <c r="A54" s="192" t="s">
        <v>40</v>
      </c>
      <c r="B54" s="166" t="s">
        <v>275</v>
      </c>
      <c r="C54" s="166"/>
      <c r="D54" s="161"/>
      <c r="E54" s="161"/>
      <c r="F54" s="161"/>
      <c r="G54" s="161">
        <f>D54-E54</f>
        <v>0</v>
      </c>
      <c r="H54" s="143"/>
      <c r="I54" s="885"/>
      <c r="J54" s="133"/>
      <c r="K54" s="133"/>
      <c r="O54" s="219"/>
      <c r="R54" s="161"/>
      <c r="S54" s="244">
        <f t="shared" si="0"/>
        <v>0</v>
      </c>
    </row>
    <row r="55" spans="1:19" s="89" customFormat="1" ht="33.75" hidden="1" customHeight="1" x14ac:dyDescent="0.3">
      <c r="A55" s="192" t="s">
        <v>40</v>
      </c>
      <c r="B55" s="166" t="s">
        <v>276</v>
      </c>
      <c r="C55" s="166"/>
      <c r="D55" s="161"/>
      <c r="E55" s="161"/>
      <c r="F55" s="161"/>
      <c r="G55" s="161">
        <f>D55-E55</f>
        <v>0</v>
      </c>
      <c r="H55" s="143"/>
      <c r="I55" s="885"/>
      <c r="J55" s="133"/>
      <c r="K55" s="133"/>
      <c r="O55" s="219"/>
      <c r="R55" s="161"/>
      <c r="S55" s="244">
        <f t="shared" si="0"/>
        <v>0</v>
      </c>
    </row>
    <row r="56" spans="1:19" s="89" customFormat="1" ht="31.5" hidden="1" customHeight="1" x14ac:dyDescent="0.3">
      <c r="A56" s="192" t="s">
        <v>40</v>
      </c>
      <c r="B56" s="166" t="s">
        <v>277</v>
      </c>
      <c r="C56" s="166"/>
      <c r="D56" s="161"/>
      <c r="E56" s="161"/>
      <c r="F56" s="161"/>
      <c r="G56" s="161">
        <f>D56-E56</f>
        <v>0</v>
      </c>
      <c r="H56" s="143"/>
      <c r="I56" s="885"/>
      <c r="J56" s="133"/>
      <c r="K56" s="133"/>
      <c r="O56" s="219"/>
      <c r="R56" s="161"/>
      <c r="S56" s="244">
        <f t="shared" si="0"/>
        <v>0</v>
      </c>
    </row>
    <row r="57" spans="1:19" s="89" customFormat="1" ht="36" hidden="1" customHeight="1" x14ac:dyDescent="0.3">
      <c r="A57" s="192" t="s">
        <v>123</v>
      </c>
      <c r="B57" s="164" t="s">
        <v>278</v>
      </c>
      <c r="C57" s="164"/>
      <c r="D57" s="165">
        <f>SUM(D58:D63)</f>
        <v>0</v>
      </c>
      <c r="E57" s="165">
        <f>SUM(E58:E63)</f>
        <v>0</v>
      </c>
      <c r="F57" s="165"/>
      <c r="G57" s="165">
        <f>SUM(G58:G63)</f>
        <v>0</v>
      </c>
      <c r="H57" s="143"/>
      <c r="I57" s="885"/>
      <c r="J57" s="133"/>
      <c r="K57" s="133"/>
      <c r="O57" s="219"/>
      <c r="R57" s="165">
        <v>0</v>
      </c>
      <c r="S57" s="244">
        <f t="shared" si="0"/>
        <v>0</v>
      </c>
    </row>
    <row r="58" spans="1:19" s="89" customFormat="1" ht="36" hidden="1" customHeight="1" x14ac:dyDescent="0.3">
      <c r="A58" s="192" t="s">
        <v>40</v>
      </c>
      <c r="B58" s="166" t="s">
        <v>279</v>
      </c>
      <c r="C58" s="166"/>
      <c r="D58" s="161"/>
      <c r="E58" s="161"/>
      <c r="F58" s="161"/>
      <c r="G58" s="161">
        <f t="shared" ref="G58:G63" si="5">D58-E58</f>
        <v>0</v>
      </c>
      <c r="H58" s="143"/>
      <c r="I58" s="885"/>
      <c r="J58" s="149"/>
      <c r="K58" s="133"/>
      <c r="O58" s="219"/>
      <c r="R58" s="161"/>
      <c r="S58" s="244">
        <f t="shared" si="0"/>
        <v>0</v>
      </c>
    </row>
    <row r="59" spans="1:19" s="89" customFormat="1" ht="36" hidden="1" customHeight="1" x14ac:dyDescent="0.3">
      <c r="A59" s="192" t="s">
        <v>40</v>
      </c>
      <c r="B59" s="166" t="s">
        <v>280</v>
      </c>
      <c r="C59" s="166"/>
      <c r="D59" s="161"/>
      <c r="E59" s="161"/>
      <c r="F59" s="161"/>
      <c r="G59" s="161">
        <f t="shared" si="5"/>
        <v>0</v>
      </c>
      <c r="H59" s="143"/>
      <c r="I59" s="885"/>
      <c r="J59" s="133"/>
      <c r="K59" s="133"/>
      <c r="O59" s="219"/>
      <c r="R59" s="161"/>
      <c r="S59" s="244">
        <f t="shared" si="0"/>
        <v>0</v>
      </c>
    </row>
    <row r="60" spans="1:19" s="89" customFormat="1" ht="36" hidden="1" customHeight="1" x14ac:dyDescent="0.3">
      <c r="A60" s="192" t="s">
        <v>40</v>
      </c>
      <c r="B60" s="166" t="s">
        <v>281</v>
      </c>
      <c r="C60" s="166"/>
      <c r="D60" s="161"/>
      <c r="E60" s="161"/>
      <c r="F60" s="161"/>
      <c r="G60" s="161">
        <f t="shared" si="5"/>
        <v>0</v>
      </c>
      <c r="H60" s="143"/>
      <c r="I60" s="885"/>
      <c r="J60" s="133"/>
      <c r="K60" s="133"/>
      <c r="O60" s="219"/>
      <c r="R60" s="161"/>
      <c r="S60" s="244">
        <f t="shared" si="0"/>
        <v>0</v>
      </c>
    </row>
    <row r="61" spans="1:19" s="89" customFormat="1" ht="36" hidden="1" customHeight="1" x14ac:dyDescent="0.3">
      <c r="A61" s="192" t="s">
        <v>40</v>
      </c>
      <c r="B61" s="166" t="s">
        <v>282</v>
      </c>
      <c r="C61" s="166"/>
      <c r="D61" s="161"/>
      <c r="E61" s="161"/>
      <c r="F61" s="161"/>
      <c r="G61" s="161">
        <f t="shared" si="5"/>
        <v>0</v>
      </c>
      <c r="H61" s="143"/>
      <c r="I61" s="885"/>
      <c r="J61" s="133"/>
      <c r="K61" s="133"/>
      <c r="O61" s="219"/>
      <c r="R61" s="161"/>
      <c r="S61" s="244">
        <f t="shared" si="0"/>
        <v>0</v>
      </c>
    </row>
    <row r="62" spans="1:19" s="89" customFormat="1" ht="36" hidden="1" customHeight="1" x14ac:dyDescent="0.3">
      <c r="A62" s="192" t="s">
        <v>40</v>
      </c>
      <c r="B62" s="166" t="s">
        <v>283</v>
      </c>
      <c r="C62" s="166"/>
      <c r="D62" s="161"/>
      <c r="E62" s="161"/>
      <c r="F62" s="161"/>
      <c r="G62" s="161">
        <f t="shared" si="5"/>
        <v>0</v>
      </c>
      <c r="H62" s="143"/>
      <c r="I62" s="885"/>
      <c r="J62" s="133"/>
      <c r="K62" s="133"/>
      <c r="O62" s="219"/>
      <c r="R62" s="161"/>
      <c r="S62" s="244">
        <f t="shared" si="0"/>
        <v>0</v>
      </c>
    </row>
    <row r="63" spans="1:19" s="89" customFormat="1" ht="36" hidden="1" customHeight="1" x14ac:dyDescent="0.3">
      <c r="A63" s="192" t="s">
        <v>40</v>
      </c>
      <c r="B63" s="166" t="s">
        <v>284</v>
      </c>
      <c r="C63" s="166"/>
      <c r="D63" s="161"/>
      <c r="E63" s="161"/>
      <c r="F63" s="161"/>
      <c r="G63" s="161">
        <f t="shared" si="5"/>
        <v>0</v>
      </c>
      <c r="H63" s="143"/>
      <c r="I63" s="885"/>
      <c r="J63" s="133"/>
      <c r="K63" s="133"/>
      <c r="O63" s="219"/>
      <c r="R63" s="161"/>
      <c r="S63" s="244">
        <f t="shared" si="0"/>
        <v>0</v>
      </c>
    </row>
    <row r="64" spans="1:19" s="89" customFormat="1" ht="33.75" customHeight="1" x14ac:dyDescent="0.3">
      <c r="A64" s="198" t="s">
        <v>226</v>
      </c>
      <c r="B64" s="199" t="s">
        <v>289</v>
      </c>
      <c r="C64" s="199"/>
      <c r="D64" s="200">
        <f>SUM(D65:D74)</f>
        <v>42957</v>
      </c>
      <c r="E64" s="200">
        <f>SUM(E65:E74)</f>
        <v>42957</v>
      </c>
      <c r="F64" s="201"/>
      <c r="G64" s="200">
        <f>SUM(G65:G74)</f>
        <v>0</v>
      </c>
      <c r="H64" s="201"/>
      <c r="I64" s="165"/>
      <c r="J64" s="147"/>
      <c r="K64" s="139"/>
      <c r="O64" s="219"/>
      <c r="R64" s="200">
        <v>39290</v>
      </c>
      <c r="S64" s="244">
        <f t="shared" si="0"/>
        <v>3667</v>
      </c>
    </row>
    <row r="65" spans="1:19" ht="38.25" customHeight="1" x14ac:dyDescent="0.3">
      <c r="A65" s="141">
        <v>1</v>
      </c>
      <c r="B65" s="157" t="s">
        <v>166</v>
      </c>
      <c r="C65" s="157"/>
      <c r="D65" s="143">
        <v>1403</v>
      </c>
      <c r="E65" s="143">
        <v>1403</v>
      </c>
      <c r="F65" s="161"/>
      <c r="G65" s="218">
        <f>D65-E65</f>
        <v>0</v>
      </c>
      <c r="H65" s="143"/>
      <c r="I65" s="141"/>
      <c r="J65" s="150"/>
      <c r="K65" s="150"/>
      <c r="R65" s="143">
        <v>1403</v>
      </c>
      <c r="S65" s="244">
        <f t="shared" si="0"/>
        <v>0</v>
      </c>
    </row>
    <row r="66" spans="1:19" ht="24.75" customHeight="1" x14ac:dyDescent="0.3">
      <c r="A66" s="141">
        <v>2</v>
      </c>
      <c r="B66" s="157" t="s">
        <v>177</v>
      </c>
      <c r="C66" s="157"/>
      <c r="D66" s="143">
        <v>4844</v>
      </c>
      <c r="E66" s="143">
        <v>4844</v>
      </c>
      <c r="F66" s="161"/>
      <c r="G66" s="218">
        <f>D66-E66</f>
        <v>0</v>
      </c>
      <c r="H66" s="143"/>
      <c r="I66" s="141"/>
      <c r="J66" s="150"/>
      <c r="K66" s="150"/>
      <c r="R66" s="143">
        <v>4844</v>
      </c>
      <c r="S66" s="244">
        <f t="shared" si="0"/>
        <v>0</v>
      </c>
    </row>
    <row r="67" spans="1:19" ht="30" customHeight="1" x14ac:dyDescent="0.3">
      <c r="A67" s="141">
        <v>3</v>
      </c>
      <c r="B67" s="157" t="s">
        <v>179</v>
      </c>
      <c r="C67" s="157"/>
      <c r="D67" s="143">
        <v>32000</v>
      </c>
      <c r="E67" s="143">
        <v>32000</v>
      </c>
      <c r="F67" s="161"/>
      <c r="G67" s="218">
        <f>D67-E67</f>
        <v>0</v>
      </c>
      <c r="H67" s="143"/>
      <c r="I67" s="141"/>
      <c r="J67" s="150"/>
      <c r="K67" s="150"/>
      <c r="R67" s="143">
        <v>32000</v>
      </c>
      <c r="S67" s="244">
        <f t="shared" si="0"/>
        <v>0</v>
      </c>
    </row>
    <row r="68" spans="1:19" ht="27.75" customHeight="1" x14ac:dyDescent="0.3">
      <c r="A68" s="141">
        <v>4</v>
      </c>
      <c r="B68" s="157" t="s">
        <v>288</v>
      </c>
      <c r="C68" s="157"/>
      <c r="D68" s="143">
        <v>1043</v>
      </c>
      <c r="E68" s="143">
        <f>D68</f>
        <v>1043</v>
      </c>
      <c r="F68" s="161"/>
      <c r="G68" s="143">
        <f>D68-E68</f>
        <v>0</v>
      </c>
      <c r="H68" s="143"/>
      <c r="I68" s="141"/>
      <c r="J68" s="144"/>
      <c r="K68" s="150"/>
      <c r="R68" s="143">
        <v>1043</v>
      </c>
      <c r="S68" s="244">
        <f t="shared" si="0"/>
        <v>0</v>
      </c>
    </row>
    <row r="69" spans="1:19" ht="30.75" customHeight="1" x14ac:dyDescent="0.3">
      <c r="A69" s="167">
        <v>5</v>
      </c>
      <c r="B69" s="157" t="s">
        <v>305</v>
      </c>
      <c r="C69" s="157"/>
      <c r="D69" s="159">
        <v>3667</v>
      </c>
      <c r="E69" s="159">
        <f>D69</f>
        <v>3667</v>
      </c>
      <c r="F69" s="168"/>
      <c r="G69" s="159">
        <f>D69-E69</f>
        <v>0</v>
      </c>
      <c r="H69" s="227" t="s">
        <v>321</v>
      </c>
      <c r="I69" s="141"/>
      <c r="J69" s="150"/>
      <c r="K69" s="150"/>
      <c r="O69" s="170"/>
      <c r="R69" s="159"/>
      <c r="S69" s="244">
        <f t="shared" si="0"/>
        <v>3667</v>
      </c>
    </row>
    <row r="70" spans="1:19" ht="36.75" hidden="1" customHeight="1" x14ac:dyDescent="0.3">
      <c r="A70" s="167"/>
      <c r="B70" s="157"/>
      <c r="C70" s="157"/>
      <c r="D70" s="159"/>
      <c r="E70" s="159"/>
      <c r="F70" s="168"/>
      <c r="G70" s="168"/>
      <c r="H70" s="159"/>
      <c r="I70" s="141"/>
      <c r="J70" s="150"/>
      <c r="K70" s="150"/>
      <c r="R70" s="159"/>
      <c r="S70" s="244">
        <f t="shared" si="0"/>
        <v>0</v>
      </c>
    </row>
    <row r="71" spans="1:19" ht="36.75" hidden="1" customHeight="1" x14ac:dyDescent="0.3">
      <c r="A71" s="167"/>
      <c r="B71" s="157"/>
      <c r="C71" s="157"/>
      <c r="D71" s="159"/>
      <c r="E71" s="159"/>
      <c r="F71" s="168"/>
      <c r="G71" s="168"/>
      <c r="H71" s="159"/>
      <c r="I71" s="141"/>
      <c r="J71" s="150"/>
      <c r="K71" s="150"/>
      <c r="R71" s="159"/>
      <c r="S71" s="244">
        <f t="shared" si="0"/>
        <v>0</v>
      </c>
    </row>
    <row r="72" spans="1:19" ht="36.75" hidden="1" customHeight="1" x14ac:dyDescent="0.3">
      <c r="A72" s="167"/>
      <c r="B72" s="157"/>
      <c r="C72" s="157"/>
      <c r="D72" s="159"/>
      <c r="E72" s="159"/>
      <c r="F72" s="168"/>
      <c r="G72" s="168"/>
      <c r="H72" s="159"/>
      <c r="I72" s="141"/>
      <c r="J72" s="150"/>
      <c r="K72" s="150"/>
      <c r="R72" s="159"/>
      <c r="S72" s="244">
        <f t="shared" ref="S72:S91" si="6">D72-R72</f>
        <v>0</v>
      </c>
    </row>
    <row r="73" spans="1:19" ht="36.75" hidden="1" customHeight="1" x14ac:dyDescent="0.3">
      <c r="A73" s="167"/>
      <c r="B73" s="157"/>
      <c r="C73" s="157"/>
      <c r="D73" s="159"/>
      <c r="E73" s="159"/>
      <c r="F73" s="168"/>
      <c r="G73" s="168"/>
      <c r="H73" s="159"/>
      <c r="I73" s="141"/>
      <c r="J73" s="150"/>
      <c r="K73" s="150"/>
      <c r="R73" s="159"/>
      <c r="S73" s="244">
        <f t="shared" si="6"/>
        <v>0</v>
      </c>
    </row>
    <row r="74" spans="1:19" ht="36.75" hidden="1" customHeight="1" x14ac:dyDescent="0.3">
      <c r="A74" s="167"/>
      <c r="B74" s="157"/>
      <c r="C74" s="157"/>
      <c r="D74" s="159"/>
      <c r="E74" s="159"/>
      <c r="F74" s="168"/>
      <c r="G74" s="168"/>
      <c r="H74" s="159"/>
      <c r="I74" s="141"/>
      <c r="J74" s="150"/>
      <c r="K74" s="150"/>
      <c r="R74" s="159"/>
      <c r="S74" s="244">
        <f t="shared" si="6"/>
        <v>0</v>
      </c>
    </row>
    <row r="75" spans="1:19" x14ac:dyDescent="0.3">
      <c r="A75" s="167"/>
      <c r="B75" s="157" t="s">
        <v>355</v>
      </c>
      <c r="C75" s="157"/>
      <c r="D75" s="159">
        <v>45360.072999999997</v>
      </c>
      <c r="E75" s="159">
        <f>D75</f>
        <v>45360.072999999997</v>
      </c>
      <c r="F75" s="168"/>
      <c r="G75" s="168"/>
      <c r="H75" s="159" t="s">
        <v>356</v>
      </c>
      <c r="I75" s="141"/>
      <c r="J75" s="150"/>
      <c r="K75" s="150"/>
      <c r="R75" s="159"/>
      <c r="S75" s="244"/>
    </row>
    <row r="76" spans="1:19" s="169" customFormat="1" ht="27" customHeight="1" x14ac:dyDescent="0.3">
      <c r="A76" s="198" t="s">
        <v>240</v>
      </c>
      <c r="B76" s="199" t="s">
        <v>319</v>
      </c>
      <c r="C76" s="230">
        <f>C77+C81+C82+C86</f>
        <v>42939.81</v>
      </c>
      <c r="D76" s="200">
        <f>D77+D81+D82+D86+D92</f>
        <v>39639.828999999998</v>
      </c>
      <c r="E76" s="200">
        <f>E77+E81+E82+E86+E92</f>
        <v>29313.560748</v>
      </c>
      <c r="F76" s="200"/>
      <c r="G76" s="200">
        <f>D76-E76</f>
        <v>10326.268251999998</v>
      </c>
      <c r="H76" s="200"/>
      <c r="I76" s="138"/>
      <c r="J76" s="133"/>
      <c r="K76" s="139"/>
      <c r="O76" s="225"/>
      <c r="R76" s="200">
        <v>42939.81</v>
      </c>
      <c r="S76" s="244">
        <f t="shared" si="6"/>
        <v>-3299.9809999999998</v>
      </c>
    </row>
    <row r="77" spans="1:19" ht="27" customHeight="1" x14ac:dyDescent="0.3">
      <c r="A77" s="174" t="s">
        <v>4</v>
      </c>
      <c r="B77" s="175" t="s">
        <v>235</v>
      </c>
      <c r="C77" s="184">
        <v>2232.1999999999998</v>
      </c>
      <c r="D77" s="184">
        <v>2232.1999999999998</v>
      </c>
      <c r="E77" s="184">
        <v>2232.1999999999998</v>
      </c>
      <c r="F77" s="140"/>
      <c r="G77" s="184">
        <f t="shared" ref="G77:G92" si="7">D77-E77</f>
        <v>0</v>
      </c>
      <c r="H77" s="140"/>
      <c r="I77" s="193"/>
      <c r="R77" s="184">
        <v>2232.1999999999998</v>
      </c>
      <c r="S77" s="244">
        <f t="shared" si="6"/>
        <v>0</v>
      </c>
    </row>
    <row r="78" spans="1:19" ht="26.25" customHeight="1" x14ac:dyDescent="0.3">
      <c r="A78" s="174">
        <v>1</v>
      </c>
      <c r="B78" s="194" t="s">
        <v>236</v>
      </c>
      <c r="C78" s="185">
        <v>2000</v>
      </c>
      <c r="D78" s="185">
        <v>2000</v>
      </c>
      <c r="E78" s="185">
        <v>2000</v>
      </c>
      <c r="F78" s="140"/>
      <c r="G78" s="185">
        <f t="shared" si="7"/>
        <v>0</v>
      </c>
      <c r="H78" s="140"/>
      <c r="I78" s="193"/>
      <c r="R78" s="185">
        <v>2000</v>
      </c>
      <c r="S78" s="244">
        <f t="shared" si="6"/>
        <v>0</v>
      </c>
    </row>
    <row r="79" spans="1:19" ht="26.25" customHeight="1" x14ac:dyDescent="0.3">
      <c r="A79" s="176">
        <v>2</v>
      </c>
      <c r="B79" s="177" t="s">
        <v>237</v>
      </c>
      <c r="C79" s="185">
        <v>212.2</v>
      </c>
      <c r="D79" s="185">
        <v>212.2</v>
      </c>
      <c r="E79" s="185">
        <v>212.2</v>
      </c>
      <c r="F79" s="140"/>
      <c r="G79" s="185">
        <f t="shared" si="7"/>
        <v>0</v>
      </c>
      <c r="H79" s="140"/>
      <c r="I79" s="193"/>
      <c r="R79" s="185">
        <v>212.2</v>
      </c>
      <c r="S79" s="244">
        <f t="shared" si="6"/>
        <v>0</v>
      </c>
    </row>
    <row r="80" spans="1:19" ht="26.25" customHeight="1" x14ac:dyDescent="0.3">
      <c r="A80" s="176">
        <v>3</v>
      </c>
      <c r="B80" s="177" t="s">
        <v>238</v>
      </c>
      <c r="C80" s="185">
        <v>20</v>
      </c>
      <c r="D80" s="185">
        <v>20</v>
      </c>
      <c r="E80" s="185">
        <v>20</v>
      </c>
      <c r="F80" s="140"/>
      <c r="G80" s="185">
        <f t="shared" si="7"/>
        <v>0</v>
      </c>
      <c r="H80" s="140"/>
      <c r="I80" s="193"/>
      <c r="R80" s="185">
        <v>20</v>
      </c>
      <c r="S80" s="244">
        <f t="shared" si="6"/>
        <v>0</v>
      </c>
    </row>
    <row r="81" spans="1:19" ht="39" customHeight="1" x14ac:dyDescent="0.3">
      <c r="A81" s="174" t="s">
        <v>9</v>
      </c>
      <c r="B81" s="175" t="s">
        <v>239</v>
      </c>
      <c r="C81" s="184">
        <v>1913.1</v>
      </c>
      <c r="D81" s="184">
        <v>1913.1</v>
      </c>
      <c r="E81" s="184">
        <f>D81</f>
        <v>1913.1</v>
      </c>
      <c r="F81" s="140"/>
      <c r="G81" s="184">
        <f t="shared" si="7"/>
        <v>0</v>
      </c>
      <c r="H81" s="140"/>
      <c r="I81" s="193"/>
      <c r="R81" s="184">
        <v>1913.1</v>
      </c>
      <c r="S81" s="244">
        <f t="shared" si="6"/>
        <v>0</v>
      </c>
    </row>
    <row r="82" spans="1:19" ht="24.75" customHeight="1" x14ac:dyDescent="0.3">
      <c r="A82" s="178" t="s">
        <v>10</v>
      </c>
      <c r="B82" s="179" t="s">
        <v>290</v>
      </c>
      <c r="C82" s="184">
        <v>16225.060000000001</v>
      </c>
      <c r="D82" s="184">
        <v>16225.060000000001</v>
      </c>
      <c r="E82" s="184">
        <f>E85+E83+E84</f>
        <v>8549.1847479999997</v>
      </c>
      <c r="F82" s="140"/>
      <c r="G82" s="184">
        <f t="shared" si="7"/>
        <v>7675.8752520000016</v>
      </c>
      <c r="H82" s="140"/>
      <c r="I82" s="193"/>
      <c r="R82" s="184">
        <v>16225.060000000001</v>
      </c>
      <c r="S82" s="244">
        <f t="shared" si="6"/>
        <v>0</v>
      </c>
    </row>
    <row r="83" spans="1:19" ht="67.5" customHeight="1" x14ac:dyDescent="0.3">
      <c r="A83" s="180" t="s">
        <v>40</v>
      </c>
      <c r="B83" s="194" t="s">
        <v>229</v>
      </c>
      <c r="C83" s="185">
        <v>8600</v>
      </c>
      <c r="D83" s="185">
        <v>8600</v>
      </c>
      <c r="E83" s="185">
        <f>380.414748+1543.71</f>
        <v>1924.124748</v>
      </c>
      <c r="F83" s="140"/>
      <c r="G83" s="185">
        <f t="shared" si="7"/>
        <v>6675.8752519999998</v>
      </c>
      <c r="H83" s="140"/>
      <c r="I83" s="193"/>
      <c r="R83" s="185">
        <v>8600</v>
      </c>
      <c r="S83" s="244">
        <f t="shared" si="6"/>
        <v>0</v>
      </c>
    </row>
    <row r="84" spans="1:19" ht="31.5" x14ac:dyDescent="0.3">
      <c r="A84" s="180" t="s">
        <v>40</v>
      </c>
      <c r="B84" s="181" t="s">
        <v>164</v>
      </c>
      <c r="C84" s="185">
        <v>1000</v>
      </c>
      <c r="D84" s="185">
        <v>1000</v>
      </c>
      <c r="E84" s="185"/>
      <c r="F84" s="140"/>
      <c r="G84" s="185">
        <f t="shared" si="7"/>
        <v>1000</v>
      </c>
      <c r="H84" s="140"/>
      <c r="I84" s="170"/>
      <c r="R84" s="185">
        <v>1000</v>
      </c>
      <c r="S84" s="244">
        <f t="shared" si="6"/>
        <v>0</v>
      </c>
    </row>
    <row r="85" spans="1:19" ht="21" x14ac:dyDescent="0.3">
      <c r="A85" s="180" t="s">
        <v>40</v>
      </c>
      <c r="B85" s="181" t="s">
        <v>165</v>
      </c>
      <c r="C85" s="185">
        <v>6625.06</v>
      </c>
      <c r="D85" s="185">
        <v>6625.06</v>
      </c>
      <c r="E85" s="185">
        <f>D85</f>
        <v>6625.06</v>
      </c>
      <c r="F85" s="282" t="s">
        <v>297</v>
      </c>
      <c r="G85" s="185">
        <f t="shared" si="7"/>
        <v>0</v>
      </c>
      <c r="H85" s="140"/>
      <c r="I85" s="170"/>
      <c r="R85" s="185">
        <v>6625.06</v>
      </c>
      <c r="S85" s="244">
        <f t="shared" si="6"/>
        <v>0</v>
      </c>
    </row>
    <row r="86" spans="1:19" ht="31.5" x14ac:dyDescent="0.3">
      <c r="A86" s="174" t="s">
        <v>11</v>
      </c>
      <c r="B86" s="175" t="s">
        <v>230</v>
      </c>
      <c r="C86" s="184">
        <f>C87+C88+C89+C90+C91</f>
        <v>22569.449999999997</v>
      </c>
      <c r="D86" s="184">
        <f>D87+D88+D89+D90+D91</f>
        <v>16986.449999999997</v>
      </c>
      <c r="E86" s="184">
        <f>SUM(E87:E91)</f>
        <v>16619.076000000001</v>
      </c>
      <c r="F86" s="140"/>
      <c r="G86" s="184">
        <f t="shared" si="7"/>
        <v>367.37399999999616</v>
      </c>
      <c r="H86" s="140"/>
      <c r="I86" s="170"/>
      <c r="R86" s="184">
        <v>22569.449999999997</v>
      </c>
      <c r="S86" s="244">
        <f t="shared" si="6"/>
        <v>-5583</v>
      </c>
    </row>
    <row r="87" spans="1:19" ht="21" x14ac:dyDescent="0.3">
      <c r="A87" s="176">
        <v>1</v>
      </c>
      <c r="B87" s="177" t="s">
        <v>231</v>
      </c>
      <c r="C87" s="185">
        <v>2674.31</v>
      </c>
      <c r="D87" s="185">
        <v>2674.31</v>
      </c>
      <c r="E87" s="185">
        <f>D87</f>
        <v>2674.31</v>
      </c>
      <c r="F87" s="140"/>
      <c r="G87" s="185">
        <f t="shared" si="7"/>
        <v>0</v>
      </c>
      <c r="H87" s="140"/>
      <c r="I87" s="170"/>
      <c r="O87" s="226">
        <f>E87</f>
        <v>2674.31</v>
      </c>
      <c r="R87" s="185">
        <v>2674.31</v>
      </c>
      <c r="S87" s="244">
        <f t="shared" si="6"/>
        <v>0</v>
      </c>
    </row>
    <row r="88" spans="1:19" ht="21" x14ac:dyDescent="0.3">
      <c r="A88" s="180">
        <v>2</v>
      </c>
      <c r="B88" s="181" t="s">
        <v>232</v>
      </c>
      <c r="C88" s="185">
        <v>4143.9699999999993</v>
      </c>
      <c r="D88" s="185">
        <v>4143.9699999999993</v>
      </c>
      <c r="E88" s="185">
        <f>D88</f>
        <v>4143.9699999999993</v>
      </c>
      <c r="F88" s="140"/>
      <c r="G88" s="185">
        <f t="shared" si="7"/>
        <v>0</v>
      </c>
      <c r="H88" s="140"/>
      <c r="I88" s="170"/>
      <c r="R88" s="185">
        <v>4143.9699999999993</v>
      </c>
      <c r="S88" s="244">
        <f t="shared" si="6"/>
        <v>0</v>
      </c>
    </row>
    <row r="89" spans="1:19" ht="25.5" customHeight="1" x14ac:dyDescent="0.3">
      <c r="A89" s="182">
        <v>3</v>
      </c>
      <c r="B89" s="183" t="s">
        <v>233</v>
      </c>
      <c r="C89" s="186">
        <v>151.16999999999996</v>
      </c>
      <c r="D89" s="186">
        <v>151.16999999999996</v>
      </c>
      <c r="E89" s="186">
        <f>D89</f>
        <v>151.16999999999996</v>
      </c>
      <c r="F89" s="140"/>
      <c r="G89" s="186">
        <f t="shared" si="7"/>
        <v>0</v>
      </c>
      <c r="H89" s="140"/>
      <c r="I89" s="170"/>
      <c r="R89" s="186">
        <v>151.16999999999996</v>
      </c>
      <c r="S89" s="244">
        <f t="shared" si="6"/>
        <v>0</v>
      </c>
    </row>
    <row r="90" spans="1:19" ht="50.25" customHeight="1" x14ac:dyDescent="0.3">
      <c r="A90" s="180">
        <v>4</v>
      </c>
      <c r="B90" s="181" t="s">
        <v>234</v>
      </c>
      <c r="C90" s="195">
        <v>10000</v>
      </c>
      <c r="D90" s="195">
        <v>10000</v>
      </c>
      <c r="E90" s="195">
        <v>9649.6260000000002</v>
      </c>
      <c r="F90" s="140"/>
      <c r="G90" s="195">
        <f t="shared" si="7"/>
        <v>350.3739999999998</v>
      </c>
      <c r="H90" s="140"/>
      <c r="I90" s="170"/>
      <c r="R90" s="195">
        <v>10000</v>
      </c>
      <c r="S90" s="244">
        <f t="shared" si="6"/>
        <v>0</v>
      </c>
    </row>
    <row r="91" spans="1:19" s="188" customFormat="1" ht="42" x14ac:dyDescent="0.3">
      <c r="A91" s="246">
        <v>5</v>
      </c>
      <c r="B91" s="247" t="s">
        <v>304</v>
      </c>
      <c r="C91" s="248">
        <v>5600</v>
      </c>
      <c r="D91" s="248">
        <f>5600-5583</f>
        <v>17</v>
      </c>
      <c r="E91" s="248"/>
      <c r="F91" s="249"/>
      <c r="G91" s="248">
        <f t="shared" si="7"/>
        <v>17</v>
      </c>
      <c r="H91" s="249"/>
      <c r="I91" s="250"/>
      <c r="O91" s="223"/>
      <c r="R91" s="248">
        <v>5600</v>
      </c>
      <c r="S91" s="251">
        <f t="shared" si="6"/>
        <v>-5583</v>
      </c>
    </row>
    <row r="92" spans="1:19" s="169" customFormat="1" ht="25.5" customHeight="1" x14ac:dyDescent="0.3">
      <c r="A92" s="263" t="s">
        <v>19</v>
      </c>
      <c r="B92" s="264" t="s">
        <v>322</v>
      </c>
      <c r="C92" s="252"/>
      <c r="D92" s="252">
        <f>D93+D94</f>
        <v>2283.0190000000002</v>
      </c>
      <c r="E92" s="252"/>
      <c r="F92" s="265"/>
      <c r="G92" s="252">
        <f t="shared" si="7"/>
        <v>2283.0190000000002</v>
      </c>
      <c r="H92" s="265"/>
      <c r="I92" s="245"/>
      <c r="O92" s="225"/>
      <c r="R92" s="252"/>
      <c r="S92" s="266"/>
    </row>
    <row r="93" spans="1:19" s="188" customFormat="1" ht="27.75" customHeight="1" x14ac:dyDescent="0.3">
      <c r="A93" s="246">
        <v>1</v>
      </c>
      <c r="B93" s="247" t="s">
        <v>351</v>
      </c>
      <c r="C93" s="248"/>
      <c r="D93" s="248">
        <v>477.31700000000001</v>
      </c>
      <c r="E93" s="248"/>
      <c r="F93" s="249"/>
      <c r="G93" s="248">
        <v>477.31700000000001</v>
      </c>
      <c r="H93" s="249"/>
      <c r="I93" s="250"/>
      <c r="O93" s="223"/>
      <c r="R93" s="248"/>
      <c r="S93" s="251"/>
    </row>
    <row r="94" spans="1:19" s="188" customFormat="1" ht="25.5" customHeight="1" x14ac:dyDescent="0.3">
      <c r="A94" s="274">
        <v>2</v>
      </c>
      <c r="B94" s="275" t="s">
        <v>341</v>
      </c>
      <c r="C94" s="276"/>
      <c r="D94" s="276">
        <v>1805.702</v>
      </c>
      <c r="E94" s="276"/>
      <c r="F94" s="277"/>
      <c r="G94" s="276">
        <v>1805.702</v>
      </c>
      <c r="H94" s="277"/>
      <c r="I94" s="250"/>
      <c r="O94" s="223"/>
      <c r="R94" s="248"/>
      <c r="S94" s="251"/>
    </row>
  </sheetData>
  <autoFilter ref="A4:N4">
    <filterColumn colId="4" showButton="0"/>
    <filterColumn colId="6" showButton="0"/>
  </autoFilter>
  <mergeCells count="10">
    <mergeCell ref="I43:I49"/>
    <mergeCell ref="I50:I63"/>
    <mergeCell ref="A1:I1"/>
    <mergeCell ref="A2:I2"/>
    <mergeCell ref="A4:A5"/>
    <mergeCell ref="B4:B5"/>
    <mergeCell ref="D4:D5"/>
    <mergeCell ref="E4:F4"/>
    <mergeCell ref="G4:H4"/>
    <mergeCell ref="C4:C5"/>
  </mergeCells>
  <pageMargins left="0.2" right="0.2" top="0.35" bottom="0.24" header="0.3" footer="0.2"/>
  <pageSetup paperSize="9" scale="96" fitToHeight="0" orientation="landscape" verticalDpi="0"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F6"/>
  <sheetViews>
    <sheetView workbookViewId="0">
      <selection activeCell="E4" sqref="E4"/>
    </sheetView>
  </sheetViews>
  <sheetFormatPr defaultRowHeight="12.5" x14ac:dyDescent="0.25"/>
  <sheetData>
    <row r="1" spans="1:6" ht="13" x14ac:dyDescent="0.3">
      <c r="A1" s="85" t="s">
        <v>306</v>
      </c>
      <c r="C1" s="232" t="s">
        <v>314</v>
      </c>
    </row>
    <row r="2" spans="1:6" x14ac:dyDescent="0.25">
      <c r="A2" s="86" t="s">
        <v>307</v>
      </c>
      <c r="F2" s="86" t="s">
        <v>309</v>
      </c>
    </row>
    <row r="3" spans="1:6" x14ac:dyDescent="0.25">
      <c r="A3" s="86" t="s">
        <v>308</v>
      </c>
      <c r="F3" s="86" t="s">
        <v>310</v>
      </c>
    </row>
    <row r="5" spans="1:6" ht="13" x14ac:dyDescent="0.3">
      <c r="A5" s="85" t="s">
        <v>311</v>
      </c>
    </row>
    <row r="6" spans="1:6" x14ac:dyDescent="0.25">
      <c r="A6" s="232" t="s">
        <v>313</v>
      </c>
      <c r="F6" s="86" t="s">
        <v>312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F22"/>
  <sheetViews>
    <sheetView workbookViewId="0">
      <selection activeCell="E15" sqref="E15"/>
    </sheetView>
  </sheetViews>
  <sheetFormatPr defaultRowHeight="12.5" x14ac:dyDescent="0.25"/>
  <cols>
    <col min="1" max="1" width="17.81640625" customWidth="1"/>
    <col min="4" max="4" width="50.1796875" customWidth="1"/>
    <col min="6" max="6" width="0" hidden="1" customWidth="1"/>
  </cols>
  <sheetData>
    <row r="1" spans="1:6" x14ac:dyDescent="0.25">
      <c r="A1" s="254"/>
      <c r="B1" s="255" t="s">
        <v>323</v>
      </c>
      <c r="C1" s="255" t="s">
        <v>324</v>
      </c>
      <c r="D1" s="86" t="s">
        <v>338</v>
      </c>
      <c r="E1" s="86" t="s">
        <v>340</v>
      </c>
    </row>
    <row r="2" spans="1:6" ht="26" x14ac:dyDescent="0.3">
      <c r="A2" s="256" t="s">
        <v>331</v>
      </c>
      <c r="B2" s="257"/>
      <c r="C2" s="257">
        <v>1027</v>
      </c>
      <c r="D2" s="86" t="s">
        <v>358</v>
      </c>
      <c r="E2">
        <f>C2</f>
        <v>1027</v>
      </c>
    </row>
    <row r="3" spans="1:6" ht="13" x14ac:dyDescent="0.3">
      <c r="A3" s="258" t="s">
        <v>332</v>
      </c>
      <c r="B3" s="257">
        <v>-2674</v>
      </c>
      <c r="C3" s="257"/>
    </row>
    <row r="4" spans="1:6" ht="13" x14ac:dyDescent="0.3">
      <c r="A4" s="258" t="s">
        <v>333</v>
      </c>
      <c r="B4" s="257"/>
      <c r="C4" s="257">
        <v>1419</v>
      </c>
      <c r="D4" s="86" t="s">
        <v>358</v>
      </c>
      <c r="E4">
        <f>C4</f>
        <v>1419</v>
      </c>
    </row>
    <row r="5" spans="1:6" ht="13" x14ac:dyDescent="0.3">
      <c r="A5" s="258" t="s">
        <v>334</v>
      </c>
      <c r="B5" s="257"/>
      <c r="C5" s="257">
        <v>623</v>
      </c>
      <c r="D5" s="86" t="s">
        <v>358</v>
      </c>
      <c r="E5">
        <v>623</v>
      </c>
    </row>
    <row r="6" spans="1:6" ht="13" x14ac:dyDescent="0.3">
      <c r="A6" s="258" t="s">
        <v>335</v>
      </c>
      <c r="B6" s="257">
        <v>-675</v>
      </c>
      <c r="C6" s="257"/>
    </row>
    <row r="7" spans="1:6" ht="13" x14ac:dyDescent="0.3">
      <c r="A7" s="258" t="s">
        <v>336</v>
      </c>
      <c r="B7" s="257"/>
      <c r="C7" s="257">
        <v>275</v>
      </c>
      <c r="D7" s="86" t="s">
        <v>358</v>
      </c>
      <c r="E7">
        <f>C7</f>
        <v>275</v>
      </c>
      <c r="F7">
        <f>B3+B6+C2+C4+C5+C7+C8+C9+C10</f>
        <v>5810</v>
      </c>
    </row>
    <row r="8" spans="1:6" ht="38" x14ac:dyDescent="0.3">
      <c r="A8" s="258">
        <v>86</v>
      </c>
      <c r="B8" s="257"/>
      <c r="C8" s="257">
        <v>749</v>
      </c>
      <c r="D8" s="267" t="s">
        <v>342</v>
      </c>
      <c r="E8">
        <f>749-477.704</f>
        <v>271.29599999999999</v>
      </c>
    </row>
    <row r="9" spans="1:6" ht="13" x14ac:dyDescent="0.3">
      <c r="A9" s="258">
        <v>116</v>
      </c>
      <c r="B9" s="257"/>
      <c r="C9" s="257">
        <v>4843</v>
      </c>
      <c r="D9" s="86" t="s">
        <v>358</v>
      </c>
      <c r="E9">
        <f>C9</f>
        <v>4843</v>
      </c>
    </row>
    <row r="10" spans="1:6" ht="25.5" x14ac:dyDescent="0.3">
      <c r="A10" s="258">
        <v>57</v>
      </c>
      <c r="B10" s="257"/>
      <c r="C10" s="257">
        <v>223</v>
      </c>
      <c r="D10" s="267" t="s">
        <v>357</v>
      </c>
      <c r="E10">
        <f>C10-21.608-135.49</f>
        <v>65.901999999999987</v>
      </c>
    </row>
    <row r="11" spans="1:6" ht="13" x14ac:dyDescent="0.3">
      <c r="A11" s="258" t="s">
        <v>325</v>
      </c>
      <c r="B11" s="259">
        <f>-1084-837-1279-475</f>
        <v>-3675</v>
      </c>
      <c r="C11" s="259">
        <f>2060+1+348</f>
        <v>2409</v>
      </c>
      <c r="F11">
        <v>-874</v>
      </c>
    </row>
    <row r="12" spans="1:6" ht="25.5" x14ac:dyDescent="0.3">
      <c r="A12" s="258">
        <v>136</v>
      </c>
      <c r="B12" s="259">
        <v>-191</v>
      </c>
      <c r="C12" s="260">
        <v>5218</v>
      </c>
      <c r="D12" s="267" t="s">
        <v>344</v>
      </c>
      <c r="E12">
        <f>5218-191-1805.702-927.5-346.736</f>
        <v>1947.0619999999999</v>
      </c>
    </row>
    <row r="13" spans="1:6" ht="13" x14ac:dyDescent="0.3">
      <c r="A13" s="258" t="s">
        <v>25</v>
      </c>
      <c r="B13" s="254"/>
      <c r="C13" s="259">
        <v>583</v>
      </c>
      <c r="D13" s="86" t="s">
        <v>339</v>
      </c>
      <c r="E13">
        <f>583-477.317</f>
        <v>105.68299999999999</v>
      </c>
    </row>
    <row r="14" spans="1:6" ht="13" x14ac:dyDescent="0.3">
      <c r="A14" s="258">
        <v>102</v>
      </c>
      <c r="B14" s="260">
        <v>-3667</v>
      </c>
      <c r="C14" s="254"/>
      <c r="F14">
        <f>C12+B14+B15+B16+B17+C18</f>
        <v>-1410</v>
      </c>
    </row>
    <row r="15" spans="1:6" ht="13" x14ac:dyDescent="0.3">
      <c r="A15" s="258" t="s">
        <v>326</v>
      </c>
      <c r="B15" s="260">
        <v>-675</v>
      </c>
      <c r="C15" s="254"/>
    </row>
    <row r="16" spans="1:6" ht="13" x14ac:dyDescent="0.3">
      <c r="A16" s="258" t="s">
        <v>327</v>
      </c>
      <c r="B16" s="260">
        <v>-2280</v>
      </c>
      <c r="C16" s="254"/>
    </row>
    <row r="17" spans="1:6" ht="13" x14ac:dyDescent="0.3">
      <c r="A17" s="258" t="s">
        <v>328</v>
      </c>
      <c r="B17" s="260">
        <v>-440</v>
      </c>
      <c r="C17" s="254"/>
    </row>
    <row r="18" spans="1:6" ht="13" x14ac:dyDescent="0.3">
      <c r="A18" s="258" t="s">
        <v>330</v>
      </c>
      <c r="B18" s="261"/>
      <c r="C18" s="260">
        <v>434</v>
      </c>
    </row>
    <row r="19" spans="1:6" ht="13" x14ac:dyDescent="0.3">
      <c r="A19" s="258" t="s">
        <v>329</v>
      </c>
      <c r="B19" s="262"/>
      <c r="C19" s="262">
        <v>171</v>
      </c>
      <c r="F19">
        <f>C19+B20</f>
        <v>141</v>
      </c>
    </row>
    <row r="20" spans="1:6" ht="13" x14ac:dyDescent="0.3">
      <c r="A20" s="258">
        <v>35</v>
      </c>
      <c r="B20" s="262">
        <v>-30</v>
      </c>
      <c r="C20" s="262"/>
    </row>
    <row r="21" spans="1:6" x14ac:dyDescent="0.25">
      <c r="D21" s="86" t="s">
        <v>337</v>
      </c>
    </row>
    <row r="22" spans="1:6" x14ac:dyDescent="0.25">
      <c r="B22">
        <f>SUM(B2:B20)</f>
        <v>-14307</v>
      </c>
      <c r="C22">
        <f>SUM(C2:C20)</f>
        <v>17974</v>
      </c>
      <c r="D22" s="253">
        <f>B22+C22</f>
        <v>3667</v>
      </c>
      <c r="E22">
        <f>5951-2284</f>
        <v>3667</v>
      </c>
    </row>
  </sheetData>
  <pageMargins left="0.7" right="0.7" top="0.75" bottom="0.75" header="0.3" footer="0.3"/>
  <pageSetup paperSize="9" orientation="portrait" verticalDpi="0"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pageSetUpPr fitToPage="1"/>
  </sheetPr>
  <dimension ref="A2:K26"/>
  <sheetViews>
    <sheetView workbookViewId="0">
      <selection activeCell="K10" sqref="K10"/>
    </sheetView>
  </sheetViews>
  <sheetFormatPr defaultColWidth="9.1796875" defaultRowHeight="13" x14ac:dyDescent="0.3"/>
  <cols>
    <col min="1" max="1" width="40.1796875" style="314" customWidth="1"/>
    <col min="2" max="2" width="11.1796875" style="314" customWidth="1"/>
    <col min="3" max="3" width="12.26953125" style="314" customWidth="1"/>
    <col min="4" max="4" width="13.453125" style="314" customWidth="1"/>
    <col min="5" max="5" width="12.1796875" style="314" customWidth="1"/>
    <col min="6" max="7" width="11" style="314" customWidth="1"/>
    <col min="8" max="8" width="14" style="314" customWidth="1"/>
    <col min="9" max="11" width="10.7265625" style="314" bestFit="1" customWidth="1"/>
    <col min="12" max="16384" width="9.1796875" style="314"/>
  </cols>
  <sheetData>
    <row r="2" spans="1:11" ht="24.75" customHeight="1" x14ac:dyDescent="0.35">
      <c r="A2" s="880" t="s">
        <v>384</v>
      </c>
      <c r="B2" s="880"/>
      <c r="C2" s="880"/>
      <c r="D2" s="880"/>
      <c r="E2" s="880"/>
      <c r="F2" s="880"/>
      <c r="G2" s="880"/>
      <c r="H2" s="880"/>
      <c r="I2" s="880"/>
      <c r="J2" s="880"/>
      <c r="K2" s="880"/>
    </row>
    <row r="4" spans="1:11" ht="60" x14ac:dyDescent="0.3">
      <c r="A4" s="315" t="s">
        <v>13</v>
      </c>
      <c r="B4" s="315" t="s">
        <v>373</v>
      </c>
      <c r="C4" s="241" t="s">
        <v>5</v>
      </c>
      <c r="D4" s="241" t="s">
        <v>6</v>
      </c>
      <c r="E4" s="241" t="s">
        <v>42</v>
      </c>
      <c r="F4" s="241" t="s">
        <v>7</v>
      </c>
      <c r="G4" s="241" t="s">
        <v>167</v>
      </c>
      <c r="H4" s="241" t="s">
        <v>8</v>
      </c>
      <c r="I4" s="241" t="s">
        <v>134</v>
      </c>
      <c r="J4" s="316" t="s">
        <v>218</v>
      </c>
      <c r="K4" s="316" t="s">
        <v>363</v>
      </c>
    </row>
    <row r="5" spans="1:11" ht="22.5" customHeight="1" x14ac:dyDescent="0.3">
      <c r="A5" s="318" t="s">
        <v>361</v>
      </c>
      <c r="B5" s="319"/>
      <c r="C5" s="318">
        <v>30000</v>
      </c>
      <c r="D5" s="318">
        <v>15000</v>
      </c>
      <c r="E5" s="318">
        <v>8000</v>
      </c>
      <c r="F5" s="318">
        <v>3000</v>
      </c>
      <c r="G5" s="318">
        <v>2000</v>
      </c>
      <c r="H5" s="318">
        <v>26605</v>
      </c>
      <c r="I5" s="318">
        <v>1000</v>
      </c>
      <c r="J5" s="318">
        <v>22972</v>
      </c>
      <c r="K5" s="318">
        <v>35355</v>
      </c>
    </row>
    <row r="6" spans="1:11" ht="19.5" customHeight="1" x14ac:dyDescent="0.3">
      <c r="A6" s="318" t="s">
        <v>362</v>
      </c>
      <c r="B6" s="319"/>
      <c r="C6" s="318">
        <f t="shared" ref="C6:K6" si="0">SUM(C7:C25)</f>
        <v>9918</v>
      </c>
      <c r="D6" s="318">
        <f t="shared" si="0"/>
        <v>1739.3109999999999</v>
      </c>
      <c r="E6" s="318">
        <f t="shared" si="0"/>
        <v>8560.7999999999993</v>
      </c>
      <c r="F6" s="318">
        <f t="shared" si="0"/>
        <v>0</v>
      </c>
      <c r="G6" s="318">
        <f t="shared" si="0"/>
        <v>0</v>
      </c>
      <c r="H6" s="318">
        <f t="shared" si="0"/>
        <v>6787.0340000000006</v>
      </c>
      <c r="I6" s="318">
        <f t="shared" si="0"/>
        <v>0</v>
      </c>
      <c r="J6" s="318">
        <f t="shared" si="0"/>
        <v>2793.9919199999999</v>
      </c>
      <c r="K6" s="318">
        <f t="shared" si="0"/>
        <v>44435.793392300002</v>
      </c>
    </row>
    <row r="7" spans="1:11" ht="19.5" customHeight="1" x14ac:dyDescent="0.3">
      <c r="A7" s="319" t="s">
        <v>386</v>
      </c>
      <c r="B7" s="319"/>
      <c r="C7" s="318"/>
      <c r="D7" s="318"/>
      <c r="E7" s="318"/>
      <c r="F7" s="318"/>
      <c r="G7" s="318"/>
      <c r="H7" s="319">
        <v>16</v>
      </c>
      <c r="I7" s="318"/>
      <c r="J7" s="318"/>
      <c r="K7" s="318"/>
    </row>
    <row r="8" spans="1:11" ht="15.5" x14ac:dyDescent="0.35">
      <c r="A8" s="319" t="s">
        <v>364</v>
      </c>
      <c r="B8" s="319"/>
      <c r="C8" s="317"/>
      <c r="D8" s="317"/>
      <c r="E8" s="317"/>
      <c r="F8" s="317"/>
      <c r="G8" s="317"/>
      <c r="H8" s="317">
        <v>1940</v>
      </c>
      <c r="I8" s="317"/>
      <c r="J8" s="317"/>
      <c r="K8" s="317"/>
    </row>
    <row r="9" spans="1:11" ht="15.5" x14ac:dyDescent="0.35">
      <c r="A9" s="319" t="s">
        <v>382</v>
      </c>
      <c r="B9" s="319"/>
      <c r="C9" s="317"/>
      <c r="D9" s="317"/>
      <c r="E9" s="317"/>
      <c r="F9" s="317"/>
      <c r="G9" s="317"/>
      <c r="H9" s="317"/>
      <c r="I9" s="317"/>
      <c r="J9" s="317"/>
      <c r="K9" s="317">
        <v>27449</v>
      </c>
    </row>
    <row r="10" spans="1:11" ht="15.5" x14ac:dyDescent="0.35">
      <c r="A10" s="319" t="s">
        <v>383</v>
      </c>
      <c r="B10" s="319"/>
      <c r="C10" s="317"/>
      <c r="D10" s="317"/>
      <c r="E10" s="317"/>
      <c r="F10" s="317"/>
      <c r="G10" s="317"/>
      <c r="H10" s="317"/>
      <c r="I10" s="317"/>
      <c r="J10" s="317"/>
      <c r="K10" s="317">
        <v>1043</v>
      </c>
    </row>
    <row r="11" spans="1:11" ht="15.5" x14ac:dyDescent="0.35">
      <c r="A11" s="319" t="s">
        <v>365</v>
      </c>
      <c r="B11" s="319"/>
      <c r="C11" s="317"/>
      <c r="D11" s="317"/>
      <c r="E11" s="317"/>
      <c r="F11" s="317"/>
      <c r="G11" s="317"/>
      <c r="H11" s="317">
        <v>1131.4469999999999</v>
      </c>
      <c r="I11" s="317"/>
      <c r="J11" s="317"/>
      <c r="K11" s="317"/>
    </row>
    <row r="12" spans="1:11" ht="15.5" x14ac:dyDescent="0.35">
      <c r="A12" s="319" t="s">
        <v>381</v>
      </c>
      <c r="B12" s="319"/>
      <c r="C12" s="317"/>
      <c r="D12" s="317"/>
      <c r="E12" s="317"/>
      <c r="F12" s="317"/>
      <c r="G12" s="317"/>
      <c r="H12" s="317"/>
      <c r="I12" s="317"/>
      <c r="J12" s="317">
        <v>1913.1</v>
      </c>
      <c r="K12" s="317"/>
    </row>
    <row r="13" spans="1:11" ht="15.5" x14ac:dyDescent="0.35">
      <c r="A13" s="319" t="s">
        <v>366</v>
      </c>
      <c r="B13" s="319"/>
      <c r="C13" s="317"/>
      <c r="D13" s="317"/>
      <c r="E13" s="317"/>
      <c r="F13" s="317"/>
      <c r="G13" s="317"/>
      <c r="H13" s="317"/>
      <c r="I13" s="317"/>
      <c r="J13" s="317"/>
      <c r="K13" s="322">
        <v>7.34</v>
      </c>
    </row>
    <row r="14" spans="1:11" ht="15.5" x14ac:dyDescent="0.35">
      <c r="A14" s="319" t="s">
        <v>367</v>
      </c>
      <c r="B14" s="319"/>
      <c r="C14" s="317"/>
      <c r="D14" s="317"/>
      <c r="E14" s="317"/>
      <c r="F14" s="317"/>
      <c r="G14" s="317"/>
      <c r="H14" s="317">
        <v>52.895000000000003</v>
      </c>
      <c r="I14" s="317"/>
      <c r="J14" s="317"/>
      <c r="K14" s="317"/>
    </row>
    <row r="15" spans="1:11" ht="15.5" x14ac:dyDescent="0.35">
      <c r="A15" s="319" t="s">
        <v>368</v>
      </c>
      <c r="B15" s="319"/>
      <c r="C15" s="317"/>
      <c r="D15" s="317"/>
      <c r="E15" s="317"/>
      <c r="F15" s="317"/>
      <c r="G15" s="317"/>
      <c r="H15" s="317">
        <v>3792.9360000000001</v>
      </c>
      <c r="I15" s="317"/>
      <c r="J15" s="317"/>
      <c r="K15" s="317"/>
    </row>
    <row r="16" spans="1:11" ht="15.5" x14ac:dyDescent="0.35">
      <c r="A16" s="319" t="s">
        <v>369</v>
      </c>
      <c r="B16" s="319"/>
      <c r="C16" s="317"/>
      <c r="D16" s="317">
        <v>619.62699999999995</v>
      </c>
      <c r="E16" s="317"/>
      <c r="F16" s="317"/>
      <c r="G16" s="317"/>
      <c r="H16" s="317"/>
      <c r="I16" s="317"/>
      <c r="J16" s="317"/>
      <c r="K16" s="317"/>
    </row>
    <row r="17" spans="1:11" ht="15.5" x14ac:dyDescent="0.35">
      <c r="A17" s="319" t="s">
        <v>370</v>
      </c>
      <c r="B17" s="319"/>
      <c r="C17" s="317"/>
      <c r="D17" s="317"/>
      <c r="E17" s="317">
        <v>8560.7999999999993</v>
      </c>
      <c r="F17" s="317"/>
      <c r="G17" s="317"/>
      <c r="H17" s="317"/>
      <c r="I17" s="317"/>
      <c r="J17" s="317"/>
      <c r="K17" s="317"/>
    </row>
    <row r="18" spans="1:11" ht="15.5" x14ac:dyDescent="0.35">
      <c r="A18" s="319" t="s">
        <v>377</v>
      </c>
      <c r="B18" s="319"/>
      <c r="C18" s="317"/>
      <c r="D18" s="317">
        <f>5.709+129.781</f>
        <v>135.49</v>
      </c>
      <c r="E18" s="317"/>
      <c r="F18" s="317"/>
      <c r="G18" s="317"/>
      <c r="H18" s="317"/>
      <c r="I18" s="317"/>
      <c r="J18" s="317"/>
      <c r="K18" s="317"/>
    </row>
    <row r="19" spans="1:11" ht="15.5" x14ac:dyDescent="0.35">
      <c r="A19" s="319" t="s">
        <v>379</v>
      </c>
      <c r="B19" s="319"/>
      <c r="C19" s="317"/>
      <c r="D19" s="317"/>
      <c r="E19" s="317"/>
      <c r="F19" s="317"/>
      <c r="G19" s="317"/>
      <c r="H19" s="317">
        <v>927.5</v>
      </c>
      <c r="I19" s="317"/>
      <c r="J19" s="317"/>
      <c r="K19" s="317"/>
    </row>
    <row r="20" spans="1:11" ht="15.5" x14ac:dyDescent="0.35">
      <c r="A20" s="319" t="s">
        <v>371</v>
      </c>
      <c r="B20" s="319"/>
      <c r="C20" s="317"/>
      <c r="D20" s="317"/>
      <c r="E20" s="317"/>
      <c r="F20" s="317"/>
      <c r="G20" s="317"/>
      <c r="H20" s="317">
        <v>-146.244</v>
      </c>
      <c r="I20" s="317"/>
      <c r="J20" s="317"/>
      <c r="K20" s="317"/>
    </row>
    <row r="21" spans="1:11" ht="15.5" x14ac:dyDescent="0.35">
      <c r="A21" s="319" t="s">
        <v>372</v>
      </c>
      <c r="B21" s="319"/>
      <c r="C21" s="317">
        <v>9918</v>
      </c>
      <c r="D21" s="317"/>
      <c r="E21" s="317"/>
      <c r="F21" s="317"/>
      <c r="G21" s="317"/>
      <c r="H21" s="317"/>
      <c r="I21" s="317"/>
      <c r="J21" s="317">
        <v>880.89192000000003</v>
      </c>
      <c r="K21" s="317">
        <v>4793.5280819999998</v>
      </c>
    </row>
    <row r="22" spans="1:11" ht="15.5" x14ac:dyDescent="0.35">
      <c r="A22" s="319" t="s">
        <v>378</v>
      </c>
      <c r="B22" s="319"/>
      <c r="C22" s="317"/>
      <c r="D22" s="317">
        <v>984.19399999999996</v>
      </c>
      <c r="E22" s="317"/>
      <c r="F22" s="317"/>
      <c r="G22" s="317"/>
      <c r="H22" s="317"/>
      <c r="I22" s="317"/>
      <c r="J22" s="317"/>
      <c r="K22" s="317"/>
    </row>
    <row r="23" spans="1:11" ht="15.5" x14ac:dyDescent="0.35">
      <c r="A23" s="319" t="s">
        <v>374</v>
      </c>
      <c r="B23" s="317"/>
      <c r="C23" s="317"/>
      <c r="D23" s="317"/>
      <c r="E23" s="317"/>
      <c r="F23" s="317"/>
      <c r="G23" s="317"/>
      <c r="H23" s="317"/>
      <c r="I23" s="317"/>
      <c r="J23" s="317"/>
      <c r="K23" s="317">
        <v>4603.7818143000004</v>
      </c>
    </row>
    <row r="24" spans="1:11" ht="15.5" x14ac:dyDescent="0.35">
      <c r="A24" s="319" t="s">
        <v>375</v>
      </c>
      <c r="B24" s="317"/>
      <c r="C24" s="317"/>
      <c r="D24" s="317"/>
      <c r="E24" s="317"/>
      <c r="F24" s="317"/>
      <c r="G24" s="317"/>
      <c r="H24" s="317"/>
      <c r="I24" s="317"/>
      <c r="J24" s="317"/>
      <c r="K24" s="317">
        <v>6539.1434959999997</v>
      </c>
    </row>
    <row r="25" spans="1:11" ht="15.5" x14ac:dyDescent="0.35">
      <c r="A25" s="319" t="s">
        <v>380</v>
      </c>
      <c r="B25" s="317"/>
      <c r="C25" s="317"/>
      <c r="D25" s="317"/>
      <c r="E25" s="317"/>
      <c r="F25" s="317"/>
      <c r="G25" s="317"/>
      <c r="H25" s="317">
        <v>-927.5</v>
      </c>
      <c r="I25" s="317"/>
      <c r="J25" s="317"/>
      <c r="K25" s="317"/>
    </row>
    <row r="26" spans="1:11" ht="15.5" x14ac:dyDescent="0.35">
      <c r="A26" s="320" t="s">
        <v>376</v>
      </c>
      <c r="B26" s="317"/>
      <c r="C26" s="321">
        <f>C5+C6</f>
        <v>39918</v>
      </c>
      <c r="D26" s="321">
        <f t="shared" ref="D26:K26" si="1">D5+D6</f>
        <v>16739.311000000002</v>
      </c>
      <c r="E26" s="321">
        <f t="shared" si="1"/>
        <v>16560.8</v>
      </c>
      <c r="F26" s="321">
        <f t="shared" si="1"/>
        <v>3000</v>
      </c>
      <c r="G26" s="321">
        <f t="shared" si="1"/>
        <v>2000</v>
      </c>
      <c r="H26" s="321">
        <f t="shared" si="1"/>
        <v>33392.034</v>
      </c>
      <c r="I26" s="321">
        <f t="shared" si="1"/>
        <v>1000</v>
      </c>
      <c r="J26" s="321">
        <f t="shared" si="1"/>
        <v>25765.99192</v>
      </c>
      <c r="K26" s="321">
        <f t="shared" si="1"/>
        <v>79790.793392299995</v>
      </c>
    </row>
  </sheetData>
  <mergeCells count="1">
    <mergeCell ref="A2:K2"/>
  </mergeCells>
  <pageMargins left="0.7" right="0.7" top="0.48" bottom="0.47" header="0.3" footer="0.3"/>
  <pageSetup paperSize="9" scale="85" fitToHeight="0"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Trang tính</vt:lpstr>
      </vt:variant>
      <vt:variant>
        <vt:i4>21</vt:i4>
      </vt:variant>
      <vt:variant>
        <vt:lpstr>Phạm vi có Tên</vt:lpstr>
      </vt:variant>
      <vt:variant>
        <vt:i4>15</vt:i4>
      </vt:variant>
    </vt:vector>
  </HeadingPairs>
  <TitlesOfParts>
    <vt:vector size="36" baseType="lpstr">
      <vt:lpstr>QDTTC 2020</vt:lpstr>
      <vt:lpstr>LK TƯ,ƯT NSTƯ</vt:lpstr>
      <vt:lpstr>Sheet1</vt:lpstr>
      <vt:lpstr>Sheet2</vt:lpstr>
      <vt:lpstr>TH phan bo 2020</vt:lpstr>
      <vt:lpstr>Sheet3</vt:lpstr>
      <vt:lpstr>Sheet4</vt:lpstr>
      <vt:lpstr>Sheet5</vt:lpstr>
      <vt:lpstr>Sheet6</vt:lpstr>
      <vt:lpstr>Sheet7</vt:lpstr>
      <vt:lpstr>vdt</vt:lpstr>
      <vt:lpstr>01.TH</vt:lpstr>
      <vt:lpstr>01.DPNS</vt:lpstr>
      <vt:lpstr>02.DPNS</vt:lpstr>
      <vt:lpstr>01.DPNS (3)</vt:lpstr>
      <vt:lpstr>02.DỰ KIẾN PHÂN BỔ</vt:lpstr>
      <vt:lpstr>Chi tiet bo sung KP</vt:lpstr>
      <vt:lpstr>ASXH</vt:lpstr>
      <vt:lpstr>Nguon TW</vt:lpstr>
      <vt:lpstr>nguồn ctmtqg còn dư</vt:lpstr>
      <vt:lpstr>Sheet9</vt:lpstr>
      <vt:lpstr>'01.DPNS'!Print_Titles</vt:lpstr>
      <vt:lpstr>'01.DPNS (3)'!Print_Titles</vt:lpstr>
      <vt:lpstr>'01.TH'!Print_Titles</vt:lpstr>
      <vt:lpstr>'02.DPNS'!Print_Titles</vt:lpstr>
      <vt:lpstr>'02.DỰ KIẾN PHÂN BỔ'!Print_Titles</vt:lpstr>
      <vt:lpstr>'Nguon TW'!Print_Titles</vt:lpstr>
      <vt:lpstr>'TH phan bo 2020'!Print_Titles</vt:lpstr>
      <vt:lpstr>'01.DPNS'!Vùng_In</vt:lpstr>
      <vt:lpstr>'01.DPNS (3)'!Vùng_In</vt:lpstr>
      <vt:lpstr>'01.TH'!Vùng_In</vt:lpstr>
      <vt:lpstr>'02.DPNS'!Vùng_In</vt:lpstr>
      <vt:lpstr>'02.DỰ KIẾN PHÂN BỔ'!Vùng_In</vt:lpstr>
      <vt:lpstr>'Chi tiet bo sung KP'!Vùng_In</vt:lpstr>
      <vt:lpstr>'Nguon TW'!Vùng_In</vt:lpstr>
      <vt:lpstr>'TH phan bo 2020'!Vùng_In</vt:lpstr>
    </vt:vector>
  </TitlesOfParts>
  <Company>pc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dc:creator>
  <cp:lastModifiedBy>HP</cp:lastModifiedBy>
  <cp:lastPrinted>2024-12-10T17:09:34Z</cp:lastPrinted>
  <dcterms:created xsi:type="dcterms:W3CDTF">2013-06-14T02:32:46Z</dcterms:created>
  <dcterms:modified xsi:type="dcterms:W3CDTF">2024-12-10T17:10:08Z</dcterms:modified>
</cp:coreProperties>
</file>