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Sô_la_mviê_cNa_y" defaultThemeVersion="124226"/>
  <bookViews>
    <workbookView xWindow="120" yWindow="45" windowWidth="9720" windowHeight="6045" tabRatio="598" firstSheet="2" activeTab="16"/>
  </bookViews>
  <sheets>
    <sheet name="Sheet1" sheetId="155" state="hidden" r:id="rId1"/>
    <sheet name="SGV" sheetId="162" state="veryHidden" r:id="rId2"/>
    <sheet name="1,.THDT thu H" sheetId="49" r:id="rId3"/>
    <sheet name="2.Chi tiet thu xa" sheetId="68" r:id="rId4"/>
    <sheet name="3.TH-HX" sheetId="48" r:id="rId5"/>
    <sheet name="4.THDT chi 24" sheetId="51" r:id="rId6"/>
    <sheet name="5.Chi tiet huyen " sheetId="124" r:id="rId7"/>
    <sheet name="5a. Chi tiết giáo dục" sheetId="161" state="hidden" r:id="rId8"/>
    <sheet name="6.Vốn đtư,SNKT25" sheetId="125" r:id="rId9"/>
    <sheet name="6a" sheetId="153" r:id="rId10"/>
    <sheet name="7. TH chi xa 25" sheetId="114" r:id="rId11"/>
    <sheet name="K in- CT xã 2025" sheetId="118" state="hidden" r:id="rId12"/>
    <sheet name="LươngCS giao DT 2025" sheetId="131" state="hidden" r:id="rId13"/>
    <sheet name="Sheet2" sheetId="156" state="hidden" r:id="rId14"/>
    <sheet name="Sheet4" sheetId="158" state="hidden" r:id="rId15"/>
    <sheet name="Sheet3" sheetId="159" state="hidden" r:id="rId16"/>
    <sheet name="8.DT Phí lệ phí" sheetId="163" r:id="rId17"/>
    <sheet name="Sheet7" sheetId="164" state="hidden" r:id="rId18"/>
  </sheets>
  <externalReferences>
    <externalReference r:id="rId19"/>
    <externalReference r:id="rId20"/>
    <externalReference r:id="rId21"/>
  </externalReferences>
  <definedNames>
    <definedName name="_1">#REF!</definedName>
    <definedName name="_2">#REF!</definedName>
    <definedName name="_CON1">#REF!</definedName>
    <definedName name="_CON2">#REF!</definedName>
    <definedName name="_NET2">#REF!</definedName>
    <definedName name="a277Print_Titles">#REF!</definedName>
    <definedName name="B_Isc">#REF!</definedName>
    <definedName name="bang_gia">#REF!</definedName>
    <definedName name="BOQ">#REF!</definedName>
    <definedName name="BVCISUMMARY">#REF!</definedName>
    <definedName name="Cã_TK">#REF!</definedName>
    <definedName name="Co">#REF!</definedName>
    <definedName name="COMMON">#REF!</definedName>
    <definedName name="CON_EQP_COS">#REF!</definedName>
    <definedName name="Cong_HM_DTCT">#REF!</definedName>
    <definedName name="Cong_M_DTCT">#REF!</definedName>
    <definedName name="Cong_NC_DTCT">#REF!</definedName>
    <definedName name="Cong_VL_DTCT">#REF!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_xlnm.Database">#REF!</definedName>
    <definedName name="den_bu">#REF!</definedName>
    <definedName name="DGCTI592">#REF!</definedName>
    <definedName name="DiÔn_gi_i">#REF!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gia_tien">#REF!</definedName>
    <definedName name="gia_tien_BTN">#REF!</definedName>
    <definedName name="h">#REF!</definedName>
    <definedName name="H_30">#REF!</definedName>
    <definedName name="ha">#REF!</definedName>
    <definedName name="HH">#REF!</definedName>
    <definedName name="hien">#REF!</definedName>
    <definedName name="HOME_MANP">#REF!</definedName>
    <definedName name="HOMEOFFICE_COST">#REF!</definedName>
    <definedName name="I">#REF!</definedName>
    <definedName name="IDLAB_COST">#REF!</definedName>
    <definedName name="INDMANP">#REF!</definedName>
    <definedName name="j356C8">#REF!</definedName>
    <definedName name="kcong">#REF!</definedName>
    <definedName name="KH">#REF!</definedName>
    <definedName name="KKE_Sheet10_List">#REF!</definedName>
    <definedName name="Lnsc">#REF!</definedName>
    <definedName name="m">#REF!</definedName>
    <definedName name="MAJ_CON_EQP">#REF!</definedName>
    <definedName name="MG_A">#REF!</definedName>
    <definedName name="Morong">#REF!</definedName>
    <definedName name="Morong4054_85">#REF!</definedName>
    <definedName name="morong4054_98">#REF!</definedName>
    <definedName name="NET">#REF!</definedName>
    <definedName name="NET_1">#REF!</definedName>
    <definedName name="NET_ANA">#REF!</definedName>
    <definedName name="NET_ANA_1">#REF!</definedName>
    <definedName name="NET_ANA_2">#REF!</definedName>
    <definedName name="Ng_y">#REF!</definedName>
    <definedName name="NH">#REF!</definedName>
    <definedName name="NHot">#REF!</definedName>
    <definedName name="Nî_TK">#REF!</definedName>
    <definedName name="No">#REF!</definedName>
    <definedName name="Print_Area" localSheetId="3">'2.Chi tiet thu xa'!$A$1:$AN$36</definedName>
    <definedName name="Print_Area" localSheetId="4">'3.TH-HX'!$A$1:$I$76</definedName>
    <definedName name="Print_Area" localSheetId="5">'4.THDT chi 24'!$A$1:$D$75</definedName>
    <definedName name="Print_Area" localSheetId="6">'5.Chi tiet huyen '!$A$1:$K$537</definedName>
    <definedName name="Print_Area" localSheetId="8">'6.Vốn đtư,SNKT25'!$A$1:$F$62</definedName>
    <definedName name="Print_Area" localSheetId="10">'7. TH chi xa 25'!$A$1:$T$69</definedName>
    <definedName name="PRINT_AREA_MI">#REF!</definedName>
    <definedName name="_xlnm.Print_Titles" localSheetId="3">'2.Chi tiet thu xa'!$A:$B</definedName>
    <definedName name="_xlnm.Print_Titles" localSheetId="4">'3.TH-HX'!$5:$7</definedName>
    <definedName name="_xlnm.Print_Titles" localSheetId="5">'4.THDT chi 24'!$A:$B,'4.THDT chi 24'!$5:$6</definedName>
    <definedName name="_xlnm.Print_Titles" localSheetId="6">'5.Chi tiet huyen '!$6:$8</definedName>
    <definedName name="_xlnm.Print_Titles" localSheetId="7">'5a. Chi tiết giáo dục'!$5:$5</definedName>
    <definedName name="_xlnm.Print_Titles" localSheetId="8">'6.Vốn đtư,SNKT25'!$6:$7</definedName>
    <definedName name="_xlnm.Print_Titles" localSheetId="9">'6a'!$6:$6</definedName>
    <definedName name="_xlnm.Print_Titles" localSheetId="10">'7. TH chi xa 25'!$A:$B,'7. TH chi xa 25'!$6:$8</definedName>
    <definedName name="_xlnm.Print_Titles" localSheetId="11">'K in- CT xã 2025'!$A:$B,'K in- CT xã 2025'!$3:$4</definedName>
    <definedName name="_xlnm.Print_Titles" localSheetId="12">'LươngCS giao DT 2025'!$5:$10</definedName>
    <definedName name="_xlnm.Print_Titles" localSheetId="0">Sheet1!$4:$4</definedName>
    <definedName name="_xlnm.Print_Titles" localSheetId="17">Sheet7!$4:$4</definedName>
    <definedName name="_xlnm.Print_Titles">#N/A</definedName>
    <definedName name="PRINT_TITLES_MI">#REF!</definedName>
    <definedName name="PRINTA">#REF!</definedName>
    <definedName name="PRINTB">#REF!</definedName>
    <definedName name="PRINTC">#REF!</definedName>
    <definedName name="PROPOSAL">#REF!</definedName>
    <definedName name="PT_Duong">#REF!</definedName>
    <definedName name="PTDG_cau">#REF!</definedName>
    <definedName name="ptdg_cong">#REF!</definedName>
    <definedName name="ptdg_duong">#REF!</definedName>
    <definedName name="ptdg_ke">#REF!</definedName>
    <definedName name="q">#REF!</definedName>
    <definedName name="scao98">#REF!</definedName>
    <definedName name="Sè_tiÒn">#REF!</definedName>
    <definedName name="sieucao">#REF!</definedName>
    <definedName name="SORT">#REF!</definedName>
    <definedName name="Spanner_Auto_File">"C:\My Documents\tinh cdo.x2a"</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axTV">10%</definedName>
    <definedName name="TaxXL">5%</definedName>
    <definedName name="Tchuan">#REF!</definedName>
    <definedName name="Tien">#REF!</definedName>
    <definedName name="tim_xuat_hien">#REF!</definedName>
    <definedName name="Tra_Cot">#REF!</definedName>
    <definedName name="Tra_DM_su_dung">#REF!</definedName>
    <definedName name="Tra_don_gia_KS">#REF!</definedName>
    <definedName name="Tra_DTCT">#REF!</definedName>
    <definedName name="Tra_ten_cong">#REF!</definedName>
    <definedName name="Tra_tim_hang_mucPT_trung">#REF!</definedName>
    <definedName name="_xlnm.Extract">#REF!</definedName>
    <definedName name="tthi">#REF!</definedName>
    <definedName name="ty_le">#REF!</definedName>
    <definedName name="ty_le_BTN">#REF!</definedName>
    <definedName name="Ty_le1">#REF!</definedName>
    <definedName name="VARIINST">#REF!</definedName>
    <definedName name="VARIPURC">#REF!</definedName>
    <definedName name="vd">#REF!</definedName>
    <definedName name="_xlnm.Print_Area" localSheetId="11">'K in- CT xã 2025'!$A$1:$AL$122</definedName>
    <definedName name="_xlnm.Print_Area">#REF!</definedName>
    <definedName name="W">#REF!</definedName>
    <definedName name="x">#REF!</definedName>
    <definedName name="XB_80">#REF!</definedName>
    <definedName name="xh">#REF!</definedName>
    <definedName name="xn">#REF!</definedName>
    <definedName name="ZYX">#REF!</definedName>
    <definedName name="ZZZ">#REF!</definedName>
  </definedNames>
  <calcPr calcId="144525"/>
</workbook>
</file>

<file path=xl/calcChain.xml><?xml version="1.0" encoding="utf-8"?>
<calcChain xmlns="http://schemas.openxmlformats.org/spreadsheetml/2006/main">
  <c r="G191" i="124" l="1"/>
  <c r="D48" i="125" l="1"/>
  <c r="C43" i="114" l="1"/>
  <c r="I41" i="124" l="1"/>
  <c r="I40" i="124"/>
  <c r="G473" i="124"/>
  <c r="G526" i="124"/>
  <c r="G469" i="124"/>
  <c r="H31" i="124" l="1"/>
  <c r="J31" i="124"/>
  <c r="G31" i="124"/>
  <c r="H50" i="124"/>
  <c r="I50" i="124"/>
  <c r="J50" i="124"/>
  <c r="G51" i="124"/>
  <c r="K51" i="124" s="1"/>
  <c r="K50" i="124" s="1"/>
  <c r="H48" i="124"/>
  <c r="I48" i="124"/>
  <c r="J48" i="124"/>
  <c r="G48" i="124"/>
  <c r="G49" i="124"/>
  <c r="K49" i="124" s="1"/>
  <c r="K48" i="124" s="1"/>
  <c r="H46" i="124"/>
  <c r="I46" i="124"/>
  <c r="J46" i="124"/>
  <c r="L46" i="124"/>
  <c r="M46" i="124"/>
  <c r="N46" i="124"/>
  <c r="O46" i="124"/>
  <c r="P46" i="124"/>
  <c r="Q46" i="124"/>
  <c r="R46" i="124"/>
  <c r="S46" i="124"/>
  <c r="T46" i="124"/>
  <c r="U46" i="124"/>
  <c r="V46" i="124"/>
  <c r="W46" i="124"/>
  <c r="X46" i="124"/>
  <c r="Y46" i="124"/>
  <c r="Z46" i="124"/>
  <c r="AA46" i="124"/>
  <c r="AB46" i="124"/>
  <c r="AC46" i="124"/>
  <c r="AD46" i="124"/>
  <c r="AE46" i="124"/>
  <c r="AF46" i="124"/>
  <c r="AG46" i="124"/>
  <c r="AH46" i="124"/>
  <c r="AI46" i="124"/>
  <c r="AJ46" i="124"/>
  <c r="AK46" i="124"/>
  <c r="AL46" i="124"/>
  <c r="AM46" i="124"/>
  <c r="AN46" i="124"/>
  <c r="AO46" i="124"/>
  <c r="AP46" i="124"/>
  <c r="AQ46" i="124"/>
  <c r="AR46" i="124"/>
  <c r="AS46" i="124"/>
  <c r="D41" i="125"/>
  <c r="D54" i="125"/>
  <c r="D50" i="125"/>
  <c r="G50" i="124" l="1"/>
  <c r="D52" i="125" l="1"/>
  <c r="D56" i="125"/>
  <c r="D55" i="125"/>
  <c r="C42" i="114"/>
  <c r="D51" i="114"/>
  <c r="E51" i="114"/>
  <c r="F51" i="114"/>
  <c r="G51" i="114"/>
  <c r="H51" i="114"/>
  <c r="I51" i="114"/>
  <c r="J51" i="114"/>
  <c r="K51" i="114"/>
  <c r="L51" i="114"/>
  <c r="M51" i="114"/>
  <c r="N51" i="114"/>
  <c r="O51" i="114"/>
  <c r="P51" i="114"/>
  <c r="Q51" i="114"/>
  <c r="R51" i="114"/>
  <c r="S51" i="114"/>
  <c r="T51" i="114"/>
  <c r="C54" i="114"/>
  <c r="E48" i="114"/>
  <c r="G48" i="114"/>
  <c r="H48" i="114"/>
  <c r="I48" i="114"/>
  <c r="J48" i="114"/>
  <c r="L48" i="114"/>
  <c r="N48" i="114"/>
  <c r="O48" i="114"/>
  <c r="P48" i="114"/>
  <c r="Q48" i="114"/>
  <c r="S48" i="114"/>
  <c r="T48" i="114"/>
  <c r="F48" i="114"/>
  <c r="AL137" i="118"/>
  <c r="E134" i="118"/>
  <c r="F134" i="118"/>
  <c r="G134" i="118"/>
  <c r="H134" i="118"/>
  <c r="I134" i="118"/>
  <c r="J134" i="118"/>
  <c r="K134" i="118"/>
  <c r="L134" i="118"/>
  <c r="M134" i="118"/>
  <c r="N134" i="118"/>
  <c r="O134" i="118"/>
  <c r="P134" i="118"/>
  <c r="Q134" i="118"/>
  <c r="R134" i="118"/>
  <c r="S134" i="118"/>
  <c r="T134" i="118"/>
  <c r="U134" i="118"/>
  <c r="V134" i="118"/>
  <c r="W134" i="118"/>
  <c r="X134" i="118"/>
  <c r="Y134" i="118"/>
  <c r="Z134" i="118"/>
  <c r="AA134" i="118"/>
  <c r="AB134" i="118"/>
  <c r="AC134" i="118"/>
  <c r="AD134" i="118"/>
  <c r="AE134" i="118"/>
  <c r="AF134" i="118"/>
  <c r="AG134" i="118"/>
  <c r="AH134" i="118"/>
  <c r="AI134" i="118"/>
  <c r="AJ134" i="118"/>
  <c r="AK134" i="118"/>
  <c r="AL134" i="118"/>
  <c r="D134" i="118"/>
  <c r="D137" i="118"/>
  <c r="D145" i="153"/>
  <c r="B42" i="124"/>
  <c r="D44" i="125"/>
  <c r="D42" i="125" s="1"/>
  <c r="G42" i="124" l="1"/>
  <c r="G40" i="124" s="1"/>
  <c r="C47" i="114"/>
  <c r="D61" i="125"/>
  <c r="A4" i="49" l="1"/>
  <c r="G413" i="124" l="1"/>
  <c r="M48" i="114"/>
  <c r="H35" i="124" l="1"/>
  <c r="I35" i="124"/>
  <c r="J35" i="124"/>
  <c r="D36" i="125"/>
  <c r="D18" i="118"/>
  <c r="AL18" i="118"/>
  <c r="AJ18" i="118"/>
  <c r="AH18" i="118"/>
  <c r="AF18" i="118"/>
  <c r="AD18" i="118"/>
  <c r="AB18" i="118"/>
  <c r="Z18" i="118"/>
  <c r="X18" i="118"/>
  <c r="V18" i="118"/>
  <c r="T18" i="118"/>
  <c r="R18" i="118"/>
  <c r="P18" i="118"/>
  <c r="N18" i="118"/>
  <c r="L18" i="118"/>
  <c r="J18" i="118"/>
  <c r="H18" i="118"/>
  <c r="F18" i="118"/>
  <c r="D149" i="153" l="1"/>
  <c r="E67" i="114"/>
  <c r="C68" i="114"/>
  <c r="T67" i="114"/>
  <c r="S67" i="114"/>
  <c r="R67" i="114"/>
  <c r="Q67" i="114"/>
  <c r="O67" i="114"/>
  <c r="N67" i="114"/>
  <c r="M67" i="114"/>
  <c r="L67" i="114"/>
  <c r="K67" i="114"/>
  <c r="J67" i="114"/>
  <c r="I67" i="114"/>
  <c r="H67" i="114"/>
  <c r="G67" i="114"/>
  <c r="F67" i="114"/>
  <c r="D67" i="114"/>
  <c r="I64" i="114"/>
  <c r="O64" i="114"/>
  <c r="T63" i="114"/>
  <c r="S63" i="114"/>
  <c r="S61" i="114" s="1"/>
  <c r="R63" i="114"/>
  <c r="R61" i="114" s="1"/>
  <c r="Q63" i="114"/>
  <c r="Q61" i="114" s="1"/>
  <c r="P63" i="114"/>
  <c r="P61" i="114" s="1"/>
  <c r="O63" i="114"/>
  <c r="O61" i="114" s="1"/>
  <c r="N63" i="114"/>
  <c r="M63" i="114"/>
  <c r="L63" i="114"/>
  <c r="L61" i="114" s="1"/>
  <c r="K63" i="114"/>
  <c r="K61" i="114" s="1"/>
  <c r="J63" i="114"/>
  <c r="J61" i="114" s="1"/>
  <c r="I63" i="114"/>
  <c r="I61" i="114" s="1"/>
  <c r="H63" i="114"/>
  <c r="H61" i="114" s="1"/>
  <c r="G63" i="114"/>
  <c r="G61" i="114" s="1"/>
  <c r="F63" i="114"/>
  <c r="F61" i="114" s="1"/>
  <c r="E63" i="114"/>
  <c r="E61" i="114" s="1"/>
  <c r="D63" i="114"/>
  <c r="D61" i="114" s="1"/>
  <c r="C62" i="114"/>
  <c r="N61" i="114"/>
  <c r="M61" i="114"/>
  <c r="S58" i="114"/>
  <c r="R58" i="114"/>
  <c r="Q58" i="114"/>
  <c r="O58" i="114"/>
  <c r="I58" i="114"/>
  <c r="H58" i="114"/>
  <c r="G58" i="114"/>
  <c r="D58" i="114"/>
  <c r="C59" i="114"/>
  <c r="T58" i="114"/>
  <c r="C53" i="114"/>
  <c r="C50" i="114"/>
  <c r="D144" i="153"/>
  <c r="D143" i="153"/>
  <c r="T45" i="114"/>
  <c r="T44" i="114" s="1"/>
  <c r="S45" i="114"/>
  <c r="S44" i="114" s="1"/>
  <c r="R45" i="114"/>
  <c r="Q45" i="114"/>
  <c r="Q44" i="114" s="1"/>
  <c r="P45" i="114"/>
  <c r="P44" i="114" s="1"/>
  <c r="O45" i="114"/>
  <c r="O44" i="114" s="1"/>
  <c r="N45" i="114"/>
  <c r="N44" i="114" s="1"/>
  <c r="M45" i="114"/>
  <c r="M44" i="114" s="1"/>
  <c r="L45" i="114"/>
  <c r="L44" i="114" s="1"/>
  <c r="K45" i="114"/>
  <c r="K44" i="114" s="1"/>
  <c r="J45" i="114"/>
  <c r="J44" i="114" s="1"/>
  <c r="I45" i="114"/>
  <c r="I44" i="114" s="1"/>
  <c r="H45" i="114"/>
  <c r="H44" i="114" s="1"/>
  <c r="G45" i="114"/>
  <c r="G44" i="114" s="1"/>
  <c r="F45" i="114"/>
  <c r="F44" i="114" s="1"/>
  <c r="E45" i="114"/>
  <c r="E44" i="114" s="1"/>
  <c r="D45" i="114"/>
  <c r="R48" i="114"/>
  <c r="K48" i="114"/>
  <c r="D48" i="114"/>
  <c r="U21" i="114"/>
  <c r="F16" i="114"/>
  <c r="C16" i="114" s="1"/>
  <c r="T10" i="114"/>
  <c r="S10" i="114"/>
  <c r="R10" i="114"/>
  <c r="Q10" i="114"/>
  <c r="P10" i="114"/>
  <c r="O10" i="114"/>
  <c r="N10" i="114"/>
  <c r="M10" i="114"/>
  <c r="L10" i="114"/>
  <c r="K10" i="114"/>
  <c r="J10" i="114"/>
  <c r="I10" i="114"/>
  <c r="H10" i="114"/>
  <c r="G10" i="114"/>
  <c r="F10" i="114"/>
  <c r="E10" i="114"/>
  <c r="D10" i="114"/>
  <c r="M168" i="118"/>
  <c r="L167" i="118"/>
  <c r="M167" i="118" s="1"/>
  <c r="L166" i="118"/>
  <c r="M166" i="118" s="1"/>
  <c r="M165" i="118" s="1"/>
  <c r="D152" i="118"/>
  <c r="D151" i="118"/>
  <c r="AL150" i="118"/>
  <c r="D150" i="118" s="1"/>
  <c r="AK150" i="118"/>
  <c r="AJ150" i="118"/>
  <c r="AI150" i="118"/>
  <c r="AH150" i="118"/>
  <c r="AG150" i="118"/>
  <c r="AF150" i="118"/>
  <c r="AE150" i="118"/>
  <c r="AD150" i="118"/>
  <c r="AC150" i="118"/>
  <c r="AB150" i="118"/>
  <c r="AA150" i="118"/>
  <c r="Z150" i="118"/>
  <c r="Y150" i="118"/>
  <c r="X150" i="118"/>
  <c r="W150" i="118"/>
  <c r="V150" i="118"/>
  <c r="U150" i="118"/>
  <c r="T150" i="118"/>
  <c r="S150" i="118"/>
  <c r="R150" i="118"/>
  <c r="Q150" i="118"/>
  <c r="P150" i="118"/>
  <c r="O150" i="118"/>
  <c r="N150" i="118"/>
  <c r="M150" i="118"/>
  <c r="L150" i="118"/>
  <c r="K150" i="118"/>
  <c r="J150" i="118"/>
  <c r="I150" i="118"/>
  <c r="H150" i="118"/>
  <c r="G150" i="118"/>
  <c r="F150" i="118"/>
  <c r="E150" i="118"/>
  <c r="D149" i="118"/>
  <c r="D148" i="118"/>
  <c r="AL147" i="118"/>
  <c r="AK147" i="118"/>
  <c r="AJ147" i="118"/>
  <c r="AI147" i="118"/>
  <c r="AH147" i="118"/>
  <c r="AG147" i="118"/>
  <c r="AF147" i="118"/>
  <c r="AE147" i="118"/>
  <c r="AD147" i="118"/>
  <c r="AC147" i="118"/>
  <c r="AB147" i="118"/>
  <c r="AA147" i="118"/>
  <c r="Z147" i="118"/>
  <c r="Y147" i="118"/>
  <c r="X147" i="118"/>
  <c r="W147" i="118"/>
  <c r="V147" i="118"/>
  <c r="U147" i="118"/>
  <c r="T147" i="118"/>
  <c r="S147" i="118"/>
  <c r="R147" i="118"/>
  <c r="Q147" i="118"/>
  <c r="P147" i="118"/>
  <c r="O147" i="118"/>
  <c r="N147" i="118"/>
  <c r="M147" i="118"/>
  <c r="L147" i="118"/>
  <c r="K147" i="118"/>
  <c r="J147" i="118"/>
  <c r="I147" i="118"/>
  <c r="H147" i="118"/>
  <c r="G147" i="118"/>
  <c r="F147" i="118"/>
  <c r="E147" i="118"/>
  <c r="D146" i="118"/>
  <c r="D145" i="118"/>
  <c r="AL144" i="118"/>
  <c r="AK144" i="118"/>
  <c r="AJ144" i="118"/>
  <c r="AI144" i="118"/>
  <c r="AH144" i="118"/>
  <c r="AG144" i="118"/>
  <c r="AF144" i="118"/>
  <c r="AE144" i="118"/>
  <c r="AD144" i="118"/>
  <c r="AC144" i="118"/>
  <c r="AB144" i="118"/>
  <c r="AA144" i="118"/>
  <c r="Z144" i="118"/>
  <c r="Y144" i="118"/>
  <c r="X144" i="118"/>
  <c r="W144" i="118"/>
  <c r="V144" i="118"/>
  <c r="U144" i="118"/>
  <c r="T144" i="118"/>
  <c r="S144" i="118"/>
  <c r="R144" i="118"/>
  <c r="Q144" i="118"/>
  <c r="P144" i="118"/>
  <c r="O144" i="118"/>
  <c r="N144" i="118"/>
  <c r="M144" i="118"/>
  <c r="L144" i="118"/>
  <c r="K144" i="118"/>
  <c r="J144" i="118"/>
  <c r="I144" i="118"/>
  <c r="H144" i="118"/>
  <c r="G144" i="118"/>
  <c r="F144" i="118"/>
  <c r="E144" i="118"/>
  <c r="D144" i="118"/>
  <c r="AJ143" i="118"/>
  <c r="AJ141" i="118" s="1"/>
  <c r="AH143" i="118"/>
  <c r="AH140" i="118" s="1"/>
  <c r="AD143" i="118"/>
  <c r="AD140" i="118" s="1"/>
  <c r="Z143" i="118"/>
  <c r="X143" i="118"/>
  <c r="T143" i="118"/>
  <c r="R143" i="118"/>
  <c r="R140" i="118" s="1"/>
  <c r="P143" i="118"/>
  <c r="P140" i="118" s="1"/>
  <c r="N143" i="118"/>
  <c r="L143" i="118"/>
  <c r="L141" i="118" s="1"/>
  <c r="F143" i="118"/>
  <c r="D142" i="118"/>
  <c r="AL141" i="118"/>
  <c r="AK141" i="118"/>
  <c r="AI141" i="118"/>
  <c r="AG141" i="118"/>
  <c r="AF141" i="118"/>
  <c r="AE141" i="118"/>
  <c r="AD141" i="118"/>
  <c r="AC141" i="118"/>
  <c r="AB141" i="118"/>
  <c r="AA141" i="118"/>
  <c r="Z141" i="118"/>
  <c r="Y141" i="118"/>
  <c r="X141" i="118"/>
  <c r="W141" i="118"/>
  <c r="V141" i="118"/>
  <c r="U141" i="118"/>
  <c r="T141" i="118"/>
  <c r="S141" i="118"/>
  <c r="Q141" i="118"/>
  <c r="P141" i="118"/>
  <c r="O141" i="118"/>
  <c r="N141" i="118"/>
  <c r="M141" i="118"/>
  <c r="K141" i="118"/>
  <c r="J141" i="118"/>
  <c r="I141" i="118"/>
  <c r="H141" i="118"/>
  <c r="G141" i="118"/>
  <c r="F141" i="118"/>
  <c r="E141" i="118"/>
  <c r="AL140" i="118"/>
  <c r="AK140" i="118"/>
  <c r="AI140" i="118"/>
  <c r="AG140" i="118"/>
  <c r="AF140" i="118"/>
  <c r="AE140" i="118"/>
  <c r="AC140" i="118"/>
  <c r="AB140" i="118"/>
  <c r="AA140" i="118"/>
  <c r="Z140" i="118"/>
  <c r="Y140" i="118"/>
  <c r="X140" i="118"/>
  <c r="W140" i="118"/>
  <c r="V140" i="118"/>
  <c r="U140" i="118"/>
  <c r="U138" i="118" s="1"/>
  <c r="T140" i="118"/>
  <c r="S140" i="118"/>
  <c r="Q140" i="118"/>
  <c r="O140" i="118"/>
  <c r="O138" i="118" s="1"/>
  <c r="N140" i="118"/>
  <c r="M140" i="118"/>
  <c r="K140" i="118"/>
  <c r="J140" i="118"/>
  <c r="I140" i="118"/>
  <c r="I138" i="118" s="1"/>
  <c r="H140" i="118"/>
  <c r="G140" i="118"/>
  <c r="F140" i="118"/>
  <c r="E140" i="118"/>
  <c r="AL139" i="118"/>
  <c r="AK139" i="118"/>
  <c r="AJ139" i="118"/>
  <c r="AI139" i="118"/>
  <c r="AH139" i="118"/>
  <c r="AH138" i="118" s="1"/>
  <c r="AG139" i="118"/>
  <c r="AF139" i="118"/>
  <c r="AF138" i="118" s="1"/>
  <c r="AE139" i="118"/>
  <c r="AE138" i="118" s="1"/>
  <c r="AD139" i="118"/>
  <c r="AC139" i="118"/>
  <c r="AC138" i="118" s="1"/>
  <c r="AB139" i="118"/>
  <c r="AB138" i="118" s="1"/>
  <c r="AA139" i="118"/>
  <c r="Z139" i="118"/>
  <c r="Z138" i="118" s="1"/>
  <c r="Y139" i="118"/>
  <c r="X139" i="118"/>
  <c r="W139" i="118"/>
  <c r="V139" i="118"/>
  <c r="V138" i="118" s="1"/>
  <c r="U139" i="118"/>
  <c r="T139" i="118"/>
  <c r="T138" i="118" s="1"/>
  <c r="S139" i="118"/>
  <c r="S138" i="118" s="1"/>
  <c r="R139" i="118"/>
  <c r="Q139" i="118"/>
  <c r="Q138" i="118" s="1"/>
  <c r="Q126" i="118" s="1"/>
  <c r="P139" i="118"/>
  <c r="P138" i="118" s="1"/>
  <c r="O139" i="118"/>
  <c r="N139" i="118"/>
  <c r="N138" i="118" s="1"/>
  <c r="M139" i="118"/>
  <c r="L139" i="118"/>
  <c r="K139" i="118"/>
  <c r="J139" i="118"/>
  <c r="J138" i="118" s="1"/>
  <c r="I139" i="118"/>
  <c r="H139" i="118"/>
  <c r="H138" i="118" s="1"/>
  <c r="G139" i="118"/>
  <c r="G138" i="118" s="1"/>
  <c r="F139" i="118"/>
  <c r="E139" i="118"/>
  <c r="AK138" i="118"/>
  <c r="AI138" i="118"/>
  <c r="Y138" i="118"/>
  <c r="X138" i="118"/>
  <c r="W138" i="118"/>
  <c r="M138" i="118"/>
  <c r="K138" i="118"/>
  <c r="F138" i="118"/>
  <c r="E138" i="118"/>
  <c r="D136" i="118"/>
  <c r="D135" i="118"/>
  <c r="AK127" i="118"/>
  <c r="AJ127" i="118"/>
  <c r="AE127" i="118"/>
  <c r="Z127" i="118"/>
  <c r="Y127" i="118"/>
  <c r="Y126" i="118" s="1"/>
  <c r="X127" i="118"/>
  <c r="X126" i="118" s="1"/>
  <c r="S127" i="118"/>
  <c r="M127" i="118"/>
  <c r="M126" i="118" s="1"/>
  <c r="L127" i="118"/>
  <c r="G127" i="118"/>
  <c r="C134" i="118"/>
  <c r="D133" i="118"/>
  <c r="D132" i="118"/>
  <c r="D131" i="118" s="1"/>
  <c r="AL131" i="118"/>
  <c r="AJ131" i="118"/>
  <c r="AH131" i="118"/>
  <c r="AF131" i="118"/>
  <c r="AD131" i="118"/>
  <c r="AB131" i="118"/>
  <c r="AB127" i="118" s="1"/>
  <c r="Z131" i="118"/>
  <c r="X131" i="118"/>
  <c r="V131" i="118"/>
  <c r="T131" i="118"/>
  <c r="R131" i="118"/>
  <c r="P131" i="118"/>
  <c r="N131" i="118"/>
  <c r="L131" i="118"/>
  <c r="J131" i="118"/>
  <c r="H131" i="118"/>
  <c r="F131" i="118"/>
  <c r="D130" i="118"/>
  <c r="D128" i="118" s="1"/>
  <c r="D127" i="118" s="1"/>
  <c r="D129" i="118"/>
  <c r="AL128" i="118"/>
  <c r="AL127" i="118" s="1"/>
  <c r="AJ128" i="118"/>
  <c r="AH128" i="118"/>
  <c r="AH127" i="118" s="1"/>
  <c r="AF128" i="118"/>
  <c r="AF127" i="118" s="1"/>
  <c r="AF126" i="118" s="1"/>
  <c r="AD128" i="118"/>
  <c r="AB128" i="118"/>
  <c r="Z128" i="118"/>
  <c r="X128" i="118"/>
  <c r="V128" i="118"/>
  <c r="T128" i="118"/>
  <c r="T127" i="118" s="1"/>
  <c r="T126" i="118" s="1"/>
  <c r="R128" i="118"/>
  <c r="P128" i="118"/>
  <c r="N128" i="118"/>
  <c r="N127" i="118" s="1"/>
  <c r="L128" i="118"/>
  <c r="J128" i="118"/>
  <c r="J127" i="118" s="1"/>
  <c r="H128" i="118"/>
  <c r="H127" i="118" s="1"/>
  <c r="H126" i="118" s="1"/>
  <c r="F128" i="118"/>
  <c r="AI127" i="118"/>
  <c r="AI126" i="118" s="1"/>
  <c r="AG127" i="118"/>
  <c r="AD127" i="118"/>
  <c r="AC127" i="118"/>
  <c r="AA127" i="118"/>
  <c r="W127" i="118"/>
  <c r="W126" i="118" s="1"/>
  <c r="V127" i="118"/>
  <c r="U127" i="118"/>
  <c r="R127" i="118"/>
  <c r="Q127" i="118"/>
  <c r="P127" i="118"/>
  <c r="O127" i="118"/>
  <c r="K127" i="118"/>
  <c r="K126" i="118" s="1"/>
  <c r="I127" i="118"/>
  <c r="F127" i="118"/>
  <c r="F126" i="118" s="1"/>
  <c r="E127" i="118"/>
  <c r="E126" i="118" s="1"/>
  <c r="AK125" i="118"/>
  <c r="AI125" i="118"/>
  <c r="AG125" i="118"/>
  <c r="AE125" i="118"/>
  <c r="AA125" i="118"/>
  <c r="Y125" i="118"/>
  <c r="W125" i="118"/>
  <c r="U125" i="118"/>
  <c r="S125" i="118"/>
  <c r="Q125" i="118"/>
  <c r="O125" i="118"/>
  <c r="M125" i="118"/>
  <c r="I125" i="118"/>
  <c r="G125" i="118"/>
  <c r="C124" i="118"/>
  <c r="E123" i="118"/>
  <c r="C123" i="118" s="1"/>
  <c r="C122" i="118"/>
  <c r="D120" i="118"/>
  <c r="C120" i="118"/>
  <c r="D119" i="118"/>
  <c r="D118" i="118"/>
  <c r="C118" i="118"/>
  <c r="D117" i="118"/>
  <c r="C117" i="118"/>
  <c r="D116" i="118"/>
  <c r="C116" i="118"/>
  <c r="AL115" i="118"/>
  <c r="AJ115" i="118"/>
  <c r="AJ113" i="118" s="1"/>
  <c r="AH115" i="118"/>
  <c r="AH113" i="118" s="1"/>
  <c r="AF115" i="118"/>
  <c r="AD115" i="118"/>
  <c r="AD113" i="118" s="1"/>
  <c r="AB115" i="118"/>
  <c r="AB113" i="118" s="1"/>
  <c r="Z115" i="118"/>
  <c r="Z113" i="118" s="1"/>
  <c r="X115" i="118"/>
  <c r="X113" i="118" s="1"/>
  <c r="V115" i="118"/>
  <c r="T115" i="118"/>
  <c r="R115" i="118"/>
  <c r="R113" i="118" s="1"/>
  <c r="P115" i="118"/>
  <c r="P113" i="118" s="1"/>
  <c r="N115" i="118"/>
  <c r="N113" i="118" s="1"/>
  <c r="L115" i="118"/>
  <c r="L113" i="118" s="1"/>
  <c r="J115" i="118"/>
  <c r="H115" i="118"/>
  <c r="F115" i="118"/>
  <c r="F113" i="118" s="1"/>
  <c r="C115" i="118"/>
  <c r="D114" i="118"/>
  <c r="C114" i="118"/>
  <c r="AK113" i="118"/>
  <c r="AI113" i="118"/>
  <c r="AG113" i="118"/>
  <c r="AF113" i="118"/>
  <c r="AE113" i="118"/>
  <c r="AC113" i="118"/>
  <c r="AA113" i="118"/>
  <c r="Y113" i="118"/>
  <c r="W113" i="118"/>
  <c r="V113" i="118"/>
  <c r="U113" i="118"/>
  <c r="T113" i="118"/>
  <c r="S113" i="118"/>
  <c r="Q113" i="118"/>
  <c r="O113" i="118"/>
  <c r="M113" i="118"/>
  <c r="K113" i="118"/>
  <c r="J113" i="118"/>
  <c r="I113" i="118"/>
  <c r="H113" i="118"/>
  <c r="G113" i="118"/>
  <c r="E113" i="118"/>
  <c r="C113" i="118" s="1"/>
  <c r="AL112" i="118"/>
  <c r="AJ112" i="118"/>
  <c r="AH112" i="118"/>
  <c r="AF112" i="118"/>
  <c r="AD112" i="118"/>
  <c r="D112" i="118" s="1"/>
  <c r="AB112" i="118"/>
  <c r="Z112" i="118"/>
  <c r="X112" i="118"/>
  <c r="V112" i="118"/>
  <c r="T112" i="118"/>
  <c r="R112" i="118"/>
  <c r="P112" i="118"/>
  <c r="N112" i="118"/>
  <c r="L112" i="118"/>
  <c r="J112" i="118"/>
  <c r="H112" i="118"/>
  <c r="F112" i="118"/>
  <c r="C112" i="118"/>
  <c r="AL111" i="118"/>
  <c r="D111" i="118" s="1"/>
  <c r="AJ111" i="118"/>
  <c r="AH111" i="118"/>
  <c r="AF111" i="118"/>
  <c r="AD111" i="118"/>
  <c r="AB111" i="118"/>
  <c r="Z111" i="118"/>
  <c r="X111" i="118"/>
  <c r="V111" i="118"/>
  <c r="T111" i="118"/>
  <c r="R111" i="118"/>
  <c r="P111" i="118"/>
  <c r="N111" i="118"/>
  <c r="L111" i="118"/>
  <c r="J111" i="118"/>
  <c r="H111" i="118"/>
  <c r="F111" i="118"/>
  <c r="C111" i="118"/>
  <c r="D110" i="118"/>
  <c r="C110" i="118"/>
  <c r="AL109" i="118"/>
  <c r="D109" i="118" s="1"/>
  <c r="AK109" i="118"/>
  <c r="AJ109" i="118"/>
  <c r="AI109" i="118"/>
  <c r="AH109" i="118"/>
  <c r="AG109" i="118"/>
  <c r="AF109" i="118"/>
  <c r="AE109" i="118"/>
  <c r="AD109" i="118"/>
  <c r="AC109" i="118"/>
  <c r="AB109" i="118"/>
  <c r="AA109" i="118"/>
  <c r="Z109" i="118"/>
  <c r="Y109" i="118"/>
  <c r="X109" i="118"/>
  <c r="W109" i="118"/>
  <c r="V109" i="118"/>
  <c r="U109" i="118"/>
  <c r="T109" i="118"/>
  <c r="S109" i="118"/>
  <c r="R109" i="118"/>
  <c r="Q109" i="118"/>
  <c r="O109" i="118"/>
  <c r="N109" i="118"/>
  <c r="M109" i="118"/>
  <c r="L109" i="118"/>
  <c r="K109" i="118"/>
  <c r="J109" i="118"/>
  <c r="I109" i="118"/>
  <c r="H109" i="118"/>
  <c r="G109" i="118"/>
  <c r="C109" i="118" s="1"/>
  <c r="F109" i="118"/>
  <c r="E109" i="118"/>
  <c r="D108" i="118"/>
  <c r="AL107" i="118"/>
  <c r="D107" i="118" s="1"/>
  <c r="AK107" i="118"/>
  <c r="AJ107" i="118"/>
  <c r="AI107" i="118"/>
  <c r="AH107" i="118"/>
  <c r="AG107" i="118"/>
  <c r="AF107" i="118"/>
  <c r="AE107" i="118"/>
  <c r="AD107" i="118"/>
  <c r="AC107" i="118"/>
  <c r="AB107" i="118"/>
  <c r="AA107" i="118"/>
  <c r="Z107" i="118"/>
  <c r="Y107" i="118"/>
  <c r="X107" i="118"/>
  <c r="W107" i="118"/>
  <c r="V107" i="118"/>
  <c r="U107" i="118"/>
  <c r="T107" i="118"/>
  <c r="S107" i="118"/>
  <c r="R107" i="118"/>
  <c r="Q107" i="118"/>
  <c r="P107" i="118"/>
  <c r="O107" i="118"/>
  <c r="N107" i="118"/>
  <c r="M107" i="118"/>
  <c r="L107" i="118"/>
  <c r="K107" i="118"/>
  <c r="J107" i="118"/>
  <c r="I107" i="118"/>
  <c r="H107" i="118"/>
  <c r="G107" i="118"/>
  <c r="C107" i="118" s="1"/>
  <c r="F107" i="118"/>
  <c r="E107" i="118"/>
  <c r="AL106" i="118"/>
  <c r="D106" i="118" s="1"/>
  <c r="AJ106" i="118"/>
  <c r="AH106" i="118"/>
  <c r="AF106" i="118"/>
  <c r="AD106" i="118"/>
  <c r="AB106" i="118"/>
  <c r="Z106" i="118"/>
  <c r="X106" i="118"/>
  <c r="V106" i="118"/>
  <c r="T106" i="118"/>
  <c r="R106" i="118"/>
  <c r="P106" i="118"/>
  <c r="N106" i="118"/>
  <c r="L106" i="118"/>
  <c r="J106" i="118"/>
  <c r="H106" i="118"/>
  <c r="F106" i="118"/>
  <c r="C106" i="118"/>
  <c r="AL105" i="118"/>
  <c r="AJ105" i="118"/>
  <c r="AH105" i="118"/>
  <c r="AF105" i="118"/>
  <c r="AD105" i="118"/>
  <c r="D105" i="118" s="1"/>
  <c r="AB105" i="118"/>
  <c r="Z105" i="118"/>
  <c r="X105" i="118"/>
  <c r="V105" i="118"/>
  <c r="T105" i="118"/>
  <c r="R105" i="118"/>
  <c r="P105" i="118"/>
  <c r="N105" i="118"/>
  <c r="L105" i="118"/>
  <c r="J105" i="118"/>
  <c r="H105" i="118"/>
  <c r="F105" i="118"/>
  <c r="C105" i="118"/>
  <c r="AL104" i="118"/>
  <c r="AJ104" i="118"/>
  <c r="AH104" i="118"/>
  <c r="AF104" i="118"/>
  <c r="AD104" i="118"/>
  <c r="AB104" i="118"/>
  <c r="Z104" i="118"/>
  <c r="X104" i="118"/>
  <c r="V104" i="118"/>
  <c r="T104" i="118"/>
  <c r="R104" i="118"/>
  <c r="P104" i="118"/>
  <c r="N104" i="118"/>
  <c r="L104" i="118"/>
  <c r="J104" i="118"/>
  <c r="H104" i="118"/>
  <c r="F104" i="118"/>
  <c r="C104" i="118"/>
  <c r="AL103" i="118"/>
  <c r="AJ103" i="118"/>
  <c r="AH103" i="118"/>
  <c r="AF103" i="118"/>
  <c r="AD103" i="118"/>
  <c r="AB103" i="118"/>
  <c r="Z103" i="118"/>
  <c r="X103" i="118"/>
  <c r="V103" i="118"/>
  <c r="T103" i="118"/>
  <c r="R103" i="118"/>
  <c r="P103" i="118"/>
  <c r="N103" i="118"/>
  <c r="L103" i="118"/>
  <c r="J103" i="118"/>
  <c r="H103" i="118"/>
  <c r="F103" i="118"/>
  <c r="C103" i="118"/>
  <c r="AL102" i="118"/>
  <c r="AJ102" i="118"/>
  <c r="D102" i="118" s="1"/>
  <c r="AH102" i="118"/>
  <c r="AF102" i="118"/>
  <c r="AD102" i="118"/>
  <c r="AB102" i="118"/>
  <c r="AB100" i="118" s="1"/>
  <c r="Z102" i="118"/>
  <c r="X102" i="118"/>
  <c r="V102" i="118"/>
  <c r="T102" i="118"/>
  <c r="R102" i="118"/>
  <c r="P102" i="118"/>
  <c r="P100" i="118" s="1"/>
  <c r="N102" i="118"/>
  <c r="L102" i="118"/>
  <c r="J102" i="118"/>
  <c r="H102" i="118"/>
  <c r="F102" i="118"/>
  <c r="C102" i="118"/>
  <c r="AL101" i="118"/>
  <c r="D101" i="118" s="1"/>
  <c r="AJ101" i="118"/>
  <c r="AJ100" i="118" s="1"/>
  <c r="AH101" i="118"/>
  <c r="AH100" i="118" s="1"/>
  <c r="AF101" i="118"/>
  <c r="AD101" i="118"/>
  <c r="AB101" i="118"/>
  <c r="Z101" i="118"/>
  <c r="X101" i="118"/>
  <c r="X100" i="118" s="1"/>
  <c r="V101" i="118"/>
  <c r="V100" i="118" s="1"/>
  <c r="T101" i="118"/>
  <c r="R101" i="118"/>
  <c r="R100" i="118" s="1"/>
  <c r="P101" i="118"/>
  <c r="N101" i="118"/>
  <c r="L101" i="118"/>
  <c r="L100" i="118" s="1"/>
  <c r="J101" i="118"/>
  <c r="J100" i="118" s="1"/>
  <c r="H101" i="118"/>
  <c r="F101" i="118"/>
  <c r="F100" i="118" s="1"/>
  <c r="C101" i="118"/>
  <c r="AL100" i="118"/>
  <c r="AK100" i="118"/>
  <c r="AI100" i="118"/>
  <c r="AG100" i="118"/>
  <c r="AF100" i="118"/>
  <c r="AE100" i="118"/>
  <c r="AC100" i="118"/>
  <c r="AA100" i="118"/>
  <c r="Z100" i="118"/>
  <c r="Y100" i="118"/>
  <c r="W100" i="118"/>
  <c r="U100" i="118"/>
  <c r="T100" i="118"/>
  <c r="S100" i="118"/>
  <c r="Q100" i="118"/>
  <c r="O100" i="118"/>
  <c r="N100" i="118"/>
  <c r="M100" i="118"/>
  <c r="K100" i="118"/>
  <c r="I100" i="118"/>
  <c r="H100" i="118"/>
  <c r="G100" i="118"/>
  <c r="E100" i="118"/>
  <c r="C100" i="118"/>
  <c r="AL99" i="118"/>
  <c r="D99" i="118" s="1"/>
  <c r="AJ99" i="118"/>
  <c r="AH99" i="118"/>
  <c r="AF99" i="118"/>
  <c r="AD99" i="118"/>
  <c r="AB99" i="118"/>
  <c r="Z99" i="118"/>
  <c r="X99" i="118"/>
  <c r="V99" i="118"/>
  <c r="T99" i="118"/>
  <c r="R99" i="118"/>
  <c r="P99" i="118"/>
  <c r="N99" i="118"/>
  <c r="J99" i="118"/>
  <c r="H99" i="118"/>
  <c r="F99" i="118"/>
  <c r="C99" i="118"/>
  <c r="AL98" i="118"/>
  <c r="AJ98" i="118"/>
  <c r="AJ96" i="118" s="1"/>
  <c r="AH98" i="118"/>
  <c r="AF98" i="118"/>
  <c r="AF96" i="118" s="1"/>
  <c r="AD98" i="118"/>
  <c r="AB98" i="118"/>
  <c r="Z98" i="118"/>
  <c r="X98" i="118"/>
  <c r="X96" i="118" s="1"/>
  <c r="V98" i="118"/>
  <c r="T98" i="118"/>
  <c r="T96" i="118" s="1"/>
  <c r="R98" i="118"/>
  <c r="P98" i="118"/>
  <c r="N98" i="118"/>
  <c r="L98" i="118"/>
  <c r="J98" i="118"/>
  <c r="H98" i="118"/>
  <c r="H96" i="118" s="1"/>
  <c r="F98" i="118"/>
  <c r="D98" i="118"/>
  <c r="C98" i="118"/>
  <c r="AL97" i="118"/>
  <c r="AL96" i="118" s="1"/>
  <c r="AJ97" i="118"/>
  <c r="AH97" i="118"/>
  <c r="AF97" i="118"/>
  <c r="AD97" i="118"/>
  <c r="AD96" i="118" s="1"/>
  <c r="AB97" i="118"/>
  <c r="Z97" i="118"/>
  <c r="Z96" i="118" s="1"/>
  <c r="X97" i="118"/>
  <c r="V97" i="118"/>
  <c r="T97" i="118"/>
  <c r="R97" i="118"/>
  <c r="R96" i="118" s="1"/>
  <c r="P97" i="118"/>
  <c r="N97" i="118"/>
  <c r="N96" i="118" s="1"/>
  <c r="L97" i="118"/>
  <c r="L96" i="118" s="1"/>
  <c r="J97" i="118"/>
  <c r="H97" i="118"/>
  <c r="F97" i="118"/>
  <c r="F96" i="118" s="1"/>
  <c r="C97" i="118"/>
  <c r="AK96" i="118"/>
  <c r="AI96" i="118"/>
  <c r="AH96" i="118"/>
  <c r="AG96" i="118"/>
  <c r="AE96" i="118"/>
  <c r="AC96" i="118"/>
  <c r="AB96" i="118"/>
  <c r="AA96" i="118"/>
  <c r="Y96" i="118"/>
  <c r="W96" i="118"/>
  <c r="V96" i="118"/>
  <c r="U96" i="118"/>
  <c r="S96" i="118"/>
  <c r="Q96" i="118"/>
  <c r="P96" i="118"/>
  <c r="O96" i="118"/>
  <c r="M96" i="118"/>
  <c r="K96" i="118"/>
  <c r="C96" i="118" s="1"/>
  <c r="J96" i="118"/>
  <c r="I96" i="118"/>
  <c r="G96" i="118"/>
  <c r="E96" i="118"/>
  <c r="AJ95" i="118"/>
  <c r="AH95" i="118"/>
  <c r="D95" i="118" s="1"/>
  <c r="AF95" i="118"/>
  <c r="AB95" i="118"/>
  <c r="AB91" i="118" s="1"/>
  <c r="X95" i="118"/>
  <c r="T95" i="118"/>
  <c r="R95" i="118"/>
  <c r="P95" i="118"/>
  <c r="N95" i="118"/>
  <c r="L95" i="118"/>
  <c r="H95" i="118"/>
  <c r="F95" i="118"/>
  <c r="F91" i="118" s="1"/>
  <c r="C95" i="118"/>
  <c r="AL94" i="118"/>
  <c r="AJ94" i="118"/>
  <c r="D94" i="118" s="1"/>
  <c r="AH94" i="118"/>
  <c r="AF94" i="118"/>
  <c r="AD94" i="118"/>
  <c r="X94" i="118"/>
  <c r="V94" i="118"/>
  <c r="R94" i="118"/>
  <c r="L94" i="118"/>
  <c r="J94" i="118"/>
  <c r="H94" i="118"/>
  <c r="C94" i="118"/>
  <c r="AH93" i="118"/>
  <c r="D93" i="118" s="1"/>
  <c r="AF93" i="118"/>
  <c r="AD93" i="118"/>
  <c r="AD91" i="118" s="1"/>
  <c r="AB93" i="118"/>
  <c r="X93" i="118"/>
  <c r="V93" i="118"/>
  <c r="R93" i="118"/>
  <c r="P93" i="118"/>
  <c r="J93" i="118"/>
  <c r="F93" i="118"/>
  <c r="C93" i="118"/>
  <c r="AJ92" i="118"/>
  <c r="D92" i="118" s="1"/>
  <c r="AH92" i="118"/>
  <c r="AH91" i="118" s="1"/>
  <c r="AF92" i="118"/>
  <c r="AD92" i="118"/>
  <c r="X92" i="118"/>
  <c r="X91" i="118" s="1"/>
  <c r="V92" i="118"/>
  <c r="R92" i="118"/>
  <c r="R91" i="118" s="1"/>
  <c r="R82" i="118" s="1"/>
  <c r="R81" i="118" s="1"/>
  <c r="P92" i="118"/>
  <c r="P91" i="118" s="1"/>
  <c r="L92" i="118"/>
  <c r="L91" i="118" s="1"/>
  <c r="J92" i="118"/>
  <c r="J91" i="118" s="1"/>
  <c r="H92" i="118"/>
  <c r="C92" i="118"/>
  <c r="AL91" i="118"/>
  <c r="AK91" i="118"/>
  <c r="AI91" i="118"/>
  <c r="AG91" i="118"/>
  <c r="AF91" i="118"/>
  <c r="AE91" i="118"/>
  <c r="AC91" i="118"/>
  <c r="AA91" i="118"/>
  <c r="Z91" i="118"/>
  <c r="Y91" i="118"/>
  <c r="W91" i="118"/>
  <c r="V91" i="118"/>
  <c r="U91" i="118"/>
  <c r="U82" i="118" s="1"/>
  <c r="U81" i="118" s="1"/>
  <c r="U71" i="118" s="1"/>
  <c r="T91" i="118"/>
  <c r="S91" i="118"/>
  <c r="Q91" i="118"/>
  <c r="O91" i="118"/>
  <c r="O82" i="118" s="1"/>
  <c r="O81" i="118" s="1"/>
  <c r="N91" i="118"/>
  <c r="M91" i="118"/>
  <c r="K91" i="118"/>
  <c r="I91" i="118"/>
  <c r="I82" i="118" s="1"/>
  <c r="I81" i="118" s="1"/>
  <c r="I71" i="118" s="1"/>
  <c r="H91" i="118"/>
  <c r="G91" i="118"/>
  <c r="E91" i="118"/>
  <c r="C91" i="118"/>
  <c r="AL90" i="118"/>
  <c r="AJ90" i="118"/>
  <c r="AH90" i="118"/>
  <c r="AF90" i="118"/>
  <c r="AD90" i="118"/>
  <c r="AB90" i="118"/>
  <c r="Z90" i="118"/>
  <c r="X90" i="118"/>
  <c r="V90" i="118"/>
  <c r="T90" i="118"/>
  <c r="R90" i="118"/>
  <c r="D90" i="118" s="1"/>
  <c r="P90" i="118"/>
  <c r="N90" i="118"/>
  <c r="L90" i="118"/>
  <c r="J90" i="118"/>
  <c r="H90" i="118"/>
  <c r="F90" i="118"/>
  <c r="C90" i="118"/>
  <c r="AK89" i="118"/>
  <c r="AL89" i="118" s="1"/>
  <c r="AI89" i="118"/>
  <c r="AI83" i="118" s="1"/>
  <c r="AI82" i="118" s="1"/>
  <c r="AI81" i="118" s="1"/>
  <c r="AH89" i="118"/>
  <c r="AG89" i="118"/>
  <c r="AG83" i="118" s="1"/>
  <c r="AG82" i="118" s="1"/>
  <c r="AG81" i="118" s="1"/>
  <c r="AG71" i="118" s="1"/>
  <c r="AE89" i="118"/>
  <c r="AF89" i="118" s="1"/>
  <c r="AC89" i="118"/>
  <c r="AD89" i="118" s="1"/>
  <c r="AB89" i="118"/>
  <c r="AA89" i="118"/>
  <c r="AA83" i="118" s="1"/>
  <c r="AA82" i="118" s="1"/>
  <c r="AA81" i="118" s="1"/>
  <c r="Z89" i="118"/>
  <c r="X89" i="118"/>
  <c r="W89" i="118"/>
  <c r="V89" i="118"/>
  <c r="T89" i="118"/>
  <c r="S89" i="118"/>
  <c r="R89" i="118"/>
  <c r="P89" i="118"/>
  <c r="O89" i="118"/>
  <c r="M89" i="118"/>
  <c r="N89" i="118" s="1"/>
  <c r="L89" i="118"/>
  <c r="K89" i="118"/>
  <c r="J89" i="118"/>
  <c r="I89" i="118"/>
  <c r="H89" i="118"/>
  <c r="G89" i="118"/>
  <c r="C89" i="118" s="1"/>
  <c r="F89" i="118"/>
  <c r="E89" i="118"/>
  <c r="AL88" i="118"/>
  <c r="D88" i="118" s="1"/>
  <c r="AJ88" i="118"/>
  <c r="AH88" i="118"/>
  <c r="AF88" i="118"/>
  <c r="AD88" i="118"/>
  <c r="AB88" i="118"/>
  <c r="Z88" i="118"/>
  <c r="X88" i="118"/>
  <c r="V88" i="118"/>
  <c r="T88" i="118"/>
  <c r="R88" i="118"/>
  <c r="P88" i="118"/>
  <c r="N88" i="118"/>
  <c r="L88" i="118"/>
  <c r="J88" i="118"/>
  <c r="H88" i="118"/>
  <c r="F88" i="118"/>
  <c r="C88" i="118"/>
  <c r="AL87" i="118"/>
  <c r="D87" i="118" s="1"/>
  <c r="AJ87" i="118"/>
  <c r="AH87" i="118"/>
  <c r="AF87" i="118"/>
  <c r="AD87" i="118"/>
  <c r="AB87" i="118"/>
  <c r="Z87" i="118"/>
  <c r="X87" i="118"/>
  <c r="V87" i="118"/>
  <c r="T87" i="118"/>
  <c r="R87" i="118"/>
  <c r="P87" i="118"/>
  <c r="N87" i="118"/>
  <c r="L87" i="118"/>
  <c r="J87" i="118"/>
  <c r="H87" i="118"/>
  <c r="F87" i="118"/>
  <c r="C87" i="118"/>
  <c r="AL86" i="118"/>
  <c r="AJ86" i="118"/>
  <c r="AH86" i="118"/>
  <c r="AF86" i="118"/>
  <c r="AD86" i="118"/>
  <c r="D86" i="118" s="1"/>
  <c r="AB86" i="118"/>
  <c r="Z86" i="118"/>
  <c r="X86" i="118"/>
  <c r="V86" i="118"/>
  <c r="T86" i="118"/>
  <c r="R86" i="118"/>
  <c r="P86" i="118"/>
  <c r="N86" i="118"/>
  <c r="L86" i="118"/>
  <c r="J86" i="118"/>
  <c r="H86" i="118"/>
  <c r="F86" i="118"/>
  <c r="C86" i="118"/>
  <c r="AL85" i="118"/>
  <c r="AJ85" i="118"/>
  <c r="AH85" i="118"/>
  <c r="AF85" i="118"/>
  <c r="AD85" i="118"/>
  <c r="D85" i="118" s="1"/>
  <c r="AB85" i="118"/>
  <c r="AB83" i="118" s="1"/>
  <c r="AB82" i="118" s="1"/>
  <c r="AB81" i="118" s="1"/>
  <c r="Z85" i="118"/>
  <c r="X85" i="118"/>
  <c r="V85" i="118"/>
  <c r="T85" i="118"/>
  <c r="R85" i="118"/>
  <c r="P85" i="118"/>
  <c r="P83" i="118" s="1"/>
  <c r="N85" i="118"/>
  <c r="L85" i="118"/>
  <c r="J85" i="118"/>
  <c r="H85" i="118"/>
  <c r="F85" i="118"/>
  <c r="F83" i="118" s="1"/>
  <c r="C85" i="118"/>
  <c r="AL84" i="118"/>
  <c r="AL83" i="118" s="1"/>
  <c r="AJ84" i="118"/>
  <c r="AH84" i="118"/>
  <c r="AH83" i="118" s="1"/>
  <c r="AF84" i="118"/>
  <c r="AD84" i="118"/>
  <c r="AB84" i="118"/>
  <c r="Z84" i="118"/>
  <c r="Z83" i="118" s="1"/>
  <c r="Z82" i="118" s="1"/>
  <c r="Z81" i="118" s="1"/>
  <c r="X84" i="118"/>
  <c r="V84" i="118"/>
  <c r="V83" i="118" s="1"/>
  <c r="V82" i="118" s="1"/>
  <c r="V81" i="118" s="1"/>
  <c r="T84" i="118"/>
  <c r="T83" i="118" s="1"/>
  <c r="R84" i="118"/>
  <c r="P84" i="118"/>
  <c r="N84" i="118"/>
  <c r="N83" i="118" s="1"/>
  <c r="N82" i="118" s="1"/>
  <c r="N81" i="118" s="1"/>
  <c r="L84" i="118"/>
  <c r="J84" i="118"/>
  <c r="J83" i="118" s="1"/>
  <c r="J82" i="118" s="1"/>
  <c r="J81" i="118" s="1"/>
  <c r="H84" i="118"/>
  <c r="H83" i="118" s="1"/>
  <c r="H82" i="118" s="1"/>
  <c r="H81" i="118" s="1"/>
  <c r="F84" i="118"/>
  <c r="C84" i="118"/>
  <c r="AK83" i="118"/>
  <c r="AE83" i="118"/>
  <c r="AC83" i="118"/>
  <c r="Y83" i="118"/>
  <c r="X83" i="118"/>
  <c r="W83" i="118"/>
  <c r="U83" i="118"/>
  <c r="S83" i="118"/>
  <c r="R83" i="118"/>
  <c r="Q83" i="118"/>
  <c r="O83" i="118"/>
  <c r="L83" i="118"/>
  <c r="K83" i="118"/>
  <c r="I83" i="118"/>
  <c r="G83" i="118"/>
  <c r="E83" i="118"/>
  <c r="AK82" i="118"/>
  <c r="AE82" i="118"/>
  <c r="AC82" i="118"/>
  <c r="Y82" i="118"/>
  <c r="W82" i="118"/>
  <c r="S82" i="118"/>
  <c r="Q82" i="118"/>
  <c r="K82" i="118"/>
  <c r="G82" i="118"/>
  <c r="E82" i="118"/>
  <c r="AK81" i="118"/>
  <c r="AE81" i="118"/>
  <c r="AE71" i="118" s="1"/>
  <c r="AC81" i="118"/>
  <c r="Y81" i="118"/>
  <c r="W81" i="118"/>
  <c r="S81" i="118"/>
  <c r="S71" i="118" s="1"/>
  <c r="Q81" i="118"/>
  <c r="K81" i="118"/>
  <c r="G81" i="118"/>
  <c r="G71" i="118" s="1"/>
  <c r="E81" i="118"/>
  <c r="AL80" i="118"/>
  <c r="AJ80" i="118"/>
  <c r="D80" i="118" s="1"/>
  <c r="AH80" i="118"/>
  <c r="AF80" i="118"/>
  <c r="AD80" i="118"/>
  <c r="AB80" i="118"/>
  <c r="Z80" i="118"/>
  <c r="X80" i="118"/>
  <c r="X74" i="118" s="1"/>
  <c r="X72" i="118" s="1"/>
  <c r="V80" i="118"/>
  <c r="T80" i="118"/>
  <c r="R80" i="118"/>
  <c r="P80" i="118"/>
  <c r="N80" i="118"/>
  <c r="L80" i="118"/>
  <c r="J80" i="118"/>
  <c r="H80" i="118"/>
  <c r="F80" i="118"/>
  <c r="C80" i="118"/>
  <c r="AL79" i="118"/>
  <c r="D79" i="118" s="1"/>
  <c r="AJ79" i="118"/>
  <c r="AH79" i="118"/>
  <c r="AF79" i="118"/>
  <c r="AD79" i="118"/>
  <c r="AB79" i="118"/>
  <c r="Z79" i="118"/>
  <c r="X79" i="118"/>
  <c r="V79" i="118"/>
  <c r="T79" i="118"/>
  <c r="R79" i="118"/>
  <c r="P79" i="118"/>
  <c r="N79" i="118"/>
  <c r="L79" i="118"/>
  <c r="J79" i="118"/>
  <c r="H79" i="118"/>
  <c r="F79" i="118"/>
  <c r="C79" i="118"/>
  <c r="AL78" i="118"/>
  <c r="AJ78" i="118"/>
  <c r="AH78" i="118"/>
  <c r="AF78" i="118"/>
  <c r="AD78" i="118"/>
  <c r="AB78" i="118"/>
  <c r="Z78" i="118"/>
  <c r="X78" i="118"/>
  <c r="V78" i="118"/>
  <c r="T78" i="118"/>
  <c r="R78" i="118"/>
  <c r="P78" i="118"/>
  <c r="N78" i="118"/>
  <c r="L78" i="118"/>
  <c r="J78" i="118"/>
  <c r="H78" i="118"/>
  <c r="F78" i="118"/>
  <c r="D78" i="118"/>
  <c r="C78" i="118"/>
  <c r="AL77" i="118"/>
  <c r="AJ77" i="118"/>
  <c r="AH77" i="118"/>
  <c r="AF77" i="118"/>
  <c r="AD77" i="118"/>
  <c r="AB77" i="118"/>
  <c r="Z77" i="118"/>
  <c r="X77" i="118"/>
  <c r="V77" i="118"/>
  <c r="T77" i="118"/>
  <c r="R77" i="118"/>
  <c r="D77" i="118" s="1"/>
  <c r="P77" i="118"/>
  <c r="N77" i="118"/>
  <c r="L77" i="118"/>
  <c r="J77" i="118"/>
  <c r="H77" i="118"/>
  <c r="F77" i="118"/>
  <c r="C77" i="118"/>
  <c r="AL76" i="118"/>
  <c r="AJ76" i="118"/>
  <c r="AH76" i="118"/>
  <c r="AF76" i="118"/>
  <c r="AD76" i="118"/>
  <c r="AB76" i="118"/>
  <c r="AB74" i="118" s="1"/>
  <c r="AB72" i="118" s="1"/>
  <c r="AB71" i="118" s="1"/>
  <c r="Z76" i="118"/>
  <c r="X76" i="118"/>
  <c r="V76" i="118"/>
  <c r="T76" i="118"/>
  <c r="R76" i="118"/>
  <c r="P76" i="118"/>
  <c r="N76" i="118"/>
  <c r="L76" i="118"/>
  <c r="J76" i="118"/>
  <c r="H76" i="118"/>
  <c r="F76" i="118"/>
  <c r="C76" i="118"/>
  <c r="AL75" i="118"/>
  <c r="D75" i="118" s="1"/>
  <c r="AJ75" i="118"/>
  <c r="AH75" i="118"/>
  <c r="AH74" i="118" s="1"/>
  <c r="AH72" i="118" s="1"/>
  <c r="AF75" i="118"/>
  <c r="AF74" i="118" s="1"/>
  <c r="AF72" i="118" s="1"/>
  <c r="AD75" i="118"/>
  <c r="AB75" i="118"/>
  <c r="Z75" i="118"/>
  <c r="Z74" i="118" s="1"/>
  <c r="Z72" i="118" s="1"/>
  <c r="X75" i="118"/>
  <c r="V75" i="118"/>
  <c r="V74" i="118" s="1"/>
  <c r="V72" i="118" s="1"/>
  <c r="T75" i="118"/>
  <c r="T74" i="118" s="1"/>
  <c r="T72" i="118" s="1"/>
  <c r="R75" i="118"/>
  <c r="P75" i="118"/>
  <c r="P74" i="118" s="1"/>
  <c r="P72" i="118" s="1"/>
  <c r="N75" i="118"/>
  <c r="N74" i="118" s="1"/>
  <c r="N72" i="118" s="1"/>
  <c r="L75" i="118"/>
  <c r="J75" i="118"/>
  <c r="J74" i="118" s="1"/>
  <c r="J72" i="118" s="1"/>
  <c r="H75" i="118"/>
  <c r="H74" i="118" s="1"/>
  <c r="H72" i="118" s="1"/>
  <c r="H71" i="118" s="1"/>
  <c r="F75" i="118"/>
  <c r="C75" i="118"/>
  <c r="AK74" i="118"/>
  <c r="AK72" i="118" s="1"/>
  <c r="AK71" i="118" s="1"/>
  <c r="AJ74" i="118"/>
  <c r="AJ72" i="118" s="1"/>
  <c r="AI74" i="118"/>
  <c r="AI72" i="118" s="1"/>
  <c r="AG74" i="118"/>
  <c r="AE74" i="118"/>
  <c r="AD74" i="118"/>
  <c r="AD72" i="118" s="1"/>
  <c r="AC74" i="118"/>
  <c r="AC72" i="118" s="1"/>
  <c r="AC71" i="118" s="1"/>
  <c r="AA74" i="118"/>
  <c r="Y74" i="118"/>
  <c r="Y72" i="118" s="1"/>
  <c r="Y71" i="118" s="1"/>
  <c r="W74" i="118"/>
  <c r="W72" i="118" s="1"/>
  <c r="W71" i="118" s="1"/>
  <c r="U74" i="118"/>
  <c r="S74" i="118"/>
  <c r="Q74" i="118"/>
  <c r="Q72" i="118" s="1"/>
  <c r="Q71" i="118" s="1"/>
  <c r="O74" i="118"/>
  <c r="M74" i="118"/>
  <c r="M72" i="118" s="1"/>
  <c r="L74" i="118"/>
  <c r="L72" i="118" s="1"/>
  <c r="K74" i="118"/>
  <c r="K72" i="118" s="1"/>
  <c r="K71" i="118" s="1"/>
  <c r="I74" i="118"/>
  <c r="G74" i="118"/>
  <c r="F74" i="118"/>
  <c r="F72" i="118" s="1"/>
  <c r="E74" i="118"/>
  <c r="E72" i="118" s="1"/>
  <c r="E71" i="118" s="1"/>
  <c r="D73" i="118"/>
  <c r="C73" i="118"/>
  <c r="AG72" i="118"/>
  <c r="AE72" i="118"/>
  <c r="AA72" i="118"/>
  <c r="AA71" i="118" s="1"/>
  <c r="U72" i="118"/>
  <c r="S72" i="118"/>
  <c r="O72" i="118"/>
  <c r="I72" i="118"/>
  <c r="G72" i="118"/>
  <c r="O71" i="118"/>
  <c r="AL70" i="118"/>
  <c r="AJ70" i="118"/>
  <c r="Z70" i="118"/>
  <c r="X70" i="118"/>
  <c r="T70" i="118"/>
  <c r="N70" i="118"/>
  <c r="L70" i="118"/>
  <c r="C70" i="118"/>
  <c r="AL69" i="118"/>
  <c r="AJ69" i="118"/>
  <c r="AH69" i="118"/>
  <c r="AF69" i="118"/>
  <c r="AD69" i="118"/>
  <c r="AB69" i="118"/>
  <c r="Z69" i="118"/>
  <c r="X69" i="118"/>
  <c r="V69" i="118"/>
  <c r="T69" i="118"/>
  <c r="R69" i="118"/>
  <c r="P69" i="118"/>
  <c r="N69" i="118"/>
  <c r="L69" i="118"/>
  <c r="J69" i="118"/>
  <c r="H69" i="118"/>
  <c r="F69" i="118"/>
  <c r="C69" i="118"/>
  <c r="AL68" i="118"/>
  <c r="AJ68" i="118"/>
  <c r="AH68" i="118"/>
  <c r="AF68" i="118"/>
  <c r="AD68" i="118"/>
  <c r="AB68" i="118"/>
  <c r="Z68" i="118"/>
  <c r="X68" i="118"/>
  <c r="V68" i="118"/>
  <c r="T68" i="118"/>
  <c r="R68" i="118"/>
  <c r="P68" i="118"/>
  <c r="N68" i="118"/>
  <c r="L68" i="118"/>
  <c r="J68" i="118"/>
  <c r="H68" i="118"/>
  <c r="F68" i="118"/>
  <c r="C68" i="118"/>
  <c r="AL67" i="118"/>
  <c r="AJ67" i="118"/>
  <c r="AH67" i="118"/>
  <c r="AF67" i="118"/>
  <c r="AF63" i="118" s="1"/>
  <c r="AD67" i="118"/>
  <c r="AB67" i="118"/>
  <c r="Z67" i="118"/>
  <c r="X67" i="118"/>
  <c r="V67" i="118"/>
  <c r="T67" i="118"/>
  <c r="T63" i="118" s="1"/>
  <c r="R67" i="118"/>
  <c r="P67" i="118"/>
  <c r="N67" i="118"/>
  <c r="L67" i="118"/>
  <c r="J67" i="118"/>
  <c r="H67" i="118"/>
  <c r="F67" i="118"/>
  <c r="C67" i="118"/>
  <c r="AL66" i="118"/>
  <c r="AJ66" i="118"/>
  <c r="AH66" i="118"/>
  <c r="AF66" i="118"/>
  <c r="AD66" i="118"/>
  <c r="AB66" i="118"/>
  <c r="Z66" i="118"/>
  <c r="X66" i="118"/>
  <c r="V66" i="118"/>
  <c r="T66" i="118"/>
  <c r="R66" i="118"/>
  <c r="P66" i="118"/>
  <c r="N66" i="118"/>
  <c r="L66" i="118"/>
  <c r="J66" i="118"/>
  <c r="H66" i="118"/>
  <c r="F66" i="118"/>
  <c r="C66" i="118"/>
  <c r="AL65" i="118"/>
  <c r="AJ65" i="118"/>
  <c r="AH65" i="118"/>
  <c r="AF65" i="118"/>
  <c r="AD65" i="118"/>
  <c r="AB65" i="118"/>
  <c r="Z65" i="118"/>
  <c r="X65" i="118"/>
  <c r="V65" i="118"/>
  <c r="T65" i="118"/>
  <c r="R65" i="118"/>
  <c r="P65" i="118"/>
  <c r="N65" i="118"/>
  <c r="L65" i="118"/>
  <c r="J65" i="118"/>
  <c r="H65" i="118"/>
  <c r="F65" i="118"/>
  <c r="C65" i="118"/>
  <c r="AL64" i="118"/>
  <c r="AJ64" i="118"/>
  <c r="AH64" i="118"/>
  <c r="AF64" i="118"/>
  <c r="AD64" i="118"/>
  <c r="AB64" i="118"/>
  <c r="Z64" i="118"/>
  <c r="X64" i="118"/>
  <c r="X63" i="118" s="1"/>
  <c r="V64" i="118"/>
  <c r="T64" i="118"/>
  <c r="R64" i="118"/>
  <c r="P64" i="118"/>
  <c r="N64" i="118"/>
  <c r="L64" i="118"/>
  <c r="J64" i="118"/>
  <c r="H64" i="118"/>
  <c r="F64" i="118"/>
  <c r="D64" i="118"/>
  <c r="C64" i="118"/>
  <c r="AK63" i="118"/>
  <c r="AI63" i="118"/>
  <c r="AG63" i="118"/>
  <c r="AE63" i="118"/>
  <c r="AF70" i="118" s="1"/>
  <c r="AC63" i="118"/>
  <c r="AD70" i="118" s="1"/>
  <c r="AA63" i="118"/>
  <c r="Z63" i="118"/>
  <c r="Y63" i="118"/>
  <c r="W63" i="118"/>
  <c r="U63" i="118"/>
  <c r="S63" i="118"/>
  <c r="Q63" i="118"/>
  <c r="R70" i="118" s="1"/>
  <c r="O63" i="118"/>
  <c r="O57" i="118" s="1"/>
  <c r="N63" i="118"/>
  <c r="M63" i="118"/>
  <c r="K63" i="118"/>
  <c r="I63" i="118"/>
  <c r="G63" i="118"/>
  <c r="H70" i="118" s="1"/>
  <c r="H63" i="118" s="1"/>
  <c r="E63" i="118"/>
  <c r="F70" i="118" s="1"/>
  <c r="AL62" i="118"/>
  <c r="AB62" i="118"/>
  <c r="Z62" i="118"/>
  <c r="P62" i="118"/>
  <c r="L62" i="118"/>
  <c r="C62" i="118"/>
  <c r="AL61" i="118"/>
  <c r="AJ61" i="118"/>
  <c r="AH61" i="118"/>
  <c r="AF61" i="118"/>
  <c r="AD61" i="118"/>
  <c r="AB61" i="118"/>
  <c r="Z61" i="118"/>
  <c r="X61" i="118"/>
  <c r="V61" i="118"/>
  <c r="T61" i="118"/>
  <c r="R61" i="118"/>
  <c r="D61" i="118" s="1"/>
  <c r="P61" i="118"/>
  <c r="N61" i="118"/>
  <c r="L61" i="118"/>
  <c r="J61" i="118"/>
  <c r="H61" i="118"/>
  <c r="F61" i="118"/>
  <c r="C61" i="118"/>
  <c r="AL60" i="118"/>
  <c r="AJ60" i="118"/>
  <c r="AH60" i="118"/>
  <c r="AF60" i="118"/>
  <c r="AD60" i="118"/>
  <c r="AD58" i="118" s="1"/>
  <c r="AB60" i="118"/>
  <c r="Z60" i="118"/>
  <c r="X60" i="118"/>
  <c r="V60" i="118"/>
  <c r="T60" i="118"/>
  <c r="R60" i="118"/>
  <c r="P60" i="118"/>
  <c r="N60" i="118"/>
  <c r="L60" i="118"/>
  <c r="J60" i="118"/>
  <c r="H60" i="118"/>
  <c r="F60" i="118"/>
  <c r="F58" i="118" s="1"/>
  <c r="C60" i="118"/>
  <c r="AL59" i="118"/>
  <c r="AJ59" i="118"/>
  <c r="AH59" i="118"/>
  <c r="AF59" i="118"/>
  <c r="AD59" i="118"/>
  <c r="AB59" i="118"/>
  <c r="Z59" i="118"/>
  <c r="X59" i="118"/>
  <c r="V59" i="118"/>
  <c r="V58" i="118" s="1"/>
  <c r="T59" i="118"/>
  <c r="T58" i="118" s="1"/>
  <c r="T57" i="118" s="1"/>
  <c r="R59" i="118"/>
  <c r="P59" i="118"/>
  <c r="N59" i="118"/>
  <c r="L59" i="118"/>
  <c r="J59" i="118"/>
  <c r="H59" i="118"/>
  <c r="H58" i="118" s="1"/>
  <c r="F59" i="118"/>
  <c r="C59" i="118"/>
  <c r="AK58" i="118"/>
  <c r="AJ58" i="118"/>
  <c r="AI58" i="118"/>
  <c r="AI57" i="118" s="1"/>
  <c r="AG58" i="118"/>
  <c r="AH62" i="118" s="1"/>
  <c r="AE58" i="118"/>
  <c r="AF62" i="118" s="1"/>
  <c r="AC58" i="118"/>
  <c r="AD62" i="118" s="1"/>
  <c r="AA58" i="118"/>
  <c r="Y58" i="118"/>
  <c r="W58" i="118"/>
  <c r="X62" i="118" s="1"/>
  <c r="U58" i="118"/>
  <c r="V62" i="118" s="1"/>
  <c r="S58" i="118"/>
  <c r="T62" i="118" s="1"/>
  <c r="Q58" i="118"/>
  <c r="R62" i="118" s="1"/>
  <c r="O58" i="118"/>
  <c r="M58" i="118"/>
  <c r="N62" i="118" s="1"/>
  <c r="L58" i="118"/>
  <c r="K58" i="118"/>
  <c r="I58" i="118"/>
  <c r="J62" i="118" s="1"/>
  <c r="G58" i="118"/>
  <c r="H62" i="118" s="1"/>
  <c r="E58" i="118"/>
  <c r="F62" i="118" s="1"/>
  <c r="AK57" i="118"/>
  <c r="AE57" i="118"/>
  <c r="AC57" i="118"/>
  <c r="Y57" i="118"/>
  <c r="W57" i="118"/>
  <c r="S57" i="118"/>
  <c r="M57" i="118"/>
  <c r="K57" i="118"/>
  <c r="G57" i="118"/>
  <c r="E57" i="118"/>
  <c r="D56" i="118"/>
  <c r="C56" i="118"/>
  <c r="D55" i="118"/>
  <c r="C55" i="118"/>
  <c r="AJ54" i="118"/>
  <c r="AH54" i="118"/>
  <c r="AF54" i="118"/>
  <c r="AB54" i="118"/>
  <c r="Z54" i="118"/>
  <c r="D54" i="118" s="1"/>
  <c r="X54" i="118"/>
  <c r="V54" i="118"/>
  <c r="T54" i="118"/>
  <c r="R54" i="118"/>
  <c r="P54" i="118"/>
  <c r="N54" i="118"/>
  <c r="L54" i="118"/>
  <c r="J54" i="118"/>
  <c r="H54" i="118"/>
  <c r="F54" i="118"/>
  <c r="C54" i="118"/>
  <c r="AL53" i="118"/>
  <c r="AJ53" i="118"/>
  <c r="AH53" i="118"/>
  <c r="AF53" i="118"/>
  <c r="AD53" i="118"/>
  <c r="AB53" i="118"/>
  <c r="Z53" i="118"/>
  <c r="X53" i="118"/>
  <c r="V53" i="118"/>
  <c r="T53" i="118"/>
  <c r="R53" i="118"/>
  <c r="P53" i="118"/>
  <c r="N53" i="118"/>
  <c r="L53" i="118"/>
  <c r="J53" i="118"/>
  <c r="H53" i="118"/>
  <c r="F53" i="118"/>
  <c r="D53" i="118"/>
  <c r="C53" i="118"/>
  <c r="D52" i="118"/>
  <c r="C52" i="118"/>
  <c r="AL51" i="118"/>
  <c r="AJ51" i="118"/>
  <c r="AH51" i="118"/>
  <c r="AF51" i="118"/>
  <c r="AD51" i="118"/>
  <c r="AB51" i="118"/>
  <c r="Z51" i="118"/>
  <c r="X51" i="118"/>
  <c r="V51" i="118"/>
  <c r="T51" i="118"/>
  <c r="R51" i="118"/>
  <c r="P51" i="118"/>
  <c r="N51" i="118"/>
  <c r="L51" i="118"/>
  <c r="J51" i="118"/>
  <c r="H51" i="118"/>
  <c r="F51" i="118"/>
  <c r="C51" i="118"/>
  <c r="AL50" i="118"/>
  <c r="AJ50" i="118"/>
  <c r="AH50" i="118"/>
  <c r="AF50" i="118"/>
  <c r="AD50" i="118"/>
  <c r="AB50" i="118"/>
  <c r="Z50" i="118"/>
  <c r="X50" i="118"/>
  <c r="V50" i="118"/>
  <c r="T50" i="118"/>
  <c r="R50" i="118"/>
  <c r="P50" i="118"/>
  <c r="N50" i="118"/>
  <c r="L50" i="118"/>
  <c r="J50" i="118"/>
  <c r="H50" i="118"/>
  <c r="F50" i="118"/>
  <c r="C50" i="118"/>
  <c r="AL49" i="118"/>
  <c r="AL47" i="118" s="1"/>
  <c r="AJ49" i="118"/>
  <c r="AH49" i="118"/>
  <c r="AF49" i="118"/>
  <c r="AD49" i="118"/>
  <c r="AB49" i="118"/>
  <c r="Z49" i="118"/>
  <c r="Z47" i="118" s="1"/>
  <c r="X49" i="118"/>
  <c r="V49" i="118"/>
  <c r="T49" i="118"/>
  <c r="R49" i="118"/>
  <c r="P49" i="118"/>
  <c r="P47" i="118" s="1"/>
  <c r="N49" i="118"/>
  <c r="N47" i="118" s="1"/>
  <c r="L49" i="118"/>
  <c r="J49" i="118"/>
  <c r="H49" i="118"/>
  <c r="F49" i="118"/>
  <c r="C49" i="118"/>
  <c r="AX48" i="118"/>
  <c r="AL48" i="118"/>
  <c r="AJ48" i="118"/>
  <c r="AH48" i="118"/>
  <c r="AF48" i="118"/>
  <c r="AF47" i="118" s="1"/>
  <c r="AD48" i="118"/>
  <c r="AD47" i="118" s="1"/>
  <c r="AB48" i="118"/>
  <c r="Z48" i="118"/>
  <c r="X48" i="118"/>
  <c r="V48" i="118"/>
  <c r="T48" i="118"/>
  <c r="T47" i="118" s="1"/>
  <c r="R48" i="118"/>
  <c r="R47" i="118" s="1"/>
  <c r="P48" i="118"/>
  <c r="N48" i="118"/>
  <c r="L48" i="118"/>
  <c r="J48" i="118"/>
  <c r="H48" i="118"/>
  <c r="H47" i="118" s="1"/>
  <c r="F48" i="118"/>
  <c r="F47" i="118" s="1"/>
  <c r="C48" i="118"/>
  <c r="AK47" i="118"/>
  <c r="AJ47" i="118"/>
  <c r="AI47" i="118"/>
  <c r="AH47" i="118"/>
  <c r="AG47" i="118"/>
  <c r="AE47" i="118"/>
  <c r="AC47" i="118"/>
  <c r="AB47" i="118"/>
  <c r="AA47" i="118"/>
  <c r="Y47" i="118"/>
  <c r="X47" i="118"/>
  <c r="W47" i="118"/>
  <c r="W8" i="118" s="1"/>
  <c r="W6" i="118" s="1"/>
  <c r="W5" i="118" s="1"/>
  <c r="W1" i="118" s="1"/>
  <c r="V47" i="118"/>
  <c r="U47" i="118"/>
  <c r="S47" i="118"/>
  <c r="Q47" i="118"/>
  <c r="O47" i="118"/>
  <c r="M47" i="118"/>
  <c r="L47" i="118"/>
  <c r="K47" i="118"/>
  <c r="J47" i="118"/>
  <c r="I47" i="118"/>
  <c r="G47" i="118"/>
  <c r="E47" i="118"/>
  <c r="AL46" i="118"/>
  <c r="AJ46" i="118"/>
  <c r="AH46" i="118"/>
  <c r="AF46" i="118"/>
  <c r="AF44" i="118" s="1"/>
  <c r="AD46" i="118"/>
  <c r="AD44" i="118" s="1"/>
  <c r="AB46" i="118"/>
  <c r="Z46" i="118"/>
  <c r="X46" i="118"/>
  <c r="V46" i="118"/>
  <c r="T46" i="118"/>
  <c r="R46" i="118"/>
  <c r="P46" i="118"/>
  <c r="N46" i="118"/>
  <c r="L46" i="118"/>
  <c r="J46" i="118"/>
  <c r="H46" i="118"/>
  <c r="H44" i="118" s="1"/>
  <c r="F46" i="118"/>
  <c r="F44" i="118" s="1"/>
  <c r="C46" i="118"/>
  <c r="AX45" i="118"/>
  <c r="AL45" i="118"/>
  <c r="AJ45" i="118"/>
  <c r="AJ44" i="118" s="1"/>
  <c r="AH45" i="118"/>
  <c r="AF45" i="118"/>
  <c r="AD45" i="118"/>
  <c r="AB45" i="118"/>
  <c r="Z45" i="118"/>
  <c r="X45" i="118"/>
  <c r="X44" i="118" s="1"/>
  <c r="V45" i="118"/>
  <c r="T45" i="118"/>
  <c r="R45" i="118"/>
  <c r="P45" i="118"/>
  <c r="N45" i="118"/>
  <c r="L45" i="118"/>
  <c r="L44" i="118" s="1"/>
  <c r="J45" i="118"/>
  <c r="H45" i="118"/>
  <c r="F45" i="118"/>
  <c r="C45" i="118"/>
  <c r="AK44" i="118"/>
  <c r="AI44" i="118"/>
  <c r="AG44" i="118"/>
  <c r="AE44" i="118"/>
  <c r="AC44" i="118"/>
  <c r="AB44" i="118"/>
  <c r="AA44" i="118"/>
  <c r="Z44" i="118"/>
  <c r="Y44" i="118"/>
  <c r="W44" i="118"/>
  <c r="U44" i="118"/>
  <c r="T44" i="118"/>
  <c r="S44" i="118"/>
  <c r="Q44" i="118"/>
  <c r="P44" i="118"/>
  <c r="O44" i="118"/>
  <c r="N44" i="118"/>
  <c r="M44" i="118"/>
  <c r="K44" i="118"/>
  <c r="I44" i="118"/>
  <c r="G44" i="118"/>
  <c r="C44" i="118" s="1"/>
  <c r="E44" i="118"/>
  <c r="AL43" i="118"/>
  <c r="AJ43" i="118"/>
  <c r="AH43" i="118"/>
  <c r="AF43" i="118"/>
  <c r="AD43" i="118"/>
  <c r="AB43" i="118"/>
  <c r="Z43" i="118"/>
  <c r="X43" i="118"/>
  <c r="V43" i="118"/>
  <c r="T43" i="118"/>
  <c r="R43" i="118"/>
  <c r="P43" i="118"/>
  <c r="N43" i="118"/>
  <c r="L43" i="118"/>
  <c r="J43" i="118"/>
  <c r="H43" i="118"/>
  <c r="F43" i="118"/>
  <c r="D43" i="118"/>
  <c r="C43" i="118"/>
  <c r="AL42" i="118"/>
  <c r="AJ42" i="118"/>
  <c r="AH42" i="118"/>
  <c r="AF42" i="118"/>
  <c r="AD42" i="118"/>
  <c r="AD38" i="118" s="1"/>
  <c r="AB42" i="118"/>
  <c r="Z42" i="118"/>
  <c r="X42" i="118"/>
  <c r="V42" i="118"/>
  <c r="T42" i="118"/>
  <c r="R42" i="118"/>
  <c r="P42" i="118"/>
  <c r="N42" i="118"/>
  <c r="L42" i="118"/>
  <c r="J42" i="118"/>
  <c r="H42" i="118"/>
  <c r="F42" i="118"/>
  <c r="C42" i="118"/>
  <c r="AL41" i="118"/>
  <c r="AL38" i="118" s="1"/>
  <c r="AJ41" i="118"/>
  <c r="AH41" i="118"/>
  <c r="AF41" i="118"/>
  <c r="AD41" i="118"/>
  <c r="AB41" i="118"/>
  <c r="Z41" i="118"/>
  <c r="X41" i="118"/>
  <c r="V41" i="118"/>
  <c r="T41" i="118"/>
  <c r="T38" i="118" s="1"/>
  <c r="R41" i="118"/>
  <c r="P41" i="118"/>
  <c r="N41" i="118"/>
  <c r="L41" i="118"/>
  <c r="J41" i="118"/>
  <c r="H41" i="118"/>
  <c r="F41" i="118"/>
  <c r="C41" i="118"/>
  <c r="AL40" i="118"/>
  <c r="AJ40" i="118"/>
  <c r="AH40" i="118"/>
  <c r="AF40" i="118"/>
  <c r="AD40" i="118"/>
  <c r="AB40" i="118"/>
  <c r="Z40" i="118"/>
  <c r="X40" i="118"/>
  <c r="V40" i="118"/>
  <c r="T40" i="118"/>
  <c r="R40" i="118"/>
  <c r="R38" i="118" s="1"/>
  <c r="P40" i="118"/>
  <c r="N40" i="118"/>
  <c r="L40" i="118"/>
  <c r="J40" i="118"/>
  <c r="H40" i="118"/>
  <c r="F40" i="118"/>
  <c r="C40" i="118"/>
  <c r="AL39" i="118"/>
  <c r="AJ39" i="118"/>
  <c r="AH39" i="118"/>
  <c r="AF39" i="118"/>
  <c r="AD39" i="118"/>
  <c r="AB39" i="118"/>
  <c r="Z39" i="118"/>
  <c r="X39" i="118"/>
  <c r="V39" i="118"/>
  <c r="T39" i="118"/>
  <c r="R39" i="118"/>
  <c r="P39" i="118"/>
  <c r="N39" i="118"/>
  <c r="L39" i="118"/>
  <c r="J39" i="118"/>
  <c r="J38" i="118" s="1"/>
  <c r="H39" i="118"/>
  <c r="H38" i="118" s="1"/>
  <c r="F39" i="118"/>
  <c r="C39" i="118"/>
  <c r="AK38" i="118"/>
  <c r="AK20" i="118" s="1"/>
  <c r="AJ38" i="118"/>
  <c r="AI38" i="118"/>
  <c r="AG38" i="118"/>
  <c r="AE38" i="118"/>
  <c r="AE20" i="118" s="1"/>
  <c r="AC38" i="118"/>
  <c r="AA38" i="118"/>
  <c r="Z38" i="118"/>
  <c r="Y38" i="118"/>
  <c r="Y20" i="118" s="1"/>
  <c r="X38" i="118"/>
  <c r="W38" i="118"/>
  <c r="U38" i="118"/>
  <c r="S38" i="118"/>
  <c r="S20" i="118" s="1"/>
  <c r="Q38" i="118"/>
  <c r="O38" i="118"/>
  <c r="N38" i="118"/>
  <c r="M38" i="118"/>
  <c r="M20" i="118" s="1"/>
  <c r="L38" i="118"/>
  <c r="K38" i="118"/>
  <c r="I38" i="118"/>
  <c r="G38" i="118"/>
  <c r="G20" i="118" s="1"/>
  <c r="E38" i="118"/>
  <c r="AL37" i="118"/>
  <c r="AJ37" i="118"/>
  <c r="AH37" i="118"/>
  <c r="AH34" i="118" s="1"/>
  <c r="AF37" i="118"/>
  <c r="AD37" i="118"/>
  <c r="AB37" i="118"/>
  <c r="Z37" i="118"/>
  <c r="X37" i="118"/>
  <c r="V37" i="118"/>
  <c r="T37" i="118"/>
  <c r="R37" i="118"/>
  <c r="P37" i="118"/>
  <c r="N37" i="118"/>
  <c r="L37" i="118"/>
  <c r="J37" i="118"/>
  <c r="H37" i="118"/>
  <c r="F37" i="118"/>
  <c r="C37" i="118"/>
  <c r="AL36" i="118"/>
  <c r="AJ36" i="118"/>
  <c r="AJ34" i="118" s="1"/>
  <c r="AH36" i="118"/>
  <c r="AF36" i="118"/>
  <c r="AD36" i="118"/>
  <c r="AB36" i="118"/>
  <c r="Z36" i="118"/>
  <c r="X36" i="118"/>
  <c r="V36" i="118"/>
  <c r="T36" i="118"/>
  <c r="T34" i="118" s="1"/>
  <c r="R36" i="118"/>
  <c r="P36" i="118"/>
  <c r="P34" i="118" s="1"/>
  <c r="N36" i="118"/>
  <c r="L36" i="118"/>
  <c r="L34" i="118" s="1"/>
  <c r="J36" i="118"/>
  <c r="H36" i="118"/>
  <c r="F36" i="118"/>
  <c r="C36" i="118"/>
  <c r="AL35" i="118"/>
  <c r="AL34" i="118" s="1"/>
  <c r="AJ35" i="118"/>
  <c r="AH35" i="118"/>
  <c r="AF35" i="118"/>
  <c r="AD35" i="118"/>
  <c r="AD34" i="118" s="1"/>
  <c r="AB35" i="118"/>
  <c r="Z35" i="118"/>
  <c r="Z34" i="118" s="1"/>
  <c r="X35" i="118"/>
  <c r="V35" i="118"/>
  <c r="T35" i="118"/>
  <c r="R35" i="118"/>
  <c r="R34" i="118" s="1"/>
  <c r="P35" i="118"/>
  <c r="N35" i="118"/>
  <c r="N34" i="118" s="1"/>
  <c r="L35" i="118"/>
  <c r="J35" i="118"/>
  <c r="H35" i="118"/>
  <c r="F35" i="118"/>
  <c r="F34" i="118" s="1"/>
  <c r="C35" i="118"/>
  <c r="AK34" i="118"/>
  <c r="AI34" i="118"/>
  <c r="AG34" i="118"/>
  <c r="AF34" i="118"/>
  <c r="AE34" i="118"/>
  <c r="AC34" i="118"/>
  <c r="AB34" i="118"/>
  <c r="AA34" i="118"/>
  <c r="Y34" i="118"/>
  <c r="W34" i="118"/>
  <c r="V34" i="118"/>
  <c r="U34" i="118"/>
  <c r="S34" i="118"/>
  <c r="Q34" i="118"/>
  <c r="O34" i="118"/>
  <c r="M34" i="118"/>
  <c r="K34" i="118"/>
  <c r="J34" i="118"/>
  <c r="I34" i="118"/>
  <c r="H34" i="118"/>
  <c r="G34" i="118"/>
  <c r="E34" i="118"/>
  <c r="AL33" i="118"/>
  <c r="AJ33" i="118"/>
  <c r="AH33" i="118"/>
  <c r="AF33" i="118"/>
  <c r="AD33" i="118"/>
  <c r="AB33" i="118"/>
  <c r="D33" i="118" s="1"/>
  <c r="Z33" i="118"/>
  <c r="X33" i="118"/>
  <c r="V33" i="118"/>
  <c r="T33" i="118"/>
  <c r="R33" i="118"/>
  <c r="P33" i="118"/>
  <c r="N33" i="118"/>
  <c r="L33" i="118"/>
  <c r="J33" i="118"/>
  <c r="H33" i="118"/>
  <c r="F33" i="118"/>
  <c r="C33" i="118"/>
  <c r="AL32" i="118"/>
  <c r="AJ32" i="118"/>
  <c r="AH32" i="118"/>
  <c r="AF32" i="118"/>
  <c r="AD32" i="118"/>
  <c r="AB32" i="118"/>
  <c r="Z32" i="118"/>
  <c r="X32" i="118"/>
  <c r="V32" i="118"/>
  <c r="T32" i="118"/>
  <c r="R32" i="118"/>
  <c r="P32" i="118"/>
  <c r="N32" i="118"/>
  <c r="L32" i="118"/>
  <c r="J32" i="118"/>
  <c r="H32" i="118"/>
  <c r="F32" i="118"/>
  <c r="C32" i="118"/>
  <c r="AL31" i="118"/>
  <c r="AJ31" i="118"/>
  <c r="AH31" i="118"/>
  <c r="AF31" i="118"/>
  <c r="AD31" i="118"/>
  <c r="AB31" i="118"/>
  <c r="Z31" i="118"/>
  <c r="X31" i="118"/>
  <c r="V31" i="118"/>
  <c r="V21" i="118" s="1"/>
  <c r="T31" i="118"/>
  <c r="R31" i="118"/>
  <c r="P31" i="118"/>
  <c r="N31" i="118"/>
  <c r="L31" i="118"/>
  <c r="J31" i="118"/>
  <c r="H31" i="118"/>
  <c r="F31" i="118"/>
  <c r="C31" i="118"/>
  <c r="AL30" i="118"/>
  <c r="AJ30" i="118"/>
  <c r="AH30" i="118"/>
  <c r="AF30" i="118"/>
  <c r="AD30" i="118"/>
  <c r="AB30" i="118"/>
  <c r="Z30" i="118"/>
  <c r="X30" i="118"/>
  <c r="V30" i="118"/>
  <c r="T30" i="118"/>
  <c r="R30" i="118"/>
  <c r="P30" i="118"/>
  <c r="N30" i="118"/>
  <c r="L30" i="118"/>
  <c r="J30" i="118"/>
  <c r="J21" i="118" s="1"/>
  <c r="J20" i="118" s="1"/>
  <c r="H30" i="118"/>
  <c r="F30" i="118"/>
  <c r="C30" i="118"/>
  <c r="AL29" i="118"/>
  <c r="D29" i="118" s="1"/>
  <c r="AJ29" i="118"/>
  <c r="AH29" i="118"/>
  <c r="AF29" i="118"/>
  <c r="AD29" i="118"/>
  <c r="AB29" i="118"/>
  <c r="Z29" i="118"/>
  <c r="X29" i="118"/>
  <c r="V29" i="118"/>
  <c r="T29" i="118"/>
  <c r="R29" i="118"/>
  <c r="P29" i="118"/>
  <c r="N29" i="118"/>
  <c r="L29" i="118"/>
  <c r="J29" i="118"/>
  <c r="H29" i="118"/>
  <c r="F29" i="118"/>
  <c r="C29" i="118"/>
  <c r="AL28" i="118"/>
  <c r="AJ28" i="118"/>
  <c r="AH28" i="118"/>
  <c r="AF28" i="118"/>
  <c r="AD28" i="118"/>
  <c r="AB28" i="118"/>
  <c r="D28" i="118" s="1"/>
  <c r="Z28" i="118"/>
  <c r="X28" i="118"/>
  <c r="V28" i="118"/>
  <c r="T28" i="118"/>
  <c r="R28" i="118"/>
  <c r="P28" i="118"/>
  <c r="N28" i="118"/>
  <c r="L28" i="118"/>
  <c r="J28" i="118"/>
  <c r="H28" i="118"/>
  <c r="F28" i="118"/>
  <c r="C28" i="118"/>
  <c r="AL27" i="118"/>
  <c r="AJ27" i="118"/>
  <c r="AH27" i="118"/>
  <c r="AF27" i="118"/>
  <c r="D27" i="118" s="1"/>
  <c r="AD27" i="118"/>
  <c r="AB27" i="118"/>
  <c r="Z27" i="118"/>
  <c r="X27" i="118"/>
  <c r="V27" i="118"/>
  <c r="T27" i="118"/>
  <c r="R27" i="118"/>
  <c r="P27" i="118"/>
  <c r="N27" i="118"/>
  <c r="L27" i="118"/>
  <c r="J27" i="118"/>
  <c r="H27" i="118"/>
  <c r="F27" i="118"/>
  <c r="C27" i="118"/>
  <c r="AL26" i="118"/>
  <c r="AJ26" i="118"/>
  <c r="AH26" i="118"/>
  <c r="AF26" i="118"/>
  <c r="AD26" i="118"/>
  <c r="AB26" i="118"/>
  <c r="Z26" i="118"/>
  <c r="X26" i="118"/>
  <c r="V26" i="118"/>
  <c r="T26" i="118"/>
  <c r="R26" i="118"/>
  <c r="P26" i="118"/>
  <c r="N26" i="118"/>
  <c r="L26" i="118"/>
  <c r="J26" i="118"/>
  <c r="H26" i="118"/>
  <c r="F26" i="118"/>
  <c r="C26" i="118"/>
  <c r="AL25" i="118"/>
  <c r="AJ25" i="118"/>
  <c r="D25" i="118" s="1"/>
  <c r="AH25" i="118"/>
  <c r="AF25" i="118"/>
  <c r="AF21" i="118" s="1"/>
  <c r="AD25" i="118"/>
  <c r="AB25" i="118"/>
  <c r="Z25" i="118"/>
  <c r="X25" i="118"/>
  <c r="V25" i="118"/>
  <c r="T25" i="118"/>
  <c r="R25" i="118"/>
  <c r="P25" i="118"/>
  <c r="N25" i="118"/>
  <c r="L25" i="118"/>
  <c r="J25" i="118"/>
  <c r="H25" i="118"/>
  <c r="H21" i="118" s="1"/>
  <c r="F25" i="118"/>
  <c r="C25" i="118"/>
  <c r="AL24" i="118"/>
  <c r="AJ24" i="118"/>
  <c r="AH24" i="118"/>
  <c r="AH21" i="118" s="1"/>
  <c r="AF24" i="118"/>
  <c r="AD24" i="118"/>
  <c r="AB24" i="118"/>
  <c r="Z24" i="118"/>
  <c r="X24" i="118"/>
  <c r="V24" i="118"/>
  <c r="T24" i="118"/>
  <c r="R24" i="118"/>
  <c r="P24" i="118"/>
  <c r="N24" i="118"/>
  <c r="L24" i="118"/>
  <c r="J24" i="118"/>
  <c r="H24" i="118"/>
  <c r="F24" i="118"/>
  <c r="C24" i="118"/>
  <c r="AL23" i="118"/>
  <c r="AJ23" i="118"/>
  <c r="AJ21" i="118" s="1"/>
  <c r="AH23" i="118"/>
  <c r="AF23" i="118"/>
  <c r="AD23" i="118"/>
  <c r="AB23" i="118"/>
  <c r="Z23" i="118"/>
  <c r="X23" i="118"/>
  <c r="V23" i="118"/>
  <c r="T23" i="118"/>
  <c r="R23" i="118"/>
  <c r="P23" i="118"/>
  <c r="N23" i="118"/>
  <c r="L23" i="118"/>
  <c r="L21" i="118" s="1"/>
  <c r="L20" i="118" s="1"/>
  <c r="J23" i="118"/>
  <c r="H23" i="118"/>
  <c r="F23" i="118"/>
  <c r="C23" i="118"/>
  <c r="AL22" i="118"/>
  <c r="AL21" i="118" s="1"/>
  <c r="AJ22" i="118"/>
  <c r="AH22" i="118"/>
  <c r="AF22" i="118"/>
  <c r="AD22" i="118"/>
  <c r="AB22" i="118"/>
  <c r="AB21" i="118" s="1"/>
  <c r="Z22" i="118"/>
  <c r="Z21" i="118" s="1"/>
  <c r="Z20" i="118" s="1"/>
  <c r="X22" i="118"/>
  <c r="V22" i="118"/>
  <c r="T22" i="118"/>
  <c r="R22" i="118"/>
  <c r="P22" i="118"/>
  <c r="P21" i="118" s="1"/>
  <c r="N22" i="118"/>
  <c r="N21" i="118" s="1"/>
  <c r="L22" i="118"/>
  <c r="J22" i="118"/>
  <c r="H22" i="118"/>
  <c r="F22" i="118"/>
  <c r="C22" i="118"/>
  <c r="C21" i="118" s="1"/>
  <c r="AK21" i="118"/>
  <c r="AI21" i="118"/>
  <c r="AI20" i="118" s="1"/>
  <c r="AI8" i="118" s="1"/>
  <c r="AG21" i="118"/>
  <c r="AG20" i="118" s="1"/>
  <c r="AE21" i="118"/>
  <c r="AC21" i="118"/>
  <c r="AA21" i="118"/>
  <c r="Y21" i="118"/>
  <c r="W21" i="118"/>
  <c r="U21" i="118"/>
  <c r="U20" i="118" s="1"/>
  <c r="S21" i="118"/>
  <c r="Q21" i="118"/>
  <c r="Q20" i="118" s="1"/>
  <c r="O21" i="118"/>
  <c r="M21" i="118"/>
  <c r="K21" i="118"/>
  <c r="K20" i="118" s="1"/>
  <c r="I21" i="118"/>
  <c r="I20" i="118" s="1"/>
  <c r="G21" i="118"/>
  <c r="E21" i="118"/>
  <c r="AC20" i="118"/>
  <c r="AC8" i="118" s="1"/>
  <c r="AA20" i="118"/>
  <c r="W20" i="118"/>
  <c r="O20" i="118"/>
  <c r="E20" i="118"/>
  <c r="D19" i="118"/>
  <c r="AI17" i="118"/>
  <c r="AD17" i="118"/>
  <c r="AC17" i="118"/>
  <c r="W17" i="118"/>
  <c r="Q17" i="118"/>
  <c r="K17" i="118"/>
  <c r="F17" i="118"/>
  <c r="AK16" i="118"/>
  <c r="AK17" i="118" s="1"/>
  <c r="AI16" i="118"/>
  <c r="AG16" i="118"/>
  <c r="AE16" i="118"/>
  <c r="AE17" i="118" s="1"/>
  <c r="AC16" i="118"/>
  <c r="AA16" i="118"/>
  <c r="Y16" i="118"/>
  <c r="Y17" i="118" s="1"/>
  <c r="W16" i="118"/>
  <c r="U16" i="118"/>
  <c r="S16" i="118"/>
  <c r="S17" i="118" s="1"/>
  <c r="Q16" i="118"/>
  <c r="P16" i="118"/>
  <c r="P17" i="118" s="1"/>
  <c r="O16" i="118"/>
  <c r="O17" i="118" s="1"/>
  <c r="M16" i="118"/>
  <c r="M17" i="118" s="1"/>
  <c r="K16" i="118"/>
  <c r="I16" i="118"/>
  <c r="C16" i="118" s="1"/>
  <c r="C9" i="118" s="1"/>
  <c r="G16" i="118"/>
  <c r="G17" i="118" s="1"/>
  <c r="AJ15" i="118"/>
  <c r="AJ16" i="118" s="1"/>
  <c r="AB15" i="118"/>
  <c r="AB16" i="118" s="1"/>
  <c r="X15" i="118"/>
  <c r="X16" i="118" s="1"/>
  <c r="P15" i="118"/>
  <c r="N15" i="118"/>
  <c r="L15" i="118"/>
  <c r="L16" i="118" s="1"/>
  <c r="L17" i="118" s="1"/>
  <c r="C15" i="118"/>
  <c r="D14" i="118"/>
  <c r="D13" i="118"/>
  <c r="AL12" i="118"/>
  <c r="AJ12" i="118"/>
  <c r="AH12" i="118"/>
  <c r="AF12" i="118"/>
  <c r="AD12" i="118"/>
  <c r="AD10" i="118" s="1"/>
  <c r="AD9" i="118" s="1"/>
  <c r="AB12" i="118"/>
  <c r="Z12" i="118"/>
  <c r="X12" i="118"/>
  <c r="V12" i="118"/>
  <c r="T12" i="118"/>
  <c r="R12" i="118"/>
  <c r="P12" i="118"/>
  <c r="N12" i="118"/>
  <c r="L12" i="118"/>
  <c r="J12" i="118"/>
  <c r="H12" i="118"/>
  <c r="F12" i="118"/>
  <c r="C12" i="118"/>
  <c r="AL11" i="118"/>
  <c r="AJ11" i="118"/>
  <c r="AH11" i="118"/>
  <c r="AF11" i="118"/>
  <c r="AF10" i="118" s="1"/>
  <c r="AD11" i="118"/>
  <c r="AB11" i="118"/>
  <c r="Z11" i="118"/>
  <c r="X11" i="118"/>
  <c r="V11" i="118"/>
  <c r="V10" i="118" s="1"/>
  <c r="T11" i="118"/>
  <c r="R11" i="118"/>
  <c r="P11" i="118"/>
  <c r="P10" i="118" s="1"/>
  <c r="N11" i="118"/>
  <c r="L11" i="118"/>
  <c r="L10" i="118" s="1"/>
  <c r="L9" i="118" s="1"/>
  <c r="L8" i="118" s="1"/>
  <c r="J11" i="118"/>
  <c r="H11" i="118"/>
  <c r="F11" i="118"/>
  <c r="C11" i="118"/>
  <c r="AL10" i="118"/>
  <c r="AK10" i="118"/>
  <c r="AL15" i="118" s="1"/>
  <c r="AJ10" i="118"/>
  <c r="AJ9" i="118" s="1"/>
  <c r="AI10" i="118"/>
  <c r="AG10" i="118"/>
  <c r="AH15" i="118" s="1"/>
  <c r="AE10" i="118"/>
  <c r="AF15" i="118" s="1"/>
  <c r="AF16" i="118" s="1"/>
  <c r="AC10" i="118"/>
  <c r="AD15" i="118" s="1"/>
  <c r="AD16" i="118" s="1"/>
  <c r="AB10" i="118"/>
  <c r="AA10" i="118"/>
  <c r="Z10" i="118"/>
  <c r="Y10" i="118"/>
  <c r="Z15" i="118" s="1"/>
  <c r="X10" i="118"/>
  <c r="X9" i="118" s="1"/>
  <c r="W10" i="118"/>
  <c r="U10" i="118"/>
  <c r="V15" i="118" s="1"/>
  <c r="V16" i="118" s="1"/>
  <c r="T10" i="118"/>
  <c r="S10" i="118"/>
  <c r="T15" i="118" s="1"/>
  <c r="T16" i="118" s="1"/>
  <c r="R10" i="118"/>
  <c r="R9" i="118" s="1"/>
  <c r="Q10" i="118"/>
  <c r="R15" i="118" s="1"/>
  <c r="R16" i="118" s="1"/>
  <c r="O10" i="118"/>
  <c r="N10" i="118"/>
  <c r="M10" i="118"/>
  <c r="M9" i="118" s="1"/>
  <c r="M8" i="118" s="1"/>
  <c r="K10" i="118"/>
  <c r="I10" i="118"/>
  <c r="J15" i="118" s="1"/>
  <c r="H10" i="118"/>
  <c r="G10" i="118"/>
  <c r="H15" i="118" s="1"/>
  <c r="F10" i="118"/>
  <c r="F9" i="118" s="1"/>
  <c r="E10" i="118"/>
  <c r="F15" i="118" s="1"/>
  <c r="F16" i="118" s="1"/>
  <c r="C10" i="118"/>
  <c r="AK9" i="118"/>
  <c r="AK8" i="118" s="1"/>
  <c r="AK6" i="118" s="1"/>
  <c r="AI9" i="118"/>
  <c r="AC9" i="118"/>
  <c r="Y9" i="118"/>
  <c r="Y8" i="118" s="1"/>
  <c r="Y6" i="118" s="1"/>
  <c r="Y5" i="118" s="1"/>
  <c r="Y1" i="118" s="1"/>
  <c r="W9" i="118"/>
  <c r="S9" i="118"/>
  <c r="Q9" i="118"/>
  <c r="O9" i="118"/>
  <c r="K9" i="118"/>
  <c r="K8" i="118" s="1"/>
  <c r="G9" i="118"/>
  <c r="G8" i="118" s="1"/>
  <c r="G6" i="118" s="1"/>
  <c r="E9" i="118"/>
  <c r="E8" i="118" s="1"/>
  <c r="E6" i="118" s="1"/>
  <c r="S8" i="118"/>
  <c r="S6" i="118" s="1"/>
  <c r="D7" i="118"/>
  <c r="F2" i="118"/>
  <c r="R44" i="114" l="1"/>
  <c r="D44" i="114"/>
  <c r="R126" i="118"/>
  <c r="R138" i="118"/>
  <c r="AA138" i="118"/>
  <c r="AD138" i="118"/>
  <c r="AC126" i="118"/>
  <c r="D147" i="118"/>
  <c r="AD126" i="118"/>
  <c r="D139" i="118"/>
  <c r="AK126" i="118"/>
  <c r="AK5" i="118" s="1"/>
  <c r="AK1" i="118" s="1"/>
  <c r="AG138" i="118"/>
  <c r="AG126" i="118" s="1"/>
  <c r="C69" i="114"/>
  <c r="C67" i="114"/>
  <c r="T55" i="114"/>
  <c r="R64" i="114"/>
  <c r="G64" i="114"/>
  <c r="S64" i="114"/>
  <c r="N64" i="114"/>
  <c r="J64" i="114"/>
  <c r="L55" i="114"/>
  <c r="K64" i="114"/>
  <c r="N55" i="114"/>
  <c r="V126" i="118"/>
  <c r="AA126" i="118"/>
  <c r="E5" i="118"/>
  <c r="O126" i="118"/>
  <c r="P126" i="118"/>
  <c r="U126" i="118"/>
  <c r="I126" i="118"/>
  <c r="D60" i="118"/>
  <c r="AL20" i="118"/>
  <c r="AF38" i="118"/>
  <c r="D41" i="118"/>
  <c r="AH38" i="118"/>
  <c r="AH20" i="118" s="1"/>
  <c r="AD100" i="118"/>
  <c r="C58" i="118"/>
  <c r="R58" i="118"/>
  <c r="C74" i="118"/>
  <c r="C72" i="118" s="1"/>
  <c r="C71" i="118" s="1"/>
  <c r="AJ20" i="118"/>
  <c r="AJ8" i="118" s="1"/>
  <c r="C34" i="118"/>
  <c r="C20" i="118" s="1"/>
  <c r="C8" i="118" s="1"/>
  <c r="F38" i="118"/>
  <c r="C83" i="118"/>
  <c r="D103" i="118"/>
  <c r="X58" i="118"/>
  <c r="X57" i="118" s="1"/>
  <c r="D104" i="118"/>
  <c r="D42" i="118"/>
  <c r="M55" i="114"/>
  <c r="E55" i="114"/>
  <c r="F55" i="114"/>
  <c r="D64" i="114"/>
  <c r="L58" i="114"/>
  <c r="Q55" i="114"/>
  <c r="Q8" i="118"/>
  <c r="O8" i="118"/>
  <c r="O6" i="118" s="1"/>
  <c r="H64" i="114"/>
  <c r="F14" i="48"/>
  <c r="E64" i="114"/>
  <c r="Q64" i="114"/>
  <c r="F64" i="114"/>
  <c r="P67" i="114"/>
  <c r="E58" i="114"/>
  <c r="P64" i="114"/>
  <c r="M64" i="114"/>
  <c r="F58" i="114"/>
  <c r="C49" i="114"/>
  <c r="C48" i="114" s="1"/>
  <c r="M58" i="114"/>
  <c r="T64" i="114"/>
  <c r="D115" i="118"/>
  <c r="C10" i="114"/>
  <c r="O55" i="114"/>
  <c r="P58" i="114"/>
  <c r="L64" i="114"/>
  <c r="C66" i="114"/>
  <c r="D142" i="153"/>
  <c r="D141" i="153" s="1"/>
  <c r="T61" i="114"/>
  <c r="J58" i="114"/>
  <c r="K58" i="114"/>
  <c r="C60" i="114"/>
  <c r="C58" i="114" s="1"/>
  <c r="C63" i="114"/>
  <c r="C61" i="114" s="1"/>
  <c r="C65" i="114"/>
  <c r="G55" i="114"/>
  <c r="C46" i="114"/>
  <c r="C45" i="114" s="1"/>
  <c r="C52" i="114"/>
  <c r="C51" i="114" s="1"/>
  <c r="H55" i="114"/>
  <c r="N58" i="114"/>
  <c r="K121" i="118"/>
  <c r="K6" i="118"/>
  <c r="K5" i="118" s="1"/>
  <c r="K1" i="118" s="1"/>
  <c r="AF9" i="118"/>
  <c r="Q6" i="118"/>
  <c r="Q5" i="118" s="1"/>
  <c r="Q1" i="118" s="1"/>
  <c r="N9" i="118"/>
  <c r="N8" i="118" s="1"/>
  <c r="D15" i="118"/>
  <c r="AB63" i="118"/>
  <c r="P63" i="118"/>
  <c r="AH17" i="118"/>
  <c r="L57" i="118"/>
  <c r="L121" i="118" s="1"/>
  <c r="AC121" i="118"/>
  <c r="AC125" i="118" s="1"/>
  <c r="AC6" i="118"/>
  <c r="AC5" i="118" s="1"/>
  <c r="AC1" i="118" s="1"/>
  <c r="AJ57" i="118"/>
  <c r="T9" i="118"/>
  <c r="AD8" i="118"/>
  <c r="E1" i="118"/>
  <c r="D62" i="118"/>
  <c r="AL16" i="118"/>
  <c r="AL17" i="118" s="1"/>
  <c r="D47" i="118"/>
  <c r="R57" i="118"/>
  <c r="AI6" i="118"/>
  <c r="AI5" i="118" s="1"/>
  <c r="AI1" i="118" s="1"/>
  <c r="H9" i="118"/>
  <c r="H8" i="118" s="1"/>
  <c r="Z16" i="118"/>
  <c r="Z17" i="118" s="1"/>
  <c r="Z9" i="118"/>
  <c r="Z8" i="118" s="1"/>
  <c r="AF20" i="118"/>
  <c r="D32" i="118"/>
  <c r="C47" i="118"/>
  <c r="P58" i="118"/>
  <c r="P57" i="118" s="1"/>
  <c r="V70" i="118"/>
  <c r="U57" i="118"/>
  <c r="H17" i="118"/>
  <c r="AJ17" i="118"/>
  <c r="J44" i="118"/>
  <c r="AH44" i="118"/>
  <c r="D49" i="118"/>
  <c r="AB58" i="118"/>
  <c r="R63" i="118"/>
  <c r="D68" i="118"/>
  <c r="N71" i="118"/>
  <c r="N126" i="118"/>
  <c r="AL126" i="118"/>
  <c r="AB9" i="118"/>
  <c r="AL82" i="118"/>
  <c r="AL81" i="118" s="1"/>
  <c r="V9" i="118"/>
  <c r="D45" i="118"/>
  <c r="D39" i="118"/>
  <c r="V57" i="118"/>
  <c r="D96" i="118"/>
  <c r="D100" i="118"/>
  <c r="AE9" i="118"/>
  <c r="AE8" i="118" s="1"/>
  <c r="AE6" i="118" s="1"/>
  <c r="AE5" i="118" s="1"/>
  <c r="AE1" i="118" s="1"/>
  <c r="AG9" i="118"/>
  <c r="AG8" i="118" s="1"/>
  <c r="AG6" i="118" s="1"/>
  <c r="AG17" i="118"/>
  <c r="R17" i="118"/>
  <c r="F21" i="118"/>
  <c r="AD21" i="118"/>
  <c r="AD20" i="118" s="1"/>
  <c r="I57" i="118"/>
  <c r="C57" i="118" s="1"/>
  <c r="J70" i="118"/>
  <c r="J63" i="118" s="1"/>
  <c r="AA57" i="118"/>
  <c r="AB70" i="118"/>
  <c r="L63" i="118"/>
  <c r="AJ63" i="118"/>
  <c r="D66" i="118"/>
  <c r="L71" i="118"/>
  <c r="D76" i="118"/>
  <c r="D74" i="118" s="1"/>
  <c r="D72" i="118" s="1"/>
  <c r="F82" i="118"/>
  <c r="F81" i="118" s="1"/>
  <c r="AB126" i="118"/>
  <c r="G126" i="118"/>
  <c r="G5" i="118" s="1"/>
  <c r="S126" i="118"/>
  <c r="S5" i="118" s="1"/>
  <c r="S1" i="118" s="1"/>
  <c r="AE126" i="118"/>
  <c r="D22" i="118"/>
  <c r="P70" i="118"/>
  <c r="L82" i="118"/>
  <c r="L81" i="118" s="1"/>
  <c r="AH16" i="118"/>
  <c r="V17" i="118"/>
  <c r="D31" i="118"/>
  <c r="D37" i="118"/>
  <c r="P38" i="118"/>
  <c r="P20" i="118" s="1"/>
  <c r="R44" i="118"/>
  <c r="D48" i="118"/>
  <c r="D51" i="118"/>
  <c r="Z58" i="118"/>
  <c r="Z57" i="118" s="1"/>
  <c r="AL63" i="118"/>
  <c r="AI71" i="118"/>
  <c r="V71" i="118"/>
  <c r="T82" i="118"/>
  <c r="T81" i="118" s="1"/>
  <c r="T71" i="118" s="1"/>
  <c r="D11" i="118"/>
  <c r="U9" i="118"/>
  <c r="U8" i="118" s="1"/>
  <c r="U17" i="118"/>
  <c r="T21" i="118"/>
  <c r="T20" i="118" s="1"/>
  <c r="D36" i="118"/>
  <c r="C38" i="118"/>
  <c r="H16" i="118"/>
  <c r="X17" i="118"/>
  <c r="D26" i="118"/>
  <c r="V44" i="118"/>
  <c r="Q57" i="118"/>
  <c r="F63" i="118"/>
  <c r="F57" i="118" s="1"/>
  <c r="AD63" i="118"/>
  <c r="AD57" i="118" s="1"/>
  <c r="D69" i="118"/>
  <c r="Z71" i="118"/>
  <c r="X82" i="118"/>
  <c r="X81" i="118" s="1"/>
  <c r="X71" i="118" s="1"/>
  <c r="AH10" i="118"/>
  <c r="AH9" i="118" s="1"/>
  <c r="AB17" i="118"/>
  <c r="N20" i="118"/>
  <c r="X21" i="118"/>
  <c r="D40" i="118"/>
  <c r="AM90" i="118"/>
  <c r="D141" i="118"/>
  <c r="J10" i="118"/>
  <c r="J9" i="118" s="1"/>
  <c r="J8" i="118" s="1"/>
  <c r="I9" i="118"/>
  <c r="I8" i="118" s="1"/>
  <c r="I17" i="118"/>
  <c r="V38" i="118"/>
  <c r="V20" i="118" s="1"/>
  <c r="H57" i="118"/>
  <c r="AF58" i="118"/>
  <c r="AF57" i="118" s="1"/>
  <c r="AG57" i="118"/>
  <c r="AH70" i="118"/>
  <c r="J16" i="118"/>
  <c r="J17" i="118" s="1"/>
  <c r="D24" i="118"/>
  <c r="X34" i="118"/>
  <c r="AL44" i="118"/>
  <c r="J58" i="118"/>
  <c r="AH58" i="118"/>
  <c r="AH63" i="118"/>
  <c r="V63" i="118"/>
  <c r="P82" i="118"/>
  <c r="P81" i="118" s="1"/>
  <c r="P71" i="118" s="1"/>
  <c r="C82" i="118"/>
  <c r="C81" i="118" s="1"/>
  <c r="AF17" i="118"/>
  <c r="D46" i="118"/>
  <c r="N17" i="118"/>
  <c r="R21" i="118"/>
  <c r="R20" i="118" s="1"/>
  <c r="R8" i="118" s="1"/>
  <c r="D23" i="118"/>
  <c r="T17" i="118"/>
  <c r="P9" i="118"/>
  <c r="AA9" i="118"/>
  <c r="AA8" i="118" s="1"/>
  <c r="AA17" i="118"/>
  <c r="D35" i="118"/>
  <c r="N58" i="118"/>
  <c r="N57" i="118" s="1"/>
  <c r="AL58" i="118"/>
  <c r="C63" i="118"/>
  <c r="D65" i="118"/>
  <c r="D67" i="118"/>
  <c r="J71" i="118"/>
  <c r="AH71" i="118"/>
  <c r="AF83" i="118"/>
  <c r="AF82" i="118" s="1"/>
  <c r="AF81" i="118" s="1"/>
  <c r="AF71" i="118" s="1"/>
  <c r="J126" i="118"/>
  <c r="AH126" i="118"/>
  <c r="Z126" i="118"/>
  <c r="D12" i="118"/>
  <c r="N16" i="118"/>
  <c r="H20" i="118"/>
  <c r="D30" i="118"/>
  <c r="AB38" i="118"/>
  <c r="D50" i="118"/>
  <c r="F71" i="118"/>
  <c r="AH82" i="118"/>
  <c r="AH81" i="118" s="1"/>
  <c r="D59" i="118"/>
  <c r="D84" i="118"/>
  <c r="AJ91" i="118"/>
  <c r="D91" i="118" s="1"/>
  <c r="AL113" i="118"/>
  <c r="D113" i="118" s="1"/>
  <c r="L140" i="118"/>
  <c r="L138" i="118" s="1"/>
  <c r="L126" i="118" s="1"/>
  <c r="AJ140" i="118"/>
  <c r="AJ138" i="118" s="1"/>
  <c r="AJ126" i="118" s="1"/>
  <c r="AD83" i="118"/>
  <c r="AD82" i="118" s="1"/>
  <c r="AD81" i="118" s="1"/>
  <c r="AD71" i="118" s="1"/>
  <c r="D143" i="118"/>
  <c r="AL74" i="118"/>
  <c r="AL72" i="118" s="1"/>
  <c r="AL71" i="118" s="1"/>
  <c r="AJ89" i="118"/>
  <c r="AJ83" i="118" s="1"/>
  <c r="AJ82" i="118" s="1"/>
  <c r="AJ81" i="118" s="1"/>
  <c r="AJ71" i="118" s="1"/>
  <c r="E125" i="118"/>
  <c r="AL138" i="118"/>
  <c r="R141" i="118"/>
  <c r="R74" i="118"/>
  <c r="R72" i="118" s="1"/>
  <c r="R71" i="118" s="1"/>
  <c r="D97" i="118"/>
  <c r="M83" i="118"/>
  <c r="M82" i="118" s="1"/>
  <c r="M81" i="118" s="1"/>
  <c r="M71" i="118" s="1"/>
  <c r="M6" i="118" s="1"/>
  <c r="M5" i="118" s="1"/>
  <c r="M1" i="118" s="1"/>
  <c r="AH141" i="118"/>
  <c r="C44" i="114" l="1"/>
  <c r="AG5" i="118"/>
  <c r="AG1" i="118" s="1"/>
  <c r="N43" i="114"/>
  <c r="N13" i="114" s="1"/>
  <c r="Q43" i="114"/>
  <c r="Q13" i="114" s="1"/>
  <c r="E43" i="114"/>
  <c r="E13" i="114" s="1"/>
  <c r="I55" i="114"/>
  <c r="I43" i="114" s="1"/>
  <c r="I13" i="114" s="1"/>
  <c r="R55" i="114"/>
  <c r="R43" i="114" s="1"/>
  <c r="R13" i="114" s="1"/>
  <c r="M43" i="114"/>
  <c r="M13" i="114" s="1"/>
  <c r="G43" i="114"/>
  <c r="G13" i="114" s="1"/>
  <c r="J55" i="114"/>
  <c r="J43" i="114" s="1"/>
  <c r="J13" i="114" s="1"/>
  <c r="O5" i="118"/>
  <c r="O1" i="118" s="1"/>
  <c r="AJ121" i="118"/>
  <c r="D38" i="118"/>
  <c r="AH8" i="118"/>
  <c r="F20" i="118"/>
  <c r="F8" i="118" s="1"/>
  <c r="AF8" i="118"/>
  <c r="P55" i="114"/>
  <c r="P43" i="114" s="1"/>
  <c r="P13" i="114" s="1"/>
  <c r="L43" i="114"/>
  <c r="L13" i="114" s="1"/>
  <c r="O43" i="114"/>
  <c r="O13" i="114" s="1"/>
  <c r="S55" i="114"/>
  <c r="S43" i="114" s="1"/>
  <c r="S13" i="114" s="1"/>
  <c r="H43" i="114"/>
  <c r="H13" i="114" s="1"/>
  <c r="F43" i="114"/>
  <c r="F13" i="114" s="1"/>
  <c r="C64" i="114"/>
  <c r="T43" i="114"/>
  <c r="T13" i="114" s="1"/>
  <c r="K55" i="114"/>
  <c r="K43" i="114" s="1"/>
  <c r="K13" i="114" s="1"/>
  <c r="D55" i="114"/>
  <c r="D43" i="114" s="1"/>
  <c r="D13" i="114" s="1"/>
  <c r="C57" i="114"/>
  <c r="C56" i="114"/>
  <c r="R121" i="118"/>
  <c r="AJ122" i="118"/>
  <c r="G1" i="118"/>
  <c r="L122" i="118"/>
  <c r="F121" i="118"/>
  <c r="D17" i="118"/>
  <c r="AB20" i="118"/>
  <c r="AB8" i="118" s="1"/>
  <c r="D44" i="118"/>
  <c r="AL57" i="118"/>
  <c r="D58" i="118"/>
  <c r="D70" i="118"/>
  <c r="AB57" i="118"/>
  <c r="D81" i="118"/>
  <c r="D71" i="118" s="1"/>
  <c r="Z121" i="118"/>
  <c r="K125" i="118"/>
  <c r="C121" i="118"/>
  <c r="AA6" i="118"/>
  <c r="AA5" i="118" s="1"/>
  <c r="AA1" i="118" s="1"/>
  <c r="D63" i="118"/>
  <c r="D21" i="118"/>
  <c r="J57" i="118"/>
  <c r="J121" i="118" s="1"/>
  <c r="C6" i="118"/>
  <c r="V8" i="118"/>
  <c r="D16" i="118"/>
  <c r="D140" i="118"/>
  <c r="D138" i="118" s="1"/>
  <c r="D126" i="118" s="1"/>
  <c r="AL9" i="118"/>
  <c r="AL8" i="118" s="1"/>
  <c r="AF121" i="118"/>
  <c r="D10" i="118"/>
  <c r="D83" i="118"/>
  <c r="D82" i="118" s="1"/>
  <c r="D34" i="118"/>
  <c r="X20" i="118"/>
  <c r="X8" i="118" s="1"/>
  <c r="P8" i="118"/>
  <c r="H121" i="118"/>
  <c r="N121" i="118"/>
  <c r="AH57" i="118"/>
  <c r="I6" i="118"/>
  <c r="I5" i="118" s="1"/>
  <c r="I1" i="118" s="1"/>
  <c r="U6" i="118"/>
  <c r="U5" i="118" s="1"/>
  <c r="U1" i="118" s="1"/>
  <c r="D89" i="118"/>
  <c r="C125" i="118"/>
  <c r="AD121" i="118"/>
  <c r="T8" i="118"/>
  <c r="C55" i="114" l="1"/>
  <c r="L124" i="118"/>
  <c r="L123" i="118" s="1"/>
  <c r="C13" i="114"/>
  <c r="J122" i="118"/>
  <c r="AB121" i="118"/>
  <c r="N122" i="118"/>
  <c r="V121" i="118"/>
  <c r="T121" i="118"/>
  <c r="R122" i="118"/>
  <c r="H122" i="118"/>
  <c r="AD122" i="118"/>
  <c r="F122" i="118"/>
  <c r="P121" i="118"/>
  <c r="X121" i="118"/>
  <c r="AH121" i="118"/>
  <c r="D57" i="118"/>
  <c r="Z122" i="118"/>
  <c r="D8" i="118"/>
  <c r="D20" i="118"/>
  <c r="C5" i="118"/>
  <c r="AJ124" i="118"/>
  <c r="AJ123" i="118" s="1"/>
  <c r="D9" i="118"/>
  <c r="AF122" i="118"/>
  <c r="AL121" i="118"/>
  <c r="G15" i="114" l="1"/>
  <c r="G12" i="114" s="1"/>
  <c r="G11" i="114" s="1"/>
  <c r="G9" i="114" s="1"/>
  <c r="J124" i="118"/>
  <c r="J123" i="118" s="1"/>
  <c r="G14" i="114"/>
  <c r="N124" i="118"/>
  <c r="N123" i="118" s="1"/>
  <c r="L6" i="118"/>
  <c r="L5" i="118" s="1"/>
  <c r="L1" i="118" s="1"/>
  <c r="L125" i="118"/>
  <c r="AJ125" i="118"/>
  <c r="S15" i="114"/>
  <c r="AJ6" i="118"/>
  <c r="AJ5" i="118" s="1"/>
  <c r="AJ1" i="118" s="1"/>
  <c r="J125" i="118"/>
  <c r="F124" i="118"/>
  <c r="F123" i="118" s="1"/>
  <c r="AH122" i="118"/>
  <c r="P122" i="118"/>
  <c r="AL122" i="118"/>
  <c r="D121" i="118"/>
  <c r="Z124" i="118"/>
  <c r="Z123" i="118" s="1"/>
  <c r="V122" i="118"/>
  <c r="AD124" i="118"/>
  <c r="AD123" i="118" s="1"/>
  <c r="AF124" i="118"/>
  <c r="AF123" i="118" s="1"/>
  <c r="H124" i="118"/>
  <c r="H123" i="118" s="1"/>
  <c r="AB122" i="118"/>
  <c r="X122" i="118"/>
  <c r="R124" i="118"/>
  <c r="R123" i="118" s="1"/>
  <c r="T122" i="118"/>
  <c r="R6" i="118" l="1"/>
  <c r="R5" i="118" s="1"/>
  <c r="R1" i="118" s="1"/>
  <c r="J15" i="114"/>
  <c r="N125" i="118"/>
  <c r="H15" i="114"/>
  <c r="N6" i="118"/>
  <c r="N5" i="118" s="1"/>
  <c r="N1" i="118" s="1"/>
  <c r="P124" i="118"/>
  <c r="P123" i="118" s="1"/>
  <c r="F125" i="118"/>
  <c r="D15" i="114"/>
  <c r="H6" i="118"/>
  <c r="H5" i="118" s="1"/>
  <c r="H1" i="118" s="1"/>
  <c r="E15" i="114"/>
  <c r="AF125" i="118"/>
  <c r="Q15" i="114"/>
  <c r="S12" i="114"/>
  <c r="S11" i="114" s="1"/>
  <c r="S9" i="114" s="1"/>
  <c r="S14" i="114"/>
  <c r="Z125" i="118"/>
  <c r="N15" i="114"/>
  <c r="J6" i="118"/>
  <c r="J5" i="118" s="1"/>
  <c r="J1" i="118" s="1"/>
  <c r="F15" i="114"/>
  <c r="AH124" i="118"/>
  <c r="AH123" i="118" s="1"/>
  <c r="AB124" i="118"/>
  <c r="AB123" i="118" s="1"/>
  <c r="AB6" i="118" s="1"/>
  <c r="AB5" i="118" s="1"/>
  <c r="AB1" i="118" s="1"/>
  <c r="AD6" i="118"/>
  <c r="AD5" i="118" s="1"/>
  <c r="AD1" i="118" s="1"/>
  <c r="P15" i="114"/>
  <c r="AL124" i="118"/>
  <c r="AL123" i="118" s="1"/>
  <c r="AF6" i="118"/>
  <c r="AF5" i="118" s="1"/>
  <c r="AF1" i="118" s="1"/>
  <c r="R125" i="118"/>
  <c r="T124" i="118"/>
  <c r="T123" i="118" s="1"/>
  <c r="D122" i="118"/>
  <c r="H125" i="118"/>
  <c r="AD125" i="118"/>
  <c r="Z6" i="118"/>
  <c r="Z5" i="118" s="1"/>
  <c r="Z1" i="118" s="1"/>
  <c r="F6" i="118"/>
  <c r="X124" i="118"/>
  <c r="X123" i="118" s="1"/>
  <c r="V124" i="118"/>
  <c r="V123" i="118" s="1"/>
  <c r="H12" i="114" l="1"/>
  <c r="H11" i="114" s="1"/>
  <c r="H9" i="114" s="1"/>
  <c r="H14" i="114"/>
  <c r="F14" i="114"/>
  <c r="F12" i="114"/>
  <c r="F11" i="114" s="1"/>
  <c r="F9" i="114" s="1"/>
  <c r="P125" i="118"/>
  <c r="V125" i="118"/>
  <c r="L15" i="114"/>
  <c r="P6" i="118"/>
  <c r="P5" i="118" s="1"/>
  <c r="P1" i="118" s="1"/>
  <c r="Q12" i="114"/>
  <c r="Q11" i="114" s="1"/>
  <c r="Q9" i="114" s="1"/>
  <c r="Q14" i="114"/>
  <c r="J12" i="114"/>
  <c r="J11" i="114" s="1"/>
  <c r="J9" i="114" s="1"/>
  <c r="J14" i="114"/>
  <c r="X125" i="118"/>
  <c r="M15" i="114"/>
  <c r="N12" i="114"/>
  <c r="N11" i="114" s="1"/>
  <c r="N9" i="114" s="1"/>
  <c r="N14" i="114"/>
  <c r="AH125" i="118"/>
  <c r="D12" i="114"/>
  <c r="D14" i="114"/>
  <c r="P12" i="114"/>
  <c r="P11" i="114" s="1"/>
  <c r="P9" i="114" s="1"/>
  <c r="P14" i="114"/>
  <c r="AB125" i="118"/>
  <c r="O15" i="114"/>
  <c r="T15" i="114"/>
  <c r="AH6" i="118"/>
  <c r="AH5" i="118" s="1"/>
  <c r="AH1" i="118" s="1"/>
  <c r="T6" i="118"/>
  <c r="T5" i="118" s="1"/>
  <c r="T1" i="118" s="1"/>
  <c r="K15" i="114"/>
  <c r="R15" i="114"/>
  <c r="E12" i="114"/>
  <c r="E11" i="114" s="1"/>
  <c r="E9" i="114" s="1"/>
  <c r="E14" i="114"/>
  <c r="T125" i="118"/>
  <c r="V6" i="118"/>
  <c r="V5" i="118" s="1"/>
  <c r="V1" i="118" s="1"/>
  <c r="F5" i="118"/>
  <c r="D2" i="118"/>
  <c r="D123" i="118"/>
  <c r="D6" i="118" s="1"/>
  <c r="AL125" i="118"/>
  <c r="D124" i="118"/>
  <c r="X6" i="118"/>
  <c r="X5" i="118" s="1"/>
  <c r="X1" i="118" s="1"/>
  <c r="AL6" i="118"/>
  <c r="AL5" i="118" s="1"/>
  <c r="AL1" i="118" s="1"/>
  <c r="G410" i="124" l="1"/>
  <c r="R14" i="114"/>
  <c r="R12" i="114"/>
  <c r="R11" i="114" s="1"/>
  <c r="R9" i="114" s="1"/>
  <c r="O12" i="114"/>
  <c r="O11" i="114" s="1"/>
  <c r="O9" i="114" s="1"/>
  <c r="O14" i="114"/>
  <c r="D11" i="114"/>
  <c r="D9" i="114" s="1"/>
  <c r="M12" i="114"/>
  <c r="M11" i="114" s="1"/>
  <c r="M9" i="114" s="1"/>
  <c r="M14" i="114"/>
  <c r="I15" i="114"/>
  <c r="L12" i="114"/>
  <c r="L11" i="114" s="1"/>
  <c r="L9" i="114" s="1"/>
  <c r="L14" i="114"/>
  <c r="K12" i="114"/>
  <c r="K11" i="114" s="1"/>
  <c r="K9" i="114" s="1"/>
  <c r="K14" i="114"/>
  <c r="T12" i="114"/>
  <c r="T11" i="114" s="1"/>
  <c r="T9" i="114" s="1"/>
  <c r="T14" i="114"/>
  <c r="D125" i="118"/>
  <c r="D5" i="118"/>
  <c r="F1" i="118"/>
  <c r="C15" i="114" l="1"/>
  <c r="C14" i="114" s="1"/>
  <c r="I12" i="114"/>
  <c r="I14" i="114"/>
  <c r="AO6" i="118"/>
  <c r="D1" i="118"/>
  <c r="B2" i="118"/>
  <c r="I11" i="114" l="1"/>
  <c r="I9" i="114" s="1"/>
  <c r="C12" i="114"/>
  <c r="I42" i="163"/>
  <c r="H44" i="163"/>
  <c r="I44" i="163"/>
  <c r="G44" i="163"/>
  <c r="C44" i="163"/>
  <c r="D44" i="163"/>
  <c r="E44" i="163"/>
  <c r="D46" i="163"/>
  <c r="E46" i="163"/>
  <c r="F46" i="163"/>
  <c r="G46" i="163"/>
  <c r="H46" i="163"/>
  <c r="I46" i="163"/>
  <c r="C46" i="163"/>
  <c r="D48" i="163"/>
  <c r="E48" i="163"/>
  <c r="F48" i="163"/>
  <c r="G48" i="163"/>
  <c r="H48" i="163"/>
  <c r="I48" i="163"/>
  <c r="J48" i="163"/>
  <c r="C48" i="163"/>
  <c r="C11" i="114" l="1"/>
  <c r="C9" i="114" s="1"/>
  <c r="F49" i="163"/>
  <c r="G49" i="163" s="1"/>
  <c r="I49" i="163" l="1"/>
  <c r="H49" i="163"/>
  <c r="C49" i="163"/>
  <c r="C47" i="163"/>
  <c r="C32" i="48"/>
  <c r="G171" i="124"/>
  <c r="F45" i="163"/>
  <c r="F44" i="163" s="1"/>
  <c r="C45" i="163"/>
  <c r="F43" i="163"/>
  <c r="C43" i="163"/>
  <c r="C42" i="163" s="1"/>
  <c r="J42" i="163"/>
  <c r="J9" i="163" s="1"/>
  <c r="F42" i="163"/>
  <c r="E42" i="163"/>
  <c r="D42" i="163"/>
  <c r="F41" i="163"/>
  <c r="F40" i="163" s="1"/>
  <c r="C41" i="163"/>
  <c r="C40" i="163" s="1"/>
  <c r="H40" i="163"/>
  <c r="E40" i="163"/>
  <c r="D40" i="163"/>
  <c r="F39" i="163"/>
  <c r="F38" i="163" s="1"/>
  <c r="C39" i="163"/>
  <c r="H38" i="163"/>
  <c r="E38" i="163"/>
  <c r="D38" i="163"/>
  <c r="C37" i="163"/>
  <c r="G37" i="163" s="1"/>
  <c r="C36" i="163"/>
  <c r="G36" i="163" s="1"/>
  <c r="C35" i="163"/>
  <c r="G35" i="163" s="1"/>
  <c r="C34" i="163"/>
  <c r="G34" i="163" s="1"/>
  <c r="C33" i="163"/>
  <c r="G33" i="163" s="1"/>
  <c r="C32" i="163"/>
  <c r="G32" i="163" s="1"/>
  <c r="C31" i="163"/>
  <c r="G31" i="163" s="1"/>
  <c r="C30" i="163"/>
  <c r="G30" i="163" s="1"/>
  <c r="F29" i="163"/>
  <c r="E29" i="163"/>
  <c r="D29" i="163"/>
  <c r="C28" i="163"/>
  <c r="G28" i="163" s="1"/>
  <c r="C27" i="163"/>
  <c r="G27" i="163" s="1"/>
  <c r="C26" i="163"/>
  <c r="G26" i="163" s="1"/>
  <c r="C25" i="163"/>
  <c r="G25" i="163" s="1"/>
  <c r="C24" i="163"/>
  <c r="G24" i="163" s="1"/>
  <c r="C23" i="163"/>
  <c r="G23" i="163" s="1"/>
  <c r="C22" i="163"/>
  <c r="G22" i="163" s="1"/>
  <c r="C21" i="163"/>
  <c r="G21" i="163" s="1"/>
  <c r="C20" i="163"/>
  <c r="G20" i="163" s="1"/>
  <c r="C19" i="163"/>
  <c r="G19" i="163" s="1"/>
  <c r="C18" i="163"/>
  <c r="G18" i="163" s="1"/>
  <c r="G17" i="163"/>
  <c r="H17" i="163" s="1"/>
  <c r="C17" i="163"/>
  <c r="C16" i="163"/>
  <c r="G16" i="163" s="1"/>
  <c r="C15" i="163"/>
  <c r="G15" i="163" s="1"/>
  <c r="C14" i="163"/>
  <c r="G14" i="163" s="1"/>
  <c r="C13" i="163"/>
  <c r="G13" i="163" s="1"/>
  <c r="C12" i="163"/>
  <c r="G12" i="163" s="1"/>
  <c r="J11" i="163"/>
  <c r="F11" i="163"/>
  <c r="E11" i="163"/>
  <c r="D11" i="163"/>
  <c r="G47" i="163" l="1"/>
  <c r="D10" i="163"/>
  <c r="E10" i="163"/>
  <c r="G39" i="163"/>
  <c r="C38" i="163"/>
  <c r="E9" i="163"/>
  <c r="D9" i="163"/>
  <c r="H14" i="163"/>
  <c r="I14" i="163"/>
  <c r="H26" i="163"/>
  <c r="I26" i="163"/>
  <c r="H23" i="163"/>
  <c r="I23" i="163"/>
  <c r="H20" i="163"/>
  <c r="I20" i="163"/>
  <c r="F10" i="163"/>
  <c r="F9" i="163" s="1"/>
  <c r="I17" i="163"/>
  <c r="C11" i="163"/>
  <c r="H22" i="163"/>
  <c r="I22" i="163"/>
  <c r="I39" i="163"/>
  <c r="I38" i="163" s="1"/>
  <c r="G38" i="163"/>
  <c r="I32" i="163"/>
  <c r="H32" i="163"/>
  <c r="H21" i="163"/>
  <c r="I21" i="163"/>
  <c r="H16" i="163"/>
  <c r="I16" i="163"/>
  <c r="I31" i="163"/>
  <c r="H31" i="163"/>
  <c r="H15" i="163"/>
  <c r="I15" i="163"/>
  <c r="H24" i="163"/>
  <c r="I24" i="163"/>
  <c r="H18" i="163"/>
  <c r="I18" i="163"/>
  <c r="I19" i="163"/>
  <c r="H19" i="163"/>
  <c r="I35" i="163"/>
  <c r="H35" i="163"/>
  <c r="I34" i="163"/>
  <c r="H34" i="163"/>
  <c r="H12" i="163"/>
  <c r="G11" i="163"/>
  <c r="I12" i="163"/>
  <c r="H36" i="163"/>
  <c r="I36" i="163"/>
  <c r="I25" i="163"/>
  <c r="H25" i="163"/>
  <c r="H27" i="163"/>
  <c r="I27" i="163"/>
  <c r="I37" i="163"/>
  <c r="H37" i="163"/>
  <c r="G29" i="163"/>
  <c r="H30" i="163"/>
  <c r="I30" i="163"/>
  <c r="I33" i="163"/>
  <c r="H33" i="163"/>
  <c r="I13" i="163"/>
  <c r="H13" i="163"/>
  <c r="H28" i="163"/>
  <c r="I28" i="163"/>
  <c r="G41" i="163"/>
  <c r="G43" i="163"/>
  <c r="G45" i="163"/>
  <c r="C29" i="163"/>
  <c r="C10" i="163" s="1"/>
  <c r="G523" i="124"/>
  <c r="C13" i="48"/>
  <c r="C9" i="163" l="1"/>
  <c r="I47" i="163"/>
  <c r="H47" i="163"/>
  <c r="G10" i="163"/>
  <c r="G40" i="163"/>
  <c r="I41" i="163"/>
  <c r="I40" i="163" s="1"/>
  <c r="I11" i="163"/>
  <c r="I29" i="163"/>
  <c r="G42" i="163"/>
  <c r="I43" i="163"/>
  <c r="H43" i="163"/>
  <c r="H42" i="163" s="1"/>
  <c r="H29" i="163"/>
  <c r="H11" i="163"/>
  <c r="H10" i="163" s="1"/>
  <c r="I45" i="163"/>
  <c r="H45" i="163"/>
  <c r="H9" i="163" l="1"/>
  <c r="G9" i="163"/>
  <c r="I10" i="163"/>
  <c r="I9" i="163" s="1"/>
  <c r="G113" i="124"/>
  <c r="I141" i="124"/>
  <c r="G58" i="124"/>
  <c r="G351" i="124"/>
  <c r="D148" i="153"/>
  <c r="D32" i="125"/>
  <c r="D137" i="153"/>
  <c r="D134" i="153"/>
  <c r="D127" i="153"/>
  <c r="D118" i="153"/>
  <c r="D114" i="153"/>
  <c r="D106" i="153"/>
  <c r="D98" i="153"/>
  <c r="D93" i="153"/>
  <c r="D89" i="153"/>
  <c r="D80" i="153"/>
  <c r="D75" i="153"/>
  <c r="D70" i="153"/>
  <c r="D64" i="153"/>
  <c r="D60" i="153"/>
  <c r="D56" i="153"/>
  <c r="D53" i="153"/>
  <c r="D47" i="153"/>
  <c r="D28" i="153"/>
  <c r="D29" i="125" s="1"/>
  <c r="D10" i="153"/>
  <c r="D57" i="125" l="1"/>
  <c r="D140" i="153"/>
  <c r="D46" i="153"/>
  <c r="D9" i="153" s="1"/>
  <c r="I350" i="124"/>
  <c r="J344" i="124"/>
  <c r="L344" i="124"/>
  <c r="M344" i="124"/>
  <c r="N344" i="124"/>
  <c r="O344" i="124"/>
  <c r="P344" i="124"/>
  <c r="Q344" i="124"/>
  <c r="R344" i="124"/>
  <c r="S344" i="124"/>
  <c r="T344" i="124"/>
  <c r="U344" i="124"/>
  <c r="V344" i="124"/>
  <c r="W344" i="124"/>
  <c r="X344" i="124"/>
  <c r="Y344" i="124"/>
  <c r="Z344" i="124"/>
  <c r="AA344" i="124"/>
  <c r="AB344" i="124"/>
  <c r="AC344" i="124"/>
  <c r="AD344" i="124"/>
  <c r="AE344" i="124"/>
  <c r="AF344" i="124"/>
  <c r="D8" i="153" l="1"/>
  <c r="D83" i="164"/>
  <c r="D60" i="164"/>
  <c r="D55" i="164"/>
  <c r="D57" i="164"/>
  <c r="F58" i="164"/>
  <c r="D50" i="164"/>
  <c r="D42" i="164"/>
  <c r="D18" i="164"/>
  <c r="D21" i="164"/>
  <c r="D23" i="164"/>
  <c r="D22" i="164"/>
  <c r="D19" i="164"/>
  <c r="D27" i="164"/>
  <c r="D24" i="164" s="1"/>
  <c r="D236" i="164"/>
  <c r="D234" i="164"/>
  <c r="D232" i="164"/>
  <c r="D221" i="164"/>
  <c r="D176" i="164"/>
  <c r="D24" i="49"/>
  <c r="I24" i="49"/>
  <c r="C26" i="49"/>
  <c r="AM36" i="68"/>
  <c r="AL36" i="68"/>
  <c r="AJ36" i="68"/>
  <c r="AH36" i="68"/>
  <c r="AF36" i="68"/>
  <c r="AD36" i="68"/>
  <c r="AB36" i="68"/>
  <c r="Z36" i="68"/>
  <c r="X36" i="68"/>
  <c r="V36" i="68"/>
  <c r="T36" i="68"/>
  <c r="R36" i="68"/>
  <c r="P36" i="68"/>
  <c r="N36" i="68"/>
  <c r="L36" i="68"/>
  <c r="J36" i="68"/>
  <c r="D36" i="68" s="1"/>
  <c r="H36" i="68"/>
  <c r="F36" i="68"/>
  <c r="C36" i="68"/>
  <c r="AN36" i="68" s="1"/>
  <c r="AL35" i="68"/>
  <c r="AJ35" i="68"/>
  <c r="AH35" i="68"/>
  <c r="AF35" i="68"/>
  <c r="AD35" i="68"/>
  <c r="AB35" i="68"/>
  <c r="Z35" i="68"/>
  <c r="X35" i="68"/>
  <c r="V35" i="68"/>
  <c r="T35" i="68"/>
  <c r="R35" i="68"/>
  <c r="P35" i="68"/>
  <c r="N35" i="68"/>
  <c r="L35" i="68"/>
  <c r="J35" i="68"/>
  <c r="H35" i="68"/>
  <c r="F35" i="68"/>
  <c r="D35" i="68" s="1"/>
  <c r="C35" i="68"/>
  <c r="AN35" i="68" s="1"/>
  <c r="AL34" i="68"/>
  <c r="D34" i="68"/>
  <c r="C34" i="68"/>
  <c r="AN34" i="68" s="1"/>
  <c r="AN33" i="68"/>
  <c r="AM33" i="68"/>
  <c r="AM31" i="68" s="1"/>
  <c r="AM7" i="68" s="1"/>
  <c r="AL33" i="68"/>
  <c r="AJ33" i="68"/>
  <c r="AH33" i="68"/>
  <c r="AF33" i="68"/>
  <c r="AD33" i="68"/>
  <c r="AD31" i="68" s="1"/>
  <c r="AB33" i="68"/>
  <c r="AB31" i="68" s="1"/>
  <c r="AB7" i="68" s="1"/>
  <c r="Z33" i="68"/>
  <c r="X33" i="68"/>
  <c r="V33" i="68"/>
  <c r="T33" i="68"/>
  <c r="D33" i="68" s="1"/>
  <c r="R33" i="68"/>
  <c r="R31" i="68" s="1"/>
  <c r="P33" i="68"/>
  <c r="N33" i="68"/>
  <c r="L33" i="68"/>
  <c r="J33" i="68"/>
  <c r="H33" i="68"/>
  <c r="F33" i="68"/>
  <c r="F31" i="68" s="1"/>
  <c r="C33" i="68"/>
  <c r="AL32" i="68"/>
  <c r="AJ32" i="68"/>
  <c r="AJ31" i="68" s="1"/>
  <c r="AH32" i="68"/>
  <c r="AF32" i="68"/>
  <c r="AD32" i="68"/>
  <c r="AB32" i="68"/>
  <c r="Z32" i="68"/>
  <c r="X32" i="68"/>
  <c r="X31" i="68" s="1"/>
  <c r="V32" i="68"/>
  <c r="T32" i="68"/>
  <c r="T31" i="68" s="1"/>
  <c r="R32" i="68"/>
  <c r="P32" i="68"/>
  <c r="N32" i="68"/>
  <c r="L32" i="68"/>
  <c r="L31" i="68" s="1"/>
  <c r="L7" i="68" s="1"/>
  <c r="J32" i="68"/>
  <c r="H32" i="68"/>
  <c r="D32" i="68" s="1"/>
  <c r="F32" i="68"/>
  <c r="C32" i="68"/>
  <c r="AN32" i="68" s="1"/>
  <c r="AL31" i="68"/>
  <c r="AK31" i="68"/>
  <c r="AI31" i="68"/>
  <c r="AH31" i="68"/>
  <c r="AG31" i="68"/>
  <c r="AF31" i="68"/>
  <c r="AE31" i="68"/>
  <c r="AC31" i="68"/>
  <c r="AA31" i="68"/>
  <c r="Z31" i="68"/>
  <c r="Y31" i="68"/>
  <c r="W31" i="68"/>
  <c r="V31" i="68"/>
  <c r="U31" i="68"/>
  <c r="S31" i="68"/>
  <c r="Q31" i="68"/>
  <c r="P31" i="68"/>
  <c r="O31" i="68"/>
  <c r="N31" i="68"/>
  <c r="M31" i="68"/>
  <c r="K31" i="68"/>
  <c r="J31" i="68"/>
  <c r="I31" i="68"/>
  <c r="H31" i="68"/>
  <c r="G31" i="68"/>
  <c r="E31" i="68"/>
  <c r="C31" i="68" s="1"/>
  <c r="AN30" i="68"/>
  <c r="AL30" i="68"/>
  <c r="AJ30" i="68"/>
  <c r="AH30" i="68"/>
  <c r="AF30" i="68"/>
  <c r="AD30" i="68"/>
  <c r="AB30" i="68"/>
  <c r="Z30" i="68"/>
  <c r="X30" i="68"/>
  <c r="V30" i="68"/>
  <c r="T30" i="68"/>
  <c r="R30" i="68"/>
  <c r="P30" i="68"/>
  <c r="N30" i="68"/>
  <c r="L30" i="68"/>
  <c r="J30" i="68"/>
  <c r="H30" i="68"/>
  <c r="F30" i="68"/>
  <c r="D30" i="68" s="1"/>
  <c r="C30" i="68"/>
  <c r="D29" i="68"/>
  <c r="C29" i="68"/>
  <c r="AN29" i="68" s="1"/>
  <c r="AN28" i="68"/>
  <c r="D28" i="68"/>
  <c r="C28" i="68"/>
  <c r="AL27" i="68"/>
  <c r="AB27" i="68"/>
  <c r="X27" i="68"/>
  <c r="V27" i="68"/>
  <c r="R27" i="68"/>
  <c r="J27" i="68"/>
  <c r="H27" i="68"/>
  <c r="F27" i="68"/>
  <c r="D27" i="68" s="1"/>
  <c r="C27" i="68"/>
  <c r="AN27" i="68" s="1"/>
  <c r="AF26" i="68"/>
  <c r="D26" i="68"/>
  <c r="C26" i="68"/>
  <c r="AN26" i="68" s="1"/>
  <c r="AN25" i="68"/>
  <c r="AF25" i="68"/>
  <c r="AF23" i="68" s="1"/>
  <c r="C25" i="68"/>
  <c r="AL24" i="68"/>
  <c r="AL23" i="68" s="1"/>
  <c r="AJ24" i="68"/>
  <c r="AH24" i="68"/>
  <c r="AH23" i="68" s="1"/>
  <c r="AF24" i="68"/>
  <c r="AD24" i="68"/>
  <c r="AB24" i="68"/>
  <c r="Z24" i="68"/>
  <c r="Z23" i="68" s="1"/>
  <c r="X24" i="68"/>
  <c r="X23" i="68" s="1"/>
  <c r="V24" i="68"/>
  <c r="T24" i="68"/>
  <c r="T23" i="68" s="1"/>
  <c r="R24" i="68"/>
  <c r="P24" i="68"/>
  <c r="N24" i="68"/>
  <c r="N23" i="68" s="1"/>
  <c r="L24" i="68"/>
  <c r="J24" i="68"/>
  <c r="J23" i="68" s="1"/>
  <c r="H24" i="68"/>
  <c r="F24" i="68"/>
  <c r="C24" i="68"/>
  <c r="AN24" i="68" s="1"/>
  <c r="AN23" i="68" s="1"/>
  <c r="AM23" i="68"/>
  <c r="AK23" i="68"/>
  <c r="AJ23" i="68"/>
  <c r="AI23" i="68"/>
  <c r="AG23" i="68"/>
  <c r="AE23" i="68"/>
  <c r="AD23" i="68"/>
  <c r="AC23" i="68"/>
  <c r="AB23" i="68"/>
  <c r="AA23" i="68"/>
  <c r="Y23" i="68"/>
  <c r="W23" i="68"/>
  <c r="V23" i="68"/>
  <c r="U23" i="68"/>
  <c r="S23" i="68"/>
  <c r="R23" i="68"/>
  <c r="Q23" i="68"/>
  <c r="P23" i="68"/>
  <c r="O23" i="68"/>
  <c r="M23" i="68"/>
  <c r="L23" i="68"/>
  <c r="K23" i="68"/>
  <c r="I23" i="68"/>
  <c r="H23" i="68"/>
  <c r="G23" i="68"/>
  <c r="F23" i="68"/>
  <c r="E23" i="68"/>
  <c r="C23" i="68" s="1"/>
  <c r="D22" i="68"/>
  <c r="C22" i="68"/>
  <c r="AN22" i="68" s="1"/>
  <c r="D21" i="68"/>
  <c r="C21" i="68"/>
  <c r="AN21" i="68" s="1"/>
  <c r="AL20" i="68"/>
  <c r="AJ20" i="68"/>
  <c r="AJ16" i="68" s="1"/>
  <c r="AJ7" i="68" s="1"/>
  <c r="AH20" i="68"/>
  <c r="AH16" i="68" s="1"/>
  <c r="AF20" i="68"/>
  <c r="AF16" i="68" s="1"/>
  <c r="AD20" i="68"/>
  <c r="AD16" i="68" s="1"/>
  <c r="AB20" i="68"/>
  <c r="Z20" i="68"/>
  <c r="X20" i="68"/>
  <c r="X16" i="68" s="1"/>
  <c r="X7" i="68" s="1"/>
  <c r="V20" i="68"/>
  <c r="T20" i="68"/>
  <c r="R20" i="68"/>
  <c r="R16" i="68" s="1"/>
  <c r="P20" i="68"/>
  <c r="N20" i="68"/>
  <c r="J20" i="68"/>
  <c r="C20" i="68"/>
  <c r="AN20" i="68" s="1"/>
  <c r="AN19" i="68"/>
  <c r="D19" i="68"/>
  <c r="C19" i="68"/>
  <c r="AN18" i="68"/>
  <c r="D18" i="68"/>
  <c r="C18" i="68"/>
  <c r="AN17" i="68"/>
  <c r="D17" i="68"/>
  <c r="C17" i="68"/>
  <c r="AM16" i="68"/>
  <c r="AL16" i="68"/>
  <c r="AK16" i="68"/>
  <c r="AI16" i="68"/>
  <c r="AG16" i="68"/>
  <c r="AE16" i="68"/>
  <c r="AC16" i="68"/>
  <c r="AB16" i="68"/>
  <c r="AA16" i="68"/>
  <c r="Z16" i="68"/>
  <c r="Y16" i="68"/>
  <c r="W16" i="68"/>
  <c r="V16" i="68"/>
  <c r="U16" i="68"/>
  <c r="T16" i="68"/>
  <c r="S16" i="68"/>
  <c r="Q16" i="68"/>
  <c r="P16" i="68"/>
  <c r="O16" i="68"/>
  <c r="N16" i="68"/>
  <c r="M16" i="68"/>
  <c r="L16" i="68"/>
  <c r="K16" i="68"/>
  <c r="J16" i="68"/>
  <c r="I16" i="68"/>
  <c r="H16" i="68"/>
  <c r="G16" i="68"/>
  <c r="C16" i="68" s="1"/>
  <c r="F16" i="68"/>
  <c r="E16" i="68"/>
  <c r="D15" i="68"/>
  <c r="C15" i="68"/>
  <c r="D14" i="68"/>
  <c r="C14" i="68"/>
  <c r="D13" i="68"/>
  <c r="C13" i="68"/>
  <c r="AN13" i="68" s="1"/>
  <c r="AN11" i="68" s="1"/>
  <c r="D12" i="68"/>
  <c r="C12" i="68"/>
  <c r="AM11" i="68"/>
  <c r="AL11" i="68"/>
  <c r="AK11" i="68"/>
  <c r="AJ11" i="68"/>
  <c r="AI11" i="68"/>
  <c r="AH11" i="68"/>
  <c r="AG11" i="68"/>
  <c r="AF11" i="68"/>
  <c r="AE11" i="68"/>
  <c r="AD11" i="68"/>
  <c r="AD7" i="68" s="1"/>
  <c r="AC11" i="68"/>
  <c r="AB11" i="68"/>
  <c r="AA11" i="68"/>
  <c r="Z11" i="68"/>
  <c r="Y11" i="68"/>
  <c r="X11" i="68"/>
  <c r="W11" i="68"/>
  <c r="V11" i="68"/>
  <c r="U11" i="68"/>
  <c r="T11" i="68"/>
  <c r="S11" i="68"/>
  <c r="R11" i="68"/>
  <c r="R7" i="68" s="1"/>
  <c r="Q11" i="68"/>
  <c r="P11" i="68"/>
  <c r="O11" i="68"/>
  <c r="N11" i="68"/>
  <c r="M11" i="68"/>
  <c r="C11" i="68" s="1"/>
  <c r="L11" i="68"/>
  <c r="K11" i="68"/>
  <c r="J11" i="68"/>
  <c r="I11" i="68"/>
  <c r="H11" i="68"/>
  <c r="G11" i="68"/>
  <c r="F11" i="68"/>
  <c r="F7" i="68" s="1"/>
  <c r="E11" i="68"/>
  <c r="D10" i="68"/>
  <c r="D8" i="68" s="1"/>
  <c r="C10" i="68"/>
  <c r="C8" i="68" s="1"/>
  <c r="C7" i="68" s="1"/>
  <c r="AN9" i="68"/>
  <c r="D9" i="68"/>
  <c r="C9" i="68"/>
  <c r="AN8" i="68"/>
  <c r="AM8" i="68"/>
  <c r="AL8" i="68"/>
  <c r="AK8" i="68"/>
  <c r="AK7" i="68" s="1"/>
  <c r="AJ8" i="68"/>
  <c r="AI8" i="68"/>
  <c r="AH8" i="68"/>
  <c r="AG8" i="68"/>
  <c r="AG7" i="68" s="1"/>
  <c r="AF8" i="68"/>
  <c r="AF7" i="68" s="1"/>
  <c r="AE8" i="68"/>
  <c r="AE7" i="68" s="1"/>
  <c r="AD8" i="68"/>
  <c r="AC8" i="68"/>
  <c r="AB8" i="68"/>
  <c r="AA8" i="68"/>
  <c r="Z8" i="68"/>
  <c r="Y8" i="68"/>
  <c r="Y7" i="68" s="1"/>
  <c r="X8" i="68"/>
  <c r="W8" i="68"/>
  <c r="V8" i="68"/>
  <c r="U8" i="68"/>
  <c r="U7" i="68" s="1"/>
  <c r="T8" i="68"/>
  <c r="T7" i="68" s="1"/>
  <c r="S8" i="68"/>
  <c r="S7" i="68" s="1"/>
  <c r="R8" i="68"/>
  <c r="Q8" i="68"/>
  <c r="P8" i="68"/>
  <c r="O8" i="68"/>
  <c r="N8" i="68"/>
  <c r="M8" i="68"/>
  <c r="M7" i="68" s="1"/>
  <c r="L8" i="68"/>
  <c r="K8" i="68"/>
  <c r="J8" i="68"/>
  <c r="I8" i="68"/>
  <c r="I7" i="68" s="1"/>
  <c r="H8" i="68"/>
  <c r="H7" i="68" s="1"/>
  <c r="G8" i="68"/>
  <c r="G7" i="68" s="1"/>
  <c r="F8" i="68"/>
  <c r="E8" i="68"/>
  <c r="AI7" i="68"/>
  <c r="AC7" i="68"/>
  <c r="AA7" i="68"/>
  <c r="W7" i="68"/>
  <c r="V7" i="68"/>
  <c r="Q7" i="68"/>
  <c r="P7" i="68"/>
  <c r="O7" i="68"/>
  <c r="K7" i="68"/>
  <c r="E7" i="68"/>
  <c r="K16" i="124"/>
  <c r="H423" i="124"/>
  <c r="I423" i="124"/>
  <c r="J423" i="124"/>
  <c r="H424" i="124"/>
  <c r="I424" i="124"/>
  <c r="J424" i="124"/>
  <c r="G424" i="124"/>
  <c r="G423" i="124"/>
  <c r="G422" i="124" s="1"/>
  <c r="AI87" i="124"/>
  <c r="AI88" i="124"/>
  <c r="G408" i="124"/>
  <c r="I26" i="51" s="1"/>
  <c r="F19" i="51"/>
  <c r="F28" i="51"/>
  <c r="F25" i="51"/>
  <c r="F24" i="51"/>
  <c r="F23" i="51"/>
  <c r="F13" i="51"/>
  <c r="H17" i="51"/>
  <c r="H18" i="51"/>
  <c r="H26" i="51"/>
  <c r="H40" i="51"/>
  <c r="H61" i="51"/>
  <c r="H62" i="51"/>
  <c r="H63" i="51"/>
  <c r="H64" i="51"/>
  <c r="H65" i="51"/>
  <c r="H72" i="51"/>
  <c r="G41" i="51"/>
  <c r="G38" i="51"/>
  <c r="G33" i="51" s="1"/>
  <c r="F45" i="51"/>
  <c r="G45" i="51"/>
  <c r="G53" i="51"/>
  <c r="D53" i="51"/>
  <c r="D52" i="51"/>
  <c r="D73" i="51"/>
  <c r="G75" i="51"/>
  <c r="G73" i="51" s="1"/>
  <c r="E69" i="51"/>
  <c r="E68" i="51"/>
  <c r="D68" i="51"/>
  <c r="D49" i="51" s="1"/>
  <c r="D69" i="51"/>
  <c r="D50" i="51" s="1"/>
  <c r="F60" i="51"/>
  <c r="F53" i="51" s="1"/>
  <c r="F59" i="51"/>
  <c r="F52" i="51" s="1"/>
  <c r="D58" i="51"/>
  <c r="G58" i="51"/>
  <c r="G57" i="51"/>
  <c r="F57" i="51"/>
  <c r="F56" i="51"/>
  <c r="E56" i="51"/>
  <c r="D55" i="51"/>
  <c r="D29" i="51"/>
  <c r="E29" i="51"/>
  <c r="F29" i="51"/>
  <c r="D45" i="51"/>
  <c r="E45" i="51"/>
  <c r="H45" i="51" s="1"/>
  <c r="E46" i="51"/>
  <c r="H46" i="51" s="1"/>
  <c r="D41" i="51"/>
  <c r="D38" i="51"/>
  <c r="F38" i="51"/>
  <c r="D34" i="51"/>
  <c r="F34" i="51"/>
  <c r="F22" i="51"/>
  <c r="F14" i="51"/>
  <c r="D9" i="51"/>
  <c r="F9" i="51"/>
  <c r="F20" i="48"/>
  <c r="F15" i="48"/>
  <c r="AI89" i="124" l="1"/>
  <c r="I422" i="124"/>
  <c r="F21" i="164"/>
  <c r="D14" i="164"/>
  <c r="D13" i="164" s="1"/>
  <c r="D220" i="164"/>
  <c r="J422" i="124"/>
  <c r="H422" i="124"/>
  <c r="H57" i="51"/>
  <c r="AN16" i="68"/>
  <c r="N7" i="68"/>
  <c r="Z7" i="68"/>
  <c r="AL7" i="68"/>
  <c r="D16" i="68"/>
  <c r="AN31" i="68"/>
  <c r="AN7" i="68" s="1"/>
  <c r="D31" i="68"/>
  <c r="AH7" i="68"/>
  <c r="D23" i="68"/>
  <c r="J7" i="68"/>
  <c r="D25" i="68"/>
  <c r="D20" i="68"/>
  <c r="D24" i="68"/>
  <c r="D11" i="68"/>
  <c r="D7" i="68" s="1"/>
  <c r="E49" i="51"/>
  <c r="D67" i="51"/>
  <c r="D66" i="51" s="1"/>
  <c r="E67" i="51"/>
  <c r="F58" i="51"/>
  <c r="E55" i="51"/>
  <c r="D48" i="51"/>
  <c r="D51" i="51"/>
  <c r="E50" i="51"/>
  <c r="F51" i="51"/>
  <c r="D54" i="51"/>
  <c r="F55" i="51"/>
  <c r="D33" i="51"/>
  <c r="K413" i="124"/>
  <c r="C31" i="51" s="1"/>
  <c r="I356" i="124"/>
  <c r="G275" i="124"/>
  <c r="G320" i="124"/>
  <c r="D47" i="51" l="1"/>
  <c r="I355" i="124"/>
  <c r="E48" i="51"/>
  <c r="E66" i="51"/>
  <c r="D32" i="51"/>
  <c r="F54" i="51"/>
  <c r="G287" i="124"/>
  <c r="L13" i="124"/>
  <c r="M13" i="124"/>
  <c r="N13" i="124"/>
  <c r="O13" i="124"/>
  <c r="P13" i="124"/>
  <c r="Q13" i="124"/>
  <c r="R13" i="124"/>
  <c r="S13" i="124"/>
  <c r="T13" i="124"/>
  <c r="U13" i="124"/>
  <c r="V13" i="124"/>
  <c r="W13" i="124"/>
  <c r="X13" i="124"/>
  <c r="Y13" i="124"/>
  <c r="Z13" i="124"/>
  <c r="AA13" i="124"/>
  <c r="AB13" i="124"/>
  <c r="AC13" i="124"/>
  <c r="AD13" i="124"/>
  <c r="AE13" i="124"/>
  <c r="AF13" i="124"/>
  <c r="AH274" i="124"/>
  <c r="I31" i="51"/>
  <c r="D16" i="51"/>
  <c r="D12" i="51" s="1"/>
  <c r="D8" i="51" s="1"/>
  <c r="E75" i="48"/>
  <c r="K18" i="124"/>
  <c r="K19" i="124"/>
  <c r="I135" i="124"/>
  <c r="K135" i="124" s="1"/>
  <c r="I134" i="124"/>
  <c r="K130" i="124"/>
  <c r="K131" i="124"/>
  <c r="K132" i="124"/>
  <c r="K133" i="124"/>
  <c r="K136" i="124"/>
  <c r="K137" i="124"/>
  <c r="K269" i="124"/>
  <c r="M421" i="124"/>
  <c r="N421" i="124"/>
  <c r="O421" i="124"/>
  <c r="P421" i="124"/>
  <c r="Q421" i="124"/>
  <c r="R421" i="124"/>
  <c r="S421" i="124"/>
  <c r="T421" i="124"/>
  <c r="U421" i="124"/>
  <c r="V421" i="124"/>
  <c r="W421" i="124"/>
  <c r="X421" i="124"/>
  <c r="Y421" i="124"/>
  <c r="Z421" i="124"/>
  <c r="AA421" i="124"/>
  <c r="AB421" i="124"/>
  <c r="AC421" i="124"/>
  <c r="AD421" i="124"/>
  <c r="AE421" i="124"/>
  <c r="AF421" i="124"/>
  <c r="I219" i="124"/>
  <c r="I206" i="124"/>
  <c r="I179" i="124"/>
  <c r="I165" i="124"/>
  <c r="I108" i="124"/>
  <c r="I107" i="124"/>
  <c r="I95" i="124"/>
  <c r="I93" i="124"/>
  <c r="I92" i="124"/>
  <c r="I77" i="124"/>
  <c r="J138" i="124"/>
  <c r="I118" i="124"/>
  <c r="J118" i="124"/>
  <c r="K109" i="124"/>
  <c r="K110" i="124"/>
  <c r="J87" i="124"/>
  <c r="K81" i="124"/>
  <c r="K84" i="124"/>
  <c r="K85" i="124"/>
  <c r="K86" i="124"/>
  <c r="I66" i="124"/>
  <c r="J66" i="124"/>
  <c r="H72" i="124"/>
  <c r="J72" i="124"/>
  <c r="K74" i="124"/>
  <c r="G176" i="124"/>
  <c r="G174" i="124"/>
  <c r="E170" i="124"/>
  <c r="D7" i="51" l="1"/>
  <c r="I87" i="124"/>
  <c r="K108" i="124"/>
  <c r="I72" i="124"/>
  <c r="K107" i="124"/>
  <c r="K134" i="124"/>
  <c r="K77" i="124"/>
  <c r="I127" i="124" l="1"/>
  <c r="J127" i="124"/>
  <c r="E44" i="48" l="1"/>
  <c r="E66" i="48"/>
  <c r="G67" i="48"/>
  <c r="E55" i="48"/>
  <c r="E54" i="48"/>
  <c r="C40" i="48"/>
  <c r="F42" i="48"/>
  <c r="O40" i="51"/>
  <c r="E42" i="48" s="1"/>
  <c r="G406" i="124"/>
  <c r="G386" i="124" s="1"/>
  <c r="I24" i="51" s="1"/>
  <c r="K405" i="124"/>
  <c r="K404" i="124"/>
  <c r="K403" i="124"/>
  <c r="K402" i="124"/>
  <c r="K401" i="124"/>
  <c r="G400" i="124"/>
  <c r="K400" i="124" s="1"/>
  <c r="K393" i="124"/>
  <c r="K394" i="124"/>
  <c r="K399" i="124"/>
  <c r="K398" i="124"/>
  <c r="K397" i="124"/>
  <c r="K396" i="124"/>
  <c r="K395" i="124"/>
  <c r="K389" i="124"/>
  <c r="K390" i="124"/>
  <c r="K391" i="124"/>
  <c r="K392" i="124"/>
  <c r="K388" i="124"/>
  <c r="K381" i="124"/>
  <c r="K384" i="124"/>
  <c r="F16" i="48" l="1"/>
  <c r="M15" i="51"/>
  <c r="F16" i="51" s="1"/>
  <c r="D42" i="48"/>
  <c r="F40" i="48"/>
  <c r="D44" i="48"/>
  <c r="K383" i="124"/>
  <c r="K377" i="124"/>
  <c r="G368" i="124"/>
  <c r="I22" i="51" s="1"/>
  <c r="F372" i="124"/>
  <c r="K372" i="124"/>
  <c r="G56" i="51"/>
  <c r="K524" i="124"/>
  <c r="F522" i="124"/>
  <c r="F521" i="124" s="1"/>
  <c r="K429" i="124"/>
  <c r="K430" i="124"/>
  <c r="H428" i="124"/>
  <c r="I428" i="124"/>
  <c r="J428" i="124"/>
  <c r="G428" i="124"/>
  <c r="G474" i="124"/>
  <c r="F69" i="51" s="1"/>
  <c r="G55" i="51" l="1"/>
  <c r="H56" i="51"/>
  <c r="F50" i="51"/>
  <c r="C57" i="51"/>
  <c r="F68" i="51"/>
  <c r="K428" i="124"/>
  <c r="K523" i="124"/>
  <c r="G66" i="48"/>
  <c r="G522" i="124"/>
  <c r="C56" i="51"/>
  <c r="G54" i="51" l="1"/>
  <c r="H55" i="51"/>
  <c r="F49" i="51"/>
  <c r="F67" i="51"/>
  <c r="G521" i="124"/>
  <c r="K522" i="124"/>
  <c r="G436" i="124"/>
  <c r="E60" i="51" s="1"/>
  <c r="G435" i="124"/>
  <c r="E59" i="51" s="1"/>
  <c r="H59" i="51" l="1"/>
  <c r="E58" i="51"/>
  <c r="E52" i="51"/>
  <c r="H60" i="51"/>
  <c r="E53" i="51"/>
  <c r="H53" i="51" s="1"/>
  <c r="F66" i="51"/>
  <c r="F48" i="51"/>
  <c r="G407" i="124"/>
  <c r="H408" i="124"/>
  <c r="F47" i="51" l="1"/>
  <c r="E51" i="51"/>
  <c r="E54" i="51"/>
  <c r="H54" i="51" s="1"/>
  <c r="H58" i="51"/>
  <c r="I25" i="51"/>
  <c r="C40" i="51"/>
  <c r="M41" i="51" s="1"/>
  <c r="F37" i="48"/>
  <c r="D37" i="48" s="1"/>
  <c r="D36" i="48" s="1"/>
  <c r="C42" i="51"/>
  <c r="G286" i="124"/>
  <c r="G120" i="124"/>
  <c r="E47" i="51" l="1"/>
  <c r="F42" i="51"/>
  <c r="C26" i="51"/>
  <c r="J26" i="51" s="1"/>
  <c r="F12" i="51"/>
  <c r="F8" i="51" s="1"/>
  <c r="K120" i="124"/>
  <c r="G56" i="124"/>
  <c r="I14" i="51" s="1"/>
  <c r="G12" i="124"/>
  <c r="G11" i="124"/>
  <c r="K11" i="124" s="1"/>
  <c r="F41" i="51" l="1"/>
  <c r="F33" i="51" s="1"/>
  <c r="H42" i="51"/>
  <c r="C45" i="51"/>
  <c r="G47" i="124"/>
  <c r="G46" i="124" s="1"/>
  <c r="H40" i="124"/>
  <c r="H34" i="124" s="1"/>
  <c r="J40" i="124"/>
  <c r="J34" i="124" s="1"/>
  <c r="D62" i="125"/>
  <c r="AH271" i="124"/>
  <c r="I45" i="124" l="1"/>
  <c r="K45" i="124" s="1"/>
  <c r="I44" i="124"/>
  <c r="K44" i="124" s="1"/>
  <c r="K47" i="124"/>
  <c r="F23" i="48"/>
  <c r="G155" i="124"/>
  <c r="K46" i="124" l="1"/>
  <c r="D35" i="125"/>
  <c r="D13" i="125" l="1"/>
  <c r="E12" i="48" l="1"/>
  <c r="E11" i="51" s="1"/>
  <c r="E11" i="48"/>
  <c r="G12" i="48"/>
  <c r="G11" i="51" s="1"/>
  <c r="G9" i="51" s="1"/>
  <c r="H11" i="51" l="1"/>
  <c r="D20" i="125"/>
  <c r="D21" i="125" s="1"/>
  <c r="C16" i="125"/>
  <c r="C9" i="125" s="1"/>
  <c r="E13" i="125" l="1"/>
  <c r="AH323" i="124" l="1"/>
  <c r="AH275" i="124" l="1"/>
  <c r="I274" i="124"/>
  <c r="J274" i="124"/>
  <c r="K281" i="124"/>
  <c r="AH319" i="124"/>
  <c r="AH315" i="124"/>
  <c r="AH314" i="124"/>
  <c r="AI314" i="124" s="1"/>
  <c r="H277" i="124" l="1"/>
  <c r="K187" i="124" l="1"/>
  <c r="C39" i="51"/>
  <c r="E41" i="48"/>
  <c r="G40" i="48"/>
  <c r="H40" i="48"/>
  <c r="D43" i="48"/>
  <c r="E43" i="48"/>
  <c r="F43" i="48"/>
  <c r="G43" i="48"/>
  <c r="H43" i="48"/>
  <c r="C43" i="48"/>
  <c r="C47" i="48"/>
  <c r="C48" i="48"/>
  <c r="C36" i="48"/>
  <c r="C355" i="124"/>
  <c r="J356" i="124"/>
  <c r="K360" i="124"/>
  <c r="I351" i="124"/>
  <c r="I349" i="124"/>
  <c r="J343" i="124"/>
  <c r="K354" i="124"/>
  <c r="G303" i="124"/>
  <c r="G294" i="124"/>
  <c r="K286" i="124"/>
  <c r="I318" i="124"/>
  <c r="J318" i="124"/>
  <c r="K323" i="124"/>
  <c r="G319" i="124"/>
  <c r="I313" i="124"/>
  <c r="J313" i="124"/>
  <c r="K317" i="124"/>
  <c r="E283" i="124"/>
  <c r="G283" i="124" s="1"/>
  <c r="G284" i="124"/>
  <c r="I344" i="124" l="1"/>
  <c r="I343" i="124" s="1"/>
  <c r="C38" i="51"/>
  <c r="K15" i="51" s="1"/>
  <c r="E39" i="51"/>
  <c r="E40" i="48"/>
  <c r="D41" i="48"/>
  <c r="D40" i="48" s="1"/>
  <c r="I342" i="124" l="1"/>
  <c r="E38" i="51"/>
  <c r="H39" i="51"/>
  <c r="C279" i="124"/>
  <c r="H38" i="51" l="1"/>
  <c r="K307" i="124"/>
  <c r="H303" i="124"/>
  <c r="I303" i="124"/>
  <c r="J303" i="124"/>
  <c r="K166" i="124" l="1"/>
  <c r="D181" i="164"/>
  <c r="H294" i="124" l="1"/>
  <c r="I294" i="124"/>
  <c r="J294" i="124"/>
  <c r="L294" i="124"/>
  <c r="M294" i="124"/>
  <c r="N294" i="124"/>
  <c r="N273" i="124" s="1"/>
  <c r="O294" i="124"/>
  <c r="P294" i="124"/>
  <c r="P273" i="124" s="1"/>
  <c r="Q294" i="124"/>
  <c r="Q273" i="124" s="1"/>
  <c r="R294" i="124"/>
  <c r="R273" i="124" s="1"/>
  <c r="S294" i="124"/>
  <c r="S273" i="124" s="1"/>
  <c r="T294" i="124"/>
  <c r="T273" i="124" s="1"/>
  <c r="U294" i="124"/>
  <c r="U273" i="124" s="1"/>
  <c r="V294" i="124"/>
  <c r="V273" i="124" s="1"/>
  <c r="W294" i="124"/>
  <c r="W273" i="124" s="1"/>
  <c r="X294" i="124"/>
  <c r="X273" i="124" s="1"/>
  <c r="Y294" i="124"/>
  <c r="Y273" i="124" s="1"/>
  <c r="Z294" i="124"/>
  <c r="Z273" i="124" s="1"/>
  <c r="AA294" i="124"/>
  <c r="AA273" i="124" s="1"/>
  <c r="AB294" i="124"/>
  <c r="AB273" i="124" s="1"/>
  <c r="AC294" i="124"/>
  <c r="AC273" i="124" s="1"/>
  <c r="AD294" i="124"/>
  <c r="AD273" i="124" s="1"/>
  <c r="AE294" i="124"/>
  <c r="AE273" i="124" s="1"/>
  <c r="AF294" i="124"/>
  <c r="AF273" i="124" s="1"/>
  <c r="F299" i="124"/>
  <c r="K299" i="124"/>
  <c r="K270" i="124"/>
  <c r="K268" i="124"/>
  <c r="I242" i="124"/>
  <c r="I241" i="124"/>
  <c r="K240" i="124"/>
  <c r="J237" i="124"/>
  <c r="D213" i="164"/>
  <c r="K243" i="124"/>
  <c r="K241" i="124" l="1"/>
  <c r="K242" i="124"/>
  <c r="I237" i="124"/>
  <c r="F199" i="124" l="1"/>
  <c r="K199" i="124"/>
  <c r="L40" i="124"/>
  <c r="L34" i="124" s="1"/>
  <c r="M40" i="124"/>
  <c r="M34" i="124" s="1"/>
  <c r="M31" i="124" s="1"/>
  <c r="N40" i="124"/>
  <c r="N34" i="124" s="1"/>
  <c r="N31" i="124" s="1"/>
  <c r="O40" i="124"/>
  <c r="O34" i="124" s="1"/>
  <c r="O31" i="124" s="1"/>
  <c r="P40" i="124"/>
  <c r="P34" i="124" s="1"/>
  <c r="P31" i="124" s="1"/>
  <c r="Q40" i="124"/>
  <c r="Q34" i="124" s="1"/>
  <c r="Q31" i="124" s="1"/>
  <c r="R40" i="124"/>
  <c r="R34" i="124" s="1"/>
  <c r="R31" i="124" s="1"/>
  <c r="S40" i="124"/>
  <c r="S34" i="124" s="1"/>
  <c r="S31" i="124" s="1"/>
  <c r="T40" i="124"/>
  <c r="T34" i="124" s="1"/>
  <c r="T31" i="124" s="1"/>
  <c r="U40" i="124"/>
  <c r="U34" i="124" s="1"/>
  <c r="U31" i="124" s="1"/>
  <c r="V40" i="124"/>
  <c r="V34" i="124" s="1"/>
  <c r="V31" i="124" s="1"/>
  <c r="W40" i="124"/>
  <c r="W34" i="124" s="1"/>
  <c r="W31" i="124" s="1"/>
  <c r="X40" i="124"/>
  <c r="X34" i="124" s="1"/>
  <c r="X31" i="124" s="1"/>
  <c r="Y40" i="124"/>
  <c r="Y34" i="124" s="1"/>
  <c r="Y31" i="124" s="1"/>
  <c r="Z40" i="124"/>
  <c r="Z34" i="124" s="1"/>
  <c r="Z31" i="124" s="1"/>
  <c r="AA40" i="124"/>
  <c r="AA34" i="124" s="1"/>
  <c r="AA31" i="124" s="1"/>
  <c r="AB40" i="124"/>
  <c r="AB34" i="124" s="1"/>
  <c r="AB31" i="124" s="1"/>
  <c r="AC40" i="124"/>
  <c r="AC34" i="124" s="1"/>
  <c r="AC31" i="124" s="1"/>
  <c r="AD40" i="124"/>
  <c r="AD34" i="124" s="1"/>
  <c r="AD31" i="124" s="1"/>
  <c r="AE40" i="124"/>
  <c r="AE34" i="124" s="1"/>
  <c r="AE31" i="124" s="1"/>
  <c r="AF40" i="124"/>
  <c r="AF34" i="124" s="1"/>
  <c r="AF31" i="124" s="1"/>
  <c r="G33" i="124"/>
  <c r="G425" i="124"/>
  <c r="F72" i="48"/>
  <c r="K533" i="124"/>
  <c r="L531" i="124"/>
  <c r="M531" i="124"/>
  <c r="N531" i="124"/>
  <c r="O531" i="124"/>
  <c r="P531" i="124"/>
  <c r="Q531" i="124"/>
  <c r="R531" i="124"/>
  <c r="S531" i="124"/>
  <c r="T531" i="124"/>
  <c r="U531" i="124"/>
  <c r="V531" i="124"/>
  <c r="W531" i="124"/>
  <c r="X531" i="124"/>
  <c r="Y531" i="124"/>
  <c r="Z531" i="124"/>
  <c r="AA531" i="124"/>
  <c r="AB531" i="124"/>
  <c r="AC531" i="124"/>
  <c r="AD531" i="124"/>
  <c r="AE531" i="124"/>
  <c r="AF531" i="124"/>
  <c r="G536" i="124"/>
  <c r="E75" i="51" s="1"/>
  <c r="E73" i="51" l="1"/>
  <c r="H75" i="51"/>
  <c r="D72" i="48"/>
  <c r="E73" i="48"/>
  <c r="G79" i="124"/>
  <c r="AH282" i="124"/>
  <c r="K79" i="124" l="1"/>
  <c r="K291" i="124"/>
  <c r="K352" i="124"/>
  <c r="K349" i="124"/>
  <c r="K350" i="124"/>
  <c r="K351" i="124"/>
  <c r="K322" i="124"/>
  <c r="K267" i="124"/>
  <c r="K157" i="124"/>
  <c r="K125" i="124"/>
  <c r="G192" i="124"/>
  <c r="K192" i="124" l="1"/>
  <c r="K196" i="124"/>
  <c r="K193" i="124"/>
  <c r="F194" i="124"/>
  <c r="K194" i="124"/>
  <c r="F195" i="124"/>
  <c r="K195" i="124"/>
  <c r="F196" i="124"/>
  <c r="F197" i="124"/>
  <c r="K197" i="124"/>
  <c r="F198" i="124"/>
  <c r="K198" i="124"/>
  <c r="D68" i="164"/>
  <c r="J201" i="124"/>
  <c r="I201" i="124"/>
  <c r="D79" i="164"/>
  <c r="J103" i="124" l="1"/>
  <c r="L103" i="124"/>
  <c r="M103" i="124"/>
  <c r="N103" i="124"/>
  <c r="O103" i="124"/>
  <c r="P103" i="124"/>
  <c r="Q103" i="124"/>
  <c r="R103" i="124"/>
  <c r="S103" i="124"/>
  <c r="T103" i="124"/>
  <c r="U103" i="124"/>
  <c r="V103" i="124"/>
  <c r="W103" i="124"/>
  <c r="X103" i="124"/>
  <c r="Y103" i="124"/>
  <c r="Z103" i="124"/>
  <c r="AA103" i="124"/>
  <c r="AB103" i="124"/>
  <c r="AC103" i="124"/>
  <c r="AD103" i="124"/>
  <c r="AE103" i="124"/>
  <c r="AF103" i="124"/>
  <c r="I83" i="124"/>
  <c r="I82" i="124"/>
  <c r="D67" i="164"/>
  <c r="K83" i="124" l="1"/>
  <c r="K82" i="124"/>
  <c r="I103" i="124"/>
  <c r="K57" i="124" l="1"/>
  <c r="H265" i="124" l="1"/>
  <c r="I265" i="124"/>
  <c r="J265" i="124"/>
  <c r="L265" i="124"/>
  <c r="M265" i="124"/>
  <c r="N265" i="124"/>
  <c r="O265" i="124"/>
  <c r="P265" i="124"/>
  <c r="Q265" i="124"/>
  <c r="R265" i="124"/>
  <c r="S265" i="124"/>
  <c r="T265" i="124"/>
  <c r="U265" i="124"/>
  <c r="V265" i="124"/>
  <c r="W265" i="124"/>
  <c r="X265" i="124"/>
  <c r="Y265" i="124"/>
  <c r="Z265" i="124"/>
  <c r="AA265" i="124"/>
  <c r="AB265" i="124"/>
  <c r="AC265" i="124"/>
  <c r="AD265" i="124"/>
  <c r="AE265" i="124"/>
  <c r="AF265" i="124"/>
  <c r="K236" i="124"/>
  <c r="K235" i="124"/>
  <c r="H249" i="124"/>
  <c r="I249" i="124"/>
  <c r="J249" i="124"/>
  <c r="K252" i="124"/>
  <c r="I221" i="124"/>
  <c r="AH218" i="124"/>
  <c r="AH219" i="124" s="1"/>
  <c r="K219" i="124"/>
  <c r="K218" i="124"/>
  <c r="K220" i="124"/>
  <c r="K217" i="124"/>
  <c r="J159" i="124"/>
  <c r="L159" i="124"/>
  <c r="M159" i="124"/>
  <c r="N159" i="124"/>
  <c r="O159" i="124"/>
  <c r="P159" i="124"/>
  <c r="Q159" i="124"/>
  <c r="R159" i="124"/>
  <c r="S159" i="124"/>
  <c r="T159" i="124"/>
  <c r="U159" i="124"/>
  <c r="V159" i="124"/>
  <c r="W159" i="124"/>
  <c r="X159" i="124"/>
  <c r="Y159" i="124"/>
  <c r="Z159" i="124"/>
  <c r="AA159" i="124"/>
  <c r="AB159" i="124"/>
  <c r="AC159" i="124"/>
  <c r="AD159" i="124"/>
  <c r="AE159" i="124"/>
  <c r="AF159" i="124"/>
  <c r="I159" i="124"/>
  <c r="K164" i="124"/>
  <c r="K163" i="124"/>
  <c r="K152" i="124"/>
  <c r="K126" i="124"/>
  <c r="L118" i="124"/>
  <c r="M118" i="124"/>
  <c r="N118" i="124"/>
  <c r="O118" i="124"/>
  <c r="P118" i="124"/>
  <c r="Q118" i="124"/>
  <c r="R118" i="124"/>
  <c r="S118" i="124"/>
  <c r="T118" i="124"/>
  <c r="U118" i="124"/>
  <c r="V118" i="124"/>
  <c r="W118" i="124"/>
  <c r="X118" i="124"/>
  <c r="Y118" i="124"/>
  <c r="Z118" i="124"/>
  <c r="AA118" i="124"/>
  <c r="AB118" i="124"/>
  <c r="AC118" i="124"/>
  <c r="AD118" i="124"/>
  <c r="AE118" i="124"/>
  <c r="AF118" i="124"/>
  <c r="K117" i="124"/>
  <c r="K102" i="124"/>
  <c r="K101" i="124"/>
  <c r="K96" i="124"/>
  <c r="K24" i="124"/>
  <c r="I15" i="124"/>
  <c r="J15" i="124"/>
  <c r="K221" i="124" l="1"/>
  <c r="K165" i="124"/>
  <c r="G64" i="124" l="1"/>
  <c r="G68" i="124"/>
  <c r="K68" i="124" l="1"/>
  <c r="K64" i="124"/>
  <c r="K94" i="124"/>
  <c r="K95" i="124"/>
  <c r="I80" i="124"/>
  <c r="I78" i="124"/>
  <c r="K78" i="124" l="1"/>
  <c r="K80" i="124"/>
  <c r="K145" i="124"/>
  <c r="G143" i="124"/>
  <c r="G144" i="124"/>
  <c r="K183" i="124"/>
  <c r="K184" i="124"/>
  <c r="K185" i="124"/>
  <c r="K186" i="124"/>
  <c r="K179" i="124"/>
  <c r="K143" i="124" l="1"/>
  <c r="K141" i="124"/>
  <c r="I142" i="124"/>
  <c r="K142" i="124" s="1"/>
  <c r="G182" i="124"/>
  <c r="K182" i="124" l="1"/>
  <c r="I138" i="124"/>
  <c r="D47" i="164" l="1"/>
  <c r="D35" i="164" l="1"/>
  <c r="D77" i="164"/>
  <c r="D63" i="164"/>
  <c r="D178" i="164"/>
  <c r="D39" i="164"/>
  <c r="G37" i="124" l="1"/>
  <c r="G38" i="124"/>
  <c r="G36" i="124"/>
  <c r="G35" i="124" s="1"/>
  <c r="G39" i="124"/>
  <c r="G30" i="124"/>
  <c r="G29" i="124"/>
  <c r="G28" i="124" l="1"/>
  <c r="K38" i="124"/>
  <c r="K42" i="124"/>
  <c r="K43" i="124"/>
  <c r="K39" i="124"/>
  <c r="I34" i="124"/>
  <c r="I31" i="124" s="1"/>
  <c r="G34" i="124"/>
  <c r="K30" i="124"/>
  <c r="K41" i="124" l="1"/>
  <c r="K40" i="124" l="1"/>
  <c r="K146" i="124"/>
  <c r="I147" i="124"/>
  <c r="J147" i="124"/>
  <c r="K153" i="124"/>
  <c r="I154" i="124"/>
  <c r="J154" i="124"/>
  <c r="K158" i="124"/>
  <c r="K167" i="124"/>
  <c r="I189" i="124"/>
  <c r="J189" i="124"/>
  <c r="K200" i="124"/>
  <c r="K207" i="124"/>
  <c r="I208" i="124"/>
  <c r="J208" i="124"/>
  <c r="K212" i="124"/>
  <c r="K223" i="124"/>
  <c r="I213" i="124"/>
  <c r="J213" i="124"/>
  <c r="I224" i="124"/>
  <c r="J224" i="124"/>
  <c r="K229" i="124"/>
  <c r="G227" i="124"/>
  <c r="H231" i="124" l="1"/>
  <c r="I231" i="124"/>
  <c r="J231" i="124"/>
  <c r="G231" i="124"/>
  <c r="K233" i="124"/>
  <c r="K232" i="124"/>
  <c r="K231" i="124" l="1"/>
  <c r="D31" i="164" l="1"/>
  <c r="E13" i="164" s="1"/>
  <c r="D11" i="164" l="1"/>
  <c r="D10" i="164" l="1"/>
  <c r="D180" i="124"/>
  <c r="G178" i="124"/>
  <c r="G362" i="124"/>
  <c r="AH364" i="124"/>
  <c r="AH365" i="124" s="1"/>
  <c r="K178" i="124" l="1"/>
  <c r="K362" i="124"/>
  <c r="D9" i="164"/>
  <c r="D8" i="164"/>
  <c r="G326" i="124"/>
  <c r="G327" i="124"/>
  <c r="G328" i="124"/>
  <c r="G329" i="124"/>
  <c r="G330" i="124"/>
  <c r="G331" i="124"/>
  <c r="G332" i="124"/>
  <c r="G333" i="124"/>
  <c r="G334" i="124"/>
  <c r="G335" i="124"/>
  <c r="G336" i="124"/>
  <c r="G337" i="124"/>
  <c r="G338" i="124"/>
  <c r="G339" i="124"/>
  <c r="G340" i="124"/>
  <c r="G341" i="124"/>
  <c r="G325" i="124"/>
  <c r="L324" i="124"/>
  <c r="M324" i="124"/>
  <c r="N324" i="124"/>
  <c r="O324" i="124"/>
  <c r="P324" i="124"/>
  <c r="Q324" i="124"/>
  <c r="R324" i="124"/>
  <c r="S324" i="124"/>
  <c r="T324" i="124"/>
  <c r="U324" i="124"/>
  <c r="V324" i="124"/>
  <c r="W324" i="124"/>
  <c r="X324" i="124"/>
  <c r="Y324" i="124"/>
  <c r="Z324" i="124"/>
  <c r="AA324" i="124"/>
  <c r="AB324" i="124"/>
  <c r="AC324" i="124"/>
  <c r="AD324" i="124"/>
  <c r="AE324" i="124"/>
  <c r="AF324" i="124"/>
  <c r="AH324" i="124"/>
  <c r="AI324" i="124"/>
  <c r="H324" i="124"/>
  <c r="I324" i="124"/>
  <c r="J324" i="124"/>
  <c r="AJ326" i="124"/>
  <c r="AK326" i="124" s="1"/>
  <c r="AJ327" i="124"/>
  <c r="AK327" i="124" s="1"/>
  <c r="AJ328" i="124"/>
  <c r="AK328" i="124" s="1"/>
  <c r="AJ329" i="124"/>
  <c r="AK329" i="124" s="1"/>
  <c r="AJ330" i="124"/>
  <c r="AK330" i="124" s="1"/>
  <c r="AJ331" i="124"/>
  <c r="AK331" i="124" s="1"/>
  <c r="AJ332" i="124"/>
  <c r="AK332" i="124" s="1"/>
  <c r="AJ333" i="124"/>
  <c r="AK333" i="124" s="1"/>
  <c r="AJ334" i="124"/>
  <c r="AK334" i="124" s="1"/>
  <c r="AJ335" i="124"/>
  <c r="AK335" i="124" s="1"/>
  <c r="AJ336" i="124"/>
  <c r="AK336" i="124" s="1"/>
  <c r="AJ337" i="124"/>
  <c r="AK337" i="124" s="1"/>
  <c r="AJ338" i="124"/>
  <c r="AK338" i="124" s="1"/>
  <c r="AJ339" i="124"/>
  <c r="AK339" i="124" s="1"/>
  <c r="AJ340" i="124"/>
  <c r="AK340" i="124" s="1"/>
  <c r="AJ341" i="124"/>
  <c r="AK341" i="124" s="1"/>
  <c r="AJ325" i="124"/>
  <c r="AK325" i="124" s="1"/>
  <c r="AK324" i="124" l="1"/>
  <c r="AJ89" i="124"/>
  <c r="AJ324" i="124"/>
  <c r="D12" i="164" l="1"/>
  <c r="D6" i="164" s="1"/>
  <c r="G357" i="124"/>
  <c r="D343" i="124"/>
  <c r="G345" i="124"/>
  <c r="G73" i="124"/>
  <c r="K73" i="124" l="1"/>
  <c r="G347" i="124"/>
  <c r="F347" i="124" s="1"/>
  <c r="K347" i="124" l="1"/>
  <c r="G63" i="124"/>
  <c r="G67" i="124"/>
  <c r="G112" i="124"/>
  <c r="E114" i="124"/>
  <c r="G114" i="124" s="1"/>
  <c r="D114" i="124"/>
  <c r="G139" i="124"/>
  <c r="G119" i="124"/>
  <c r="G128" i="124"/>
  <c r="G88" i="124"/>
  <c r="I97" i="124"/>
  <c r="J97" i="124"/>
  <c r="D100" i="124"/>
  <c r="E100" i="124"/>
  <c r="G100" i="124" s="1"/>
  <c r="G98" i="124"/>
  <c r="G104" i="124"/>
  <c r="G148" i="124"/>
  <c r="G160" i="124"/>
  <c r="E172" i="124"/>
  <c r="K88" i="124" l="1"/>
  <c r="K104" i="124"/>
  <c r="K98" i="124"/>
  <c r="K119" i="124"/>
  <c r="K112" i="124"/>
  <c r="K128" i="124"/>
  <c r="K67" i="124"/>
  <c r="K139" i="124"/>
  <c r="K63" i="124"/>
  <c r="D5" i="164"/>
  <c r="K114" i="124"/>
  <c r="F114" i="124"/>
  <c r="K100" i="124"/>
  <c r="F100" i="124"/>
  <c r="G170" i="124" l="1"/>
  <c r="G181" i="124" l="1"/>
  <c r="G180" i="124"/>
  <c r="G190" i="124"/>
  <c r="K227" i="124"/>
  <c r="K180" i="124" l="1"/>
  <c r="K181" i="124"/>
  <c r="G90" i="124"/>
  <c r="G202" i="124"/>
  <c r="G209" i="124"/>
  <c r="G214" i="124"/>
  <c r="G225" i="124"/>
  <c r="G263" i="124"/>
  <c r="G262" i="124"/>
  <c r="G259" i="124"/>
  <c r="G258" i="124"/>
  <c r="G255" i="124"/>
  <c r="G254" i="124"/>
  <c r="G250" i="124"/>
  <c r="G247" i="124"/>
  <c r="G246" i="124"/>
  <c r="G238" i="124"/>
  <c r="K247" i="124" l="1"/>
  <c r="K90" i="124"/>
  <c r="G314" i="124"/>
  <c r="G88" i="161" l="1"/>
  <c r="G84" i="161"/>
  <c r="G81" i="161"/>
  <c r="G76" i="161"/>
  <c r="G75" i="161"/>
  <c r="F74" i="161"/>
  <c r="G74" i="161" s="1"/>
  <c r="E74" i="161"/>
  <c r="G73" i="161"/>
  <c r="G72" i="161"/>
  <c r="F72" i="161"/>
  <c r="E72" i="161"/>
  <c r="G71" i="161"/>
  <c r="E71" i="161"/>
  <c r="E70" i="161"/>
  <c r="D70" i="161"/>
  <c r="C70" i="161"/>
  <c r="G69" i="161"/>
  <c r="G68" i="161"/>
  <c r="G67" i="161"/>
  <c r="G65" i="161"/>
  <c r="F65" i="161"/>
  <c r="E65" i="161"/>
  <c r="G64" i="161"/>
  <c r="E62" i="161"/>
  <c r="E61" i="161"/>
  <c r="E60" i="161" s="1"/>
  <c r="D60" i="161"/>
  <c r="C60" i="161"/>
  <c r="G59" i="161"/>
  <c r="F58" i="161"/>
  <c r="G58" i="161" s="1"/>
  <c r="G57" i="161"/>
  <c r="F56" i="161"/>
  <c r="E56" i="161"/>
  <c r="G56" i="161" s="1"/>
  <c r="G55" i="161"/>
  <c r="E52" i="161"/>
  <c r="E51" i="161" s="1"/>
  <c r="D51" i="161"/>
  <c r="C51" i="161"/>
  <c r="G50" i="161"/>
  <c r="F48" i="161"/>
  <c r="E48" i="161"/>
  <c r="G48" i="161" s="1"/>
  <c r="G47" i="161"/>
  <c r="E44" i="161"/>
  <c r="E43" i="161" s="1"/>
  <c r="D43" i="161"/>
  <c r="D42" i="161" s="1"/>
  <c r="C43" i="161"/>
  <c r="G49" i="161" s="1"/>
  <c r="C42" i="161"/>
  <c r="G38" i="161"/>
  <c r="G35" i="161"/>
  <c r="G30" i="161"/>
  <c r="G23" i="161"/>
  <c r="C19" i="161"/>
  <c r="G18" i="161"/>
  <c r="G14" i="161"/>
  <c r="E14" i="161"/>
  <c r="E13" i="161"/>
  <c r="E12" i="161"/>
  <c r="E11" i="161"/>
  <c r="E10" i="161"/>
  <c r="G9" i="161"/>
  <c r="E9" i="161"/>
  <c r="D7" i="161"/>
  <c r="C7" i="161"/>
  <c r="D6" i="161"/>
  <c r="C6" i="161"/>
  <c r="G60" i="161" l="1"/>
  <c r="G51" i="161"/>
  <c r="G70" i="161"/>
  <c r="G43" i="161"/>
  <c r="E42" i="161"/>
  <c r="G42" i="161"/>
  <c r="E7" i="161"/>
  <c r="E6" i="161" s="1"/>
  <c r="U17" i="124" l="1"/>
  <c r="G476" i="124" l="1"/>
  <c r="A3" i="51" l="1"/>
  <c r="A4" i="124" l="1"/>
  <c r="A3" i="161" l="1"/>
  <c r="A2" i="164"/>
  <c r="C61" i="124"/>
  <c r="I62" i="124" l="1"/>
  <c r="I61" i="124" s="1"/>
  <c r="J62" i="124"/>
  <c r="J61" i="124" s="1"/>
  <c r="G57" i="48" l="1"/>
  <c r="F58" i="48"/>
  <c r="F57" i="48"/>
  <c r="H529" i="124" l="1"/>
  <c r="I529" i="124"/>
  <c r="J529" i="124"/>
  <c r="G529" i="124"/>
  <c r="K530" i="124"/>
  <c r="G71" i="51" s="1"/>
  <c r="H476" i="124"/>
  <c r="I476" i="124"/>
  <c r="J476" i="124"/>
  <c r="H477" i="124"/>
  <c r="I477" i="124"/>
  <c r="J477" i="124"/>
  <c r="G477" i="124"/>
  <c r="K519" i="124"/>
  <c r="K518" i="124"/>
  <c r="H517" i="124"/>
  <c r="I517" i="124"/>
  <c r="J517" i="124"/>
  <c r="G517" i="124"/>
  <c r="K516" i="124"/>
  <c r="K515" i="124"/>
  <c r="J514" i="124"/>
  <c r="I514" i="124"/>
  <c r="H514" i="124"/>
  <c r="G514" i="124"/>
  <c r="K513" i="124"/>
  <c r="K512" i="124"/>
  <c r="J511" i="124"/>
  <c r="I511" i="124"/>
  <c r="H511" i="124"/>
  <c r="G511" i="124"/>
  <c r="K510" i="124"/>
  <c r="K509" i="124"/>
  <c r="J508" i="124"/>
  <c r="I508" i="124"/>
  <c r="H508" i="124"/>
  <c r="G508" i="124"/>
  <c r="J505" i="124"/>
  <c r="I505" i="124"/>
  <c r="H505" i="124"/>
  <c r="G505" i="124"/>
  <c r="J502" i="124"/>
  <c r="I502" i="124"/>
  <c r="H502" i="124"/>
  <c r="G502" i="124"/>
  <c r="J499" i="124"/>
  <c r="I499" i="124"/>
  <c r="H499" i="124"/>
  <c r="G499" i="124"/>
  <c r="J496" i="124"/>
  <c r="I496" i="124"/>
  <c r="H496" i="124"/>
  <c r="G496" i="124"/>
  <c r="J493" i="124"/>
  <c r="I493" i="124"/>
  <c r="H493" i="124"/>
  <c r="G493" i="124"/>
  <c r="J490" i="124"/>
  <c r="I490" i="124"/>
  <c r="H490" i="124"/>
  <c r="G490" i="124"/>
  <c r="J487" i="124"/>
  <c r="I487" i="124"/>
  <c r="H487" i="124"/>
  <c r="G487" i="124"/>
  <c r="H484" i="124"/>
  <c r="I484" i="124"/>
  <c r="J484" i="124"/>
  <c r="G484" i="124"/>
  <c r="H481" i="124"/>
  <c r="I481" i="124"/>
  <c r="J481" i="124"/>
  <c r="G481" i="124"/>
  <c r="K482" i="124"/>
  <c r="K483" i="124"/>
  <c r="K485" i="124"/>
  <c r="K486" i="124"/>
  <c r="K488" i="124"/>
  <c r="K489" i="124"/>
  <c r="K491" i="124"/>
  <c r="K492" i="124"/>
  <c r="K494" i="124"/>
  <c r="K495" i="124"/>
  <c r="K497" i="124"/>
  <c r="K498" i="124"/>
  <c r="K500" i="124"/>
  <c r="K501" i="124"/>
  <c r="K503" i="124"/>
  <c r="K504" i="124"/>
  <c r="K506" i="124"/>
  <c r="K507" i="124"/>
  <c r="K480" i="124"/>
  <c r="K479" i="124"/>
  <c r="H478" i="124"/>
  <c r="I478" i="124"/>
  <c r="J478" i="124"/>
  <c r="G478" i="124"/>
  <c r="G52" i="51" l="1"/>
  <c r="H71" i="51"/>
  <c r="E58" i="48"/>
  <c r="K529" i="124"/>
  <c r="G70" i="51" s="1"/>
  <c r="K521" i="124"/>
  <c r="K517" i="124"/>
  <c r="K478" i="124"/>
  <c r="K508" i="124"/>
  <c r="K514" i="124"/>
  <c r="E57" i="48"/>
  <c r="C71" i="51"/>
  <c r="M478" i="124"/>
  <c r="K511" i="124"/>
  <c r="K477" i="124"/>
  <c r="K490" i="124"/>
  <c r="K476" i="124"/>
  <c r="K493" i="124"/>
  <c r="K487" i="124"/>
  <c r="K496" i="124"/>
  <c r="K502" i="124"/>
  <c r="K505" i="124"/>
  <c r="K499" i="124"/>
  <c r="K484" i="124"/>
  <c r="K481" i="124"/>
  <c r="G51" i="51" l="1"/>
  <c r="H51" i="51" s="1"/>
  <c r="H52" i="51"/>
  <c r="H70" i="51"/>
  <c r="N476" i="124"/>
  <c r="N477" i="124"/>
  <c r="I273" i="124"/>
  <c r="P284" i="124" l="1"/>
  <c r="M284" i="124" s="1"/>
  <c r="P285" i="124"/>
  <c r="M285" i="124" s="1"/>
  <c r="P283" i="124"/>
  <c r="M283" i="124" s="1"/>
  <c r="O282" i="124"/>
  <c r="O274" i="124"/>
  <c r="K222" i="124"/>
  <c r="K205" i="124"/>
  <c r="O273" i="124" l="1"/>
  <c r="M282" i="124"/>
  <c r="M273" i="124" s="1"/>
  <c r="H526" i="124" l="1"/>
  <c r="I526" i="124"/>
  <c r="J526" i="124"/>
  <c r="G525" i="124" l="1"/>
  <c r="J525" i="124"/>
  <c r="J524" i="124"/>
  <c r="J417" i="124" s="1"/>
  <c r="I525" i="124"/>
  <c r="I524" i="124"/>
  <c r="I417" i="124" s="1"/>
  <c r="H525" i="124"/>
  <c r="H524" i="124"/>
  <c r="H417" i="124" s="1"/>
  <c r="H27" i="124"/>
  <c r="H25" i="124" s="1"/>
  <c r="H22" i="124"/>
  <c r="O22" i="124"/>
  <c r="H32" i="124"/>
  <c r="I32" i="124"/>
  <c r="J32" i="124"/>
  <c r="G467" i="124"/>
  <c r="G416" i="124" s="1"/>
  <c r="G520" i="124" l="1"/>
  <c r="J523" i="124"/>
  <c r="H523" i="124"/>
  <c r="I523" i="124"/>
  <c r="I416" i="124" s="1"/>
  <c r="K467" i="124"/>
  <c r="C68" i="51"/>
  <c r="H20" i="124"/>
  <c r="D38" i="49"/>
  <c r="K204" i="124"/>
  <c r="H411" i="124"/>
  <c r="I411" i="124"/>
  <c r="J411" i="124"/>
  <c r="H522" i="124" l="1"/>
  <c r="H521" i="124" s="1"/>
  <c r="H520" i="124" s="1"/>
  <c r="H416" i="124"/>
  <c r="J522" i="124"/>
  <c r="J521" i="124" s="1"/>
  <c r="J520" i="124" s="1"/>
  <c r="J416" i="124"/>
  <c r="I522" i="124"/>
  <c r="D17" i="125"/>
  <c r="I521" i="124" l="1"/>
  <c r="D16" i="125"/>
  <c r="I520" i="124" l="1"/>
  <c r="G433" i="124"/>
  <c r="D12" i="48" l="1"/>
  <c r="D9" i="125"/>
  <c r="D11" i="48"/>
  <c r="F10" i="48" l="1"/>
  <c r="G10" i="48"/>
  <c r="G68" i="48"/>
  <c r="G61" i="48"/>
  <c r="G59" i="48" s="1"/>
  <c r="G50" i="48"/>
  <c r="G51" i="48"/>
  <c r="G36" i="48"/>
  <c r="G31" i="48" s="1"/>
  <c r="E56" i="48"/>
  <c r="F56" i="48"/>
  <c r="G56" i="48"/>
  <c r="D57" i="48"/>
  <c r="D58" i="48"/>
  <c r="G55" i="48"/>
  <c r="G54" i="48"/>
  <c r="F55" i="48"/>
  <c r="F54" i="48"/>
  <c r="C36" i="51"/>
  <c r="E36" i="51" s="1"/>
  <c r="H36" i="51" s="1"/>
  <c r="C37" i="51"/>
  <c r="E37" i="51" s="1"/>
  <c r="H37" i="51" s="1"/>
  <c r="C35" i="51"/>
  <c r="K471" i="124"/>
  <c r="K470" i="124"/>
  <c r="H469" i="124"/>
  <c r="I469" i="124"/>
  <c r="J469" i="124"/>
  <c r="G468" i="124"/>
  <c r="G417" i="124" s="1"/>
  <c r="K528" i="124"/>
  <c r="G69" i="51" s="1"/>
  <c r="K527" i="124"/>
  <c r="G68" i="51" s="1"/>
  <c r="L526" i="124"/>
  <c r="H472" i="124"/>
  <c r="I472" i="124"/>
  <c r="J472" i="124"/>
  <c r="K474" i="124"/>
  <c r="K473" i="124"/>
  <c r="G472" i="124"/>
  <c r="G49" i="51" l="1"/>
  <c r="H68" i="51"/>
  <c r="G67" i="51"/>
  <c r="G50" i="51"/>
  <c r="H50" i="51" s="1"/>
  <c r="H69" i="51"/>
  <c r="C34" i="51"/>
  <c r="E35" i="51"/>
  <c r="H35" i="51" s="1"/>
  <c r="K526" i="124"/>
  <c r="D56" i="48"/>
  <c r="K468" i="124"/>
  <c r="C69" i="51"/>
  <c r="D55" i="48"/>
  <c r="D54" i="48"/>
  <c r="G53" i="48"/>
  <c r="G48" i="48"/>
  <c r="G47" i="48"/>
  <c r="G49" i="48"/>
  <c r="K472" i="124"/>
  <c r="K469" i="124"/>
  <c r="E34" i="51" l="1"/>
  <c r="H34" i="51" s="1"/>
  <c r="H67" i="51"/>
  <c r="G66" i="51"/>
  <c r="H66" i="51" s="1"/>
  <c r="G48" i="51"/>
  <c r="H49" i="51"/>
  <c r="K525" i="124"/>
  <c r="G52" i="48"/>
  <c r="G47" i="51" l="1"/>
  <c r="H48" i="51"/>
  <c r="K520" i="124"/>
  <c r="G73" i="48"/>
  <c r="F70" i="48"/>
  <c r="F69" i="48"/>
  <c r="E65" i="48"/>
  <c r="G65" i="48"/>
  <c r="H65" i="48"/>
  <c r="F67" i="48"/>
  <c r="F66" i="48"/>
  <c r="E63" i="48"/>
  <c r="E62" i="48"/>
  <c r="F63" i="48"/>
  <c r="F62" i="48"/>
  <c r="K427" i="124"/>
  <c r="K424" i="124" s="1"/>
  <c r="K417" i="124" s="1"/>
  <c r="K426" i="124"/>
  <c r="K423" i="124" s="1"/>
  <c r="H425" i="124"/>
  <c r="I425" i="124"/>
  <c r="J425" i="124"/>
  <c r="K422" i="124" l="1"/>
  <c r="K416" i="124"/>
  <c r="G32" i="51"/>
  <c r="H47" i="51"/>
  <c r="D66" i="48"/>
  <c r="G64" i="48"/>
  <c r="G46" i="48"/>
  <c r="G45" i="48" s="1"/>
  <c r="F61" i="48"/>
  <c r="F65" i="48"/>
  <c r="D62" i="48"/>
  <c r="D63" i="48"/>
  <c r="D67" i="48"/>
  <c r="K425" i="124"/>
  <c r="D65" i="48" l="1"/>
  <c r="C72" i="51"/>
  <c r="C70" i="51" s="1"/>
  <c r="K537" i="124"/>
  <c r="H535" i="124"/>
  <c r="I535" i="124"/>
  <c r="J535" i="124"/>
  <c r="H532" i="124"/>
  <c r="H531" i="124" s="1"/>
  <c r="I532" i="124"/>
  <c r="J532" i="124"/>
  <c r="J531" i="124" s="1"/>
  <c r="G532" i="124"/>
  <c r="K534" i="124"/>
  <c r="I531" i="124" l="1"/>
  <c r="K532" i="124"/>
  <c r="C74" i="51"/>
  <c r="F74" i="51" s="1"/>
  <c r="C50" i="51"/>
  <c r="K536" i="124"/>
  <c r="C55" i="51"/>
  <c r="C67" i="51"/>
  <c r="C49" i="51"/>
  <c r="C48" i="51" s="1"/>
  <c r="G535" i="124"/>
  <c r="F73" i="51" l="1"/>
  <c r="H74" i="51"/>
  <c r="C75" i="51"/>
  <c r="C73" i="51" s="1"/>
  <c r="K535" i="124"/>
  <c r="G531" i="124"/>
  <c r="I73" i="51" s="1"/>
  <c r="C66" i="51"/>
  <c r="F32" i="51" l="1"/>
  <c r="F7" i="51" s="1"/>
  <c r="H73" i="51"/>
  <c r="K531" i="124"/>
  <c r="L414" i="124"/>
  <c r="H415" i="124"/>
  <c r="I415" i="124"/>
  <c r="J415" i="124"/>
  <c r="K415" i="124"/>
  <c r="G466" i="124"/>
  <c r="G475" i="124"/>
  <c r="H466" i="124"/>
  <c r="I466" i="124"/>
  <c r="J466" i="124"/>
  <c r="K466" i="124"/>
  <c r="H475" i="124"/>
  <c r="I475" i="124"/>
  <c r="J475" i="124"/>
  <c r="K475" i="124"/>
  <c r="L431" i="124"/>
  <c r="L421" i="124" s="1"/>
  <c r="G437" i="124"/>
  <c r="K436" i="124"/>
  <c r="H440" i="124"/>
  <c r="I440" i="124"/>
  <c r="J440" i="124"/>
  <c r="K442" i="124"/>
  <c r="K441" i="124"/>
  <c r="G440" i="124"/>
  <c r="AH408" i="124" s="1"/>
  <c r="H432" i="124"/>
  <c r="I432" i="124"/>
  <c r="J432" i="124"/>
  <c r="H433" i="124"/>
  <c r="I433" i="124"/>
  <c r="J433" i="124"/>
  <c r="K439" i="124"/>
  <c r="K438" i="124"/>
  <c r="H437" i="124"/>
  <c r="I437" i="124"/>
  <c r="J437" i="124"/>
  <c r="H434" i="124"/>
  <c r="I434" i="124"/>
  <c r="J434" i="124"/>
  <c r="J465" i="124" l="1"/>
  <c r="I465" i="124"/>
  <c r="H465" i="124"/>
  <c r="K465" i="124"/>
  <c r="G465" i="124"/>
  <c r="G432" i="124"/>
  <c r="E69" i="48"/>
  <c r="J431" i="124"/>
  <c r="I431" i="124"/>
  <c r="H431" i="124"/>
  <c r="C60" i="51"/>
  <c r="E70" i="48"/>
  <c r="G415" i="124"/>
  <c r="G434" i="124"/>
  <c r="K435" i="124"/>
  <c r="K433" i="124"/>
  <c r="K440" i="124"/>
  <c r="K437" i="124"/>
  <c r="D70" i="48" l="1"/>
  <c r="D69" i="48"/>
  <c r="AH416" i="124"/>
  <c r="I66" i="51"/>
  <c r="K434" i="124"/>
  <c r="C59" i="51"/>
  <c r="G431" i="124"/>
  <c r="K432" i="124"/>
  <c r="C58" i="51" l="1"/>
  <c r="C54" i="51" s="1"/>
  <c r="K431" i="124"/>
  <c r="E34" i="48"/>
  <c r="E35" i="48"/>
  <c r="E33" i="48"/>
  <c r="L303" i="124"/>
  <c r="L273" i="124" s="1"/>
  <c r="K306" i="124"/>
  <c r="K305" i="124"/>
  <c r="K304" i="124"/>
  <c r="C43" i="51"/>
  <c r="E43" i="51" s="1"/>
  <c r="H43" i="51" s="1"/>
  <c r="E71" i="48"/>
  <c r="F71" i="48"/>
  <c r="G71" i="48"/>
  <c r="G30" i="48" s="1"/>
  <c r="D73" i="48"/>
  <c r="E28" i="48"/>
  <c r="C28" i="48"/>
  <c r="F17" i="48"/>
  <c r="D58" i="125"/>
  <c r="D33" i="125" s="1"/>
  <c r="D33" i="49"/>
  <c r="D32" i="49"/>
  <c r="D31" i="49"/>
  <c r="D28" i="49"/>
  <c r="D27" i="49"/>
  <c r="D22" i="49"/>
  <c r="D23" i="49"/>
  <c r="D20" i="49"/>
  <c r="D21" i="49"/>
  <c r="D16" i="49"/>
  <c r="D17" i="49"/>
  <c r="D15" i="49"/>
  <c r="D12" i="49"/>
  <c r="C33" i="125" l="1"/>
  <c r="D26" i="49"/>
  <c r="K303" i="124"/>
  <c r="D71" i="48"/>
  <c r="F303" i="124"/>
  <c r="E32" i="48"/>
  <c r="D7" i="158" l="1"/>
  <c r="D9" i="158"/>
  <c r="D10" i="158"/>
  <c r="D8" i="158"/>
  <c r="N10" i="158"/>
  <c r="H10" i="158"/>
  <c r="P10" i="158" s="1"/>
  <c r="E7" i="158"/>
  <c r="F7" i="158"/>
  <c r="G7" i="158"/>
  <c r="H7" i="158"/>
  <c r="I7" i="158"/>
  <c r="J7" i="158"/>
  <c r="K7" i="158"/>
  <c r="L7" i="158"/>
  <c r="M7" i="158"/>
  <c r="N7" i="158"/>
  <c r="O7" i="158"/>
  <c r="P7" i="158"/>
  <c r="O9" i="158"/>
  <c r="P9" i="158"/>
  <c r="O10" i="158"/>
  <c r="O8" i="158"/>
  <c r="H9" i="158"/>
  <c r="H8" i="158"/>
  <c r="N72" i="158"/>
  <c r="M72" i="158"/>
  <c r="L72" i="158"/>
  <c r="G72" i="158"/>
  <c r="F72" i="158"/>
  <c r="E72" i="158"/>
  <c r="U71" i="158"/>
  <c r="T71" i="158"/>
  <c r="V71" i="158" s="1"/>
  <c r="Q71" i="158"/>
  <c r="K71" i="158"/>
  <c r="H71" i="158"/>
  <c r="P71" i="158" s="1"/>
  <c r="R71" i="158" s="1"/>
  <c r="V70" i="158"/>
  <c r="U70" i="158"/>
  <c r="T70" i="158"/>
  <c r="Q70" i="158"/>
  <c r="K70" i="158"/>
  <c r="K72" i="158" s="1"/>
  <c r="H70" i="158"/>
  <c r="P70" i="158" s="1"/>
  <c r="R70" i="158" s="1"/>
  <c r="S70" i="158" s="1"/>
  <c r="W70" i="158" s="1"/>
  <c r="U69" i="158"/>
  <c r="T69" i="158"/>
  <c r="V69" i="158" s="1"/>
  <c r="Q69" i="158"/>
  <c r="S69" i="158" s="1"/>
  <c r="W69" i="158" s="1"/>
  <c r="P69" i="158"/>
  <c r="R69" i="158" s="1"/>
  <c r="J69" i="158"/>
  <c r="H69" i="158"/>
  <c r="U66" i="158"/>
  <c r="T66" i="158"/>
  <c r="V66" i="158" s="1"/>
  <c r="Q66" i="158"/>
  <c r="J66" i="158"/>
  <c r="H66" i="158"/>
  <c r="P66" i="158" s="1"/>
  <c r="R66" i="158" s="1"/>
  <c r="S66" i="158" s="1"/>
  <c r="W66" i="158" s="1"/>
  <c r="U65" i="158"/>
  <c r="T65" i="158"/>
  <c r="V65" i="158" s="1"/>
  <c r="Q65" i="158"/>
  <c r="P65" i="158"/>
  <c r="R65" i="158" s="1"/>
  <c r="J65" i="158"/>
  <c r="H65" i="158"/>
  <c r="V64" i="158"/>
  <c r="U64" i="158"/>
  <c r="T64" i="158"/>
  <c r="Q64" i="158"/>
  <c r="N64" i="158"/>
  <c r="J64" i="158"/>
  <c r="P64" i="158" s="1"/>
  <c r="R64" i="158" s="1"/>
  <c r="H64" i="158"/>
  <c r="U63" i="158"/>
  <c r="V63" i="158" s="1"/>
  <c r="T63" i="158"/>
  <c r="Q63" i="158"/>
  <c r="J63" i="158"/>
  <c r="I63" i="158"/>
  <c r="I72" i="158" s="1"/>
  <c r="H63" i="158"/>
  <c r="P63" i="158" s="1"/>
  <c r="R63" i="158" s="1"/>
  <c r="U62" i="158"/>
  <c r="T62" i="158"/>
  <c r="V62" i="158" s="1"/>
  <c r="Q62" i="158"/>
  <c r="N62" i="158"/>
  <c r="J62" i="158"/>
  <c r="H62" i="158"/>
  <c r="P62" i="158" s="1"/>
  <c r="R62" i="158" s="1"/>
  <c r="U61" i="158"/>
  <c r="T61" i="158"/>
  <c r="V61" i="158" s="1"/>
  <c r="Q61" i="158"/>
  <c r="N61" i="158"/>
  <c r="H61" i="158"/>
  <c r="P61" i="158" s="1"/>
  <c r="R61" i="158" s="1"/>
  <c r="S61" i="158" s="1"/>
  <c r="W61" i="158" s="1"/>
  <c r="U60" i="158"/>
  <c r="V60" i="158" s="1"/>
  <c r="T60" i="158"/>
  <c r="Q60" i="158"/>
  <c r="N60" i="158"/>
  <c r="H60" i="158"/>
  <c r="P60" i="158" s="1"/>
  <c r="R60" i="158" s="1"/>
  <c r="U59" i="158"/>
  <c r="T59" i="158"/>
  <c r="V59" i="158" s="1"/>
  <c r="Q59" i="158"/>
  <c r="H59" i="158"/>
  <c r="P59" i="158" s="1"/>
  <c r="R59" i="158" s="1"/>
  <c r="S59" i="158" s="1"/>
  <c r="W59" i="158" s="1"/>
  <c r="U58" i="158"/>
  <c r="T58" i="158"/>
  <c r="V58" i="158" s="1"/>
  <c r="Q58" i="158"/>
  <c r="P58" i="158"/>
  <c r="R58" i="158" s="1"/>
  <c r="N58" i="158"/>
  <c r="H58" i="158"/>
  <c r="V57" i="158"/>
  <c r="U57" i="158"/>
  <c r="T57" i="158"/>
  <c r="Q57" i="158"/>
  <c r="S57" i="158" s="1"/>
  <c r="W57" i="158" s="1"/>
  <c r="H57" i="158"/>
  <c r="P57" i="158" s="1"/>
  <c r="R57" i="158" s="1"/>
  <c r="U56" i="158"/>
  <c r="T56" i="158"/>
  <c r="V56" i="158" s="1"/>
  <c r="Q56" i="158"/>
  <c r="H56" i="158"/>
  <c r="P56" i="158" s="1"/>
  <c r="R56" i="158" s="1"/>
  <c r="S56" i="158" s="1"/>
  <c r="W56" i="158" s="1"/>
  <c r="U55" i="158"/>
  <c r="T55" i="158"/>
  <c r="V55" i="158" s="1"/>
  <c r="Q55" i="158"/>
  <c r="P55" i="158"/>
  <c r="R55" i="158" s="1"/>
  <c r="H55" i="158"/>
  <c r="U54" i="158"/>
  <c r="T54" i="158"/>
  <c r="V54" i="158" s="1"/>
  <c r="Q54" i="158"/>
  <c r="H54" i="158"/>
  <c r="P54" i="158" s="1"/>
  <c r="R54" i="158" s="1"/>
  <c r="V53" i="158"/>
  <c r="U53" i="158"/>
  <c r="T53" i="158"/>
  <c r="Q53" i="158"/>
  <c r="S53" i="158" s="1"/>
  <c r="W53" i="158" s="1"/>
  <c r="H53" i="158"/>
  <c r="P53" i="158" s="1"/>
  <c r="R53" i="158" s="1"/>
  <c r="U52" i="158"/>
  <c r="T52" i="158"/>
  <c r="V52" i="158" s="1"/>
  <c r="Q52" i="158"/>
  <c r="J52" i="158"/>
  <c r="J72" i="158" s="1"/>
  <c r="H52" i="158"/>
  <c r="P52" i="158" s="1"/>
  <c r="R52" i="158" s="1"/>
  <c r="S52" i="158" s="1"/>
  <c r="W52" i="158" s="1"/>
  <c r="U51" i="158"/>
  <c r="U72" i="158" s="1"/>
  <c r="T51" i="158"/>
  <c r="Q51" i="158"/>
  <c r="Q72" i="158" s="1"/>
  <c r="J51" i="158"/>
  <c r="H51" i="158"/>
  <c r="P51" i="158" s="1"/>
  <c r="E12" i="158"/>
  <c r="U11" i="158"/>
  <c r="T11" i="158"/>
  <c r="Q11" i="158"/>
  <c r="L11" i="158"/>
  <c r="K11" i="158"/>
  <c r="J11" i="158"/>
  <c r="I11" i="158"/>
  <c r="G11" i="158"/>
  <c r="F11" i="158"/>
  <c r="E11" i="158"/>
  <c r="O11" i="158" s="1"/>
  <c r="D11" i="158" s="1"/>
  <c r="V8" i="158"/>
  <c r="V11" i="158" s="1"/>
  <c r="U8" i="158"/>
  <c r="T8" i="158"/>
  <c r="Q8" i="158"/>
  <c r="H11" i="158"/>
  <c r="S58" i="158" l="1"/>
  <c r="W58" i="158" s="1"/>
  <c r="P72" i="158"/>
  <c r="R51" i="158"/>
  <c r="R72" i="158" s="1"/>
  <c r="S71" i="158"/>
  <c r="W71" i="158" s="1"/>
  <c r="S63" i="158"/>
  <c r="W63" i="158" s="1"/>
  <c r="S65" i="158"/>
  <c r="W65" i="158" s="1"/>
  <c r="S54" i="158"/>
  <c r="W54" i="158" s="1"/>
  <c r="S62" i="158"/>
  <c r="W62" i="158" s="1"/>
  <c r="S64" i="158"/>
  <c r="W64" i="158" s="1"/>
  <c r="S55" i="158"/>
  <c r="W55" i="158" s="1"/>
  <c r="S60" i="158"/>
  <c r="W60" i="158" s="1"/>
  <c r="V51" i="158"/>
  <c r="V72" i="158" s="1"/>
  <c r="P8" i="158"/>
  <c r="T72" i="158"/>
  <c r="H72" i="158"/>
  <c r="S51" i="158"/>
  <c r="P11" i="158" l="1"/>
  <c r="R8" i="158"/>
  <c r="W51" i="158"/>
  <c r="W72" i="158" s="1"/>
  <c r="S72" i="158"/>
  <c r="R11" i="158" l="1"/>
  <c r="S11" i="158" s="1"/>
  <c r="S8" i="158"/>
  <c r="W8" i="158" s="1"/>
  <c r="W11" i="158" s="1"/>
  <c r="I18" i="156" l="1"/>
  <c r="I16" i="156"/>
  <c r="F12" i="156"/>
  <c r="F16" i="156"/>
  <c r="H16" i="156" s="1"/>
  <c r="C18" i="156"/>
  <c r="C16" i="156" s="1"/>
  <c r="F11" i="156"/>
  <c r="H11" i="156" s="1"/>
  <c r="C13" i="156"/>
  <c r="E13" i="156" s="1"/>
  <c r="I13" i="156"/>
  <c r="K13" i="156" s="1"/>
  <c r="I15" i="156"/>
  <c r="K15" i="156" s="1"/>
  <c r="I17" i="156"/>
  <c r="K17" i="156" s="1"/>
  <c r="C14" i="156"/>
  <c r="E14" i="156" s="1"/>
  <c r="I10" i="156"/>
  <c r="K10" i="156" s="1"/>
  <c r="H18" i="156"/>
  <c r="H17" i="156"/>
  <c r="H15" i="156"/>
  <c r="H14" i="156"/>
  <c r="H13" i="156"/>
  <c r="H12" i="156" s="1"/>
  <c r="H10" i="156"/>
  <c r="E15" i="156"/>
  <c r="E17" i="156"/>
  <c r="E10" i="156"/>
  <c r="C11" i="156"/>
  <c r="D89" i="124"/>
  <c r="E89" i="124"/>
  <c r="G89" i="124" s="1"/>
  <c r="E12" i="156" l="1"/>
  <c r="E18" i="156"/>
  <c r="F9" i="156"/>
  <c r="F8" i="156" s="1"/>
  <c r="H9" i="156"/>
  <c r="H8" i="156" s="1"/>
  <c r="C12" i="156"/>
  <c r="I11" i="156"/>
  <c r="K11" i="156" s="1"/>
  <c r="K9" i="156" s="1"/>
  <c r="C9" i="156"/>
  <c r="K16" i="156"/>
  <c r="E16" i="156"/>
  <c r="E11" i="156"/>
  <c r="E9" i="156" s="1"/>
  <c r="E8" i="156" s="1"/>
  <c r="I14" i="156"/>
  <c r="I12" i="156" s="1"/>
  <c r="K89" i="124"/>
  <c r="F89" i="124"/>
  <c r="C8" i="156" l="1"/>
  <c r="I9" i="156"/>
  <c r="I8" i="156" s="1"/>
  <c r="K14" i="156"/>
  <c r="K12" i="156" s="1"/>
  <c r="K8" i="156" s="1"/>
  <c r="H74" i="48" l="1"/>
  <c r="C74" i="48"/>
  <c r="O9" i="124" s="1"/>
  <c r="H445" i="124" l="1"/>
  <c r="H419" i="124" s="1"/>
  <c r="I445" i="124"/>
  <c r="J445" i="124"/>
  <c r="J419" i="124" s="1"/>
  <c r="H446" i="124"/>
  <c r="H420" i="124" s="1"/>
  <c r="I446" i="124"/>
  <c r="J446" i="124"/>
  <c r="J420" i="124" s="1"/>
  <c r="G446" i="124"/>
  <c r="G445" i="124"/>
  <c r="K464" i="124"/>
  <c r="K463" i="124"/>
  <c r="H462" i="124"/>
  <c r="I462" i="124"/>
  <c r="J462" i="124"/>
  <c r="G462" i="124"/>
  <c r="K461" i="124"/>
  <c r="K460" i="124"/>
  <c r="J459" i="124"/>
  <c r="I459" i="124"/>
  <c r="H459" i="124"/>
  <c r="G459" i="124"/>
  <c r="H453" i="124"/>
  <c r="I453" i="124"/>
  <c r="J453" i="124"/>
  <c r="G453" i="124"/>
  <c r="K455" i="124"/>
  <c r="K454" i="124"/>
  <c r="K449" i="124"/>
  <c r="K448" i="124"/>
  <c r="H447" i="124"/>
  <c r="I447" i="124"/>
  <c r="J447" i="124"/>
  <c r="G447" i="124"/>
  <c r="K452" i="124"/>
  <c r="K451" i="124"/>
  <c r="I450" i="124"/>
  <c r="J450" i="124"/>
  <c r="H450" i="124"/>
  <c r="G450" i="124"/>
  <c r="K458" i="124"/>
  <c r="K457" i="124"/>
  <c r="H456" i="124"/>
  <c r="I456" i="124"/>
  <c r="J456" i="124"/>
  <c r="G456" i="124"/>
  <c r="I419" i="124" l="1"/>
  <c r="I420" i="124"/>
  <c r="G419" i="124"/>
  <c r="J418" i="124"/>
  <c r="J414" i="124" s="1"/>
  <c r="I418" i="124"/>
  <c r="H418" i="124"/>
  <c r="H414" i="124" s="1"/>
  <c r="C64" i="51"/>
  <c r="C52" i="51" s="1"/>
  <c r="G420" i="124"/>
  <c r="C65" i="51"/>
  <c r="C53" i="51" s="1"/>
  <c r="K447" i="124"/>
  <c r="F459" i="124"/>
  <c r="G444" i="124"/>
  <c r="K453" i="124"/>
  <c r="J444" i="124"/>
  <c r="I444" i="124"/>
  <c r="H444" i="124"/>
  <c r="K456" i="124"/>
  <c r="K446" i="124"/>
  <c r="K445" i="124"/>
  <c r="K450" i="124"/>
  <c r="K462" i="124"/>
  <c r="K459" i="124"/>
  <c r="I414" i="124" l="1"/>
  <c r="K420" i="124"/>
  <c r="K419" i="124"/>
  <c r="K418" i="124"/>
  <c r="C63" i="51"/>
  <c r="C61" i="51" s="1"/>
  <c r="C51" i="51"/>
  <c r="C47" i="51" s="1"/>
  <c r="G418" i="124"/>
  <c r="G414" i="124" s="1"/>
  <c r="AH415" i="124" s="1"/>
  <c r="K444" i="124"/>
  <c r="D50" i="48"/>
  <c r="E50" i="48"/>
  <c r="F50" i="48"/>
  <c r="H50" i="48"/>
  <c r="D51" i="48"/>
  <c r="E51" i="48"/>
  <c r="F51" i="48"/>
  <c r="H51" i="48"/>
  <c r="C51" i="48"/>
  <c r="C50" i="48"/>
  <c r="H47" i="48"/>
  <c r="H48" i="48"/>
  <c r="D47" i="48"/>
  <c r="E47" i="48"/>
  <c r="F47" i="48"/>
  <c r="D48" i="48"/>
  <c r="E48" i="48"/>
  <c r="F48" i="48"/>
  <c r="D68" i="48"/>
  <c r="E68" i="48"/>
  <c r="F68" i="48"/>
  <c r="H68" i="48"/>
  <c r="H64" i="48" s="1"/>
  <c r="C68" i="48"/>
  <c r="C65" i="48"/>
  <c r="D61" i="48"/>
  <c r="E61" i="48"/>
  <c r="H61" i="48"/>
  <c r="H59" i="48" s="1"/>
  <c r="C61" i="48"/>
  <c r="C59" i="48" s="1"/>
  <c r="D53" i="48"/>
  <c r="D52" i="48" s="1"/>
  <c r="E53" i="48"/>
  <c r="F53" i="48"/>
  <c r="H53" i="48"/>
  <c r="H56" i="48"/>
  <c r="C56" i="48"/>
  <c r="C53" i="48"/>
  <c r="C52" i="48" s="1"/>
  <c r="H36" i="48"/>
  <c r="G375" i="124"/>
  <c r="K259" i="124"/>
  <c r="I173" i="124"/>
  <c r="J173" i="124"/>
  <c r="L173" i="124"/>
  <c r="G374" i="124" l="1"/>
  <c r="I23" i="51" s="1"/>
  <c r="K414" i="124"/>
  <c r="C64" i="48"/>
  <c r="C49" i="48"/>
  <c r="H52" i="48"/>
  <c r="F46" i="48"/>
  <c r="E46" i="48"/>
  <c r="E64" i="48"/>
  <c r="H46" i="48"/>
  <c r="F64" i="48"/>
  <c r="F49" i="48"/>
  <c r="D49" i="48"/>
  <c r="E49" i="48"/>
  <c r="F59" i="48"/>
  <c r="E59" i="48"/>
  <c r="H49" i="48"/>
  <c r="E52" i="48"/>
  <c r="F52" i="48"/>
  <c r="F259" i="124"/>
  <c r="F45" i="48" l="1"/>
  <c r="E45" i="48"/>
  <c r="H45" i="48"/>
  <c r="K144" i="124"/>
  <c r="K380" i="124" l="1"/>
  <c r="K379" i="124"/>
  <c r="K378" i="124"/>
  <c r="H374" i="124"/>
  <c r="I374" i="124"/>
  <c r="J374" i="124"/>
  <c r="K376" i="124"/>
  <c r="F293" i="124" l="1"/>
  <c r="K293" i="124"/>
  <c r="D312" i="124"/>
  <c r="I312" i="124"/>
  <c r="L312" i="124"/>
  <c r="C312" i="124"/>
  <c r="F234" i="124"/>
  <c r="K234" i="124"/>
  <c r="H71" i="48"/>
  <c r="H321" i="124"/>
  <c r="H318" i="124" s="1"/>
  <c r="H315" i="124"/>
  <c r="H313" i="124" s="1"/>
  <c r="G277" i="124"/>
  <c r="G278" i="124"/>
  <c r="G280" i="124"/>
  <c r="H65" i="124"/>
  <c r="H62" i="124" s="1"/>
  <c r="K55" i="124"/>
  <c r="K58" i="124"/>
  <c r="H53" i="124"/>
  <c r="H52" i="124" s="1"/>
  <c r="I53" i="124"/>
  <c r="I52" i="124" s="1"/>
  <c r="J53" i="124"/>
  <c r="J52" i="124" s="1"/>
  <c r="L53" i="124"/>
  <c r="L52" i="124" s="1"/>
  <c r="L31" i="124" s="1"/>
  <c r="K33" i="124" l="1"/>
  <c r="G32" i="124"/>
  <c r="K32" i="124" l="1"/>
  <c r="G54" i="124"/>
  <c r="G53" i="124" l="1"/>
  <c r="G17" i="48"/>
  <c r="G52" i="124" l="1"/>
  <c r="T280" i="124"/>
  <c r="T278" i="124"/>
  <c r="T277" i="124"/>
  <c r="G412" i="124"/>
  <c r="C8" i="49"/>
  <c r="D40" i="49"/>
  <c r="G411" i="124" l="1"/>
  <c r="I30" i="51"/>
  <c r="I29" i="51" s="1"/>
  <c r="K412" i="124"/>
  <c r="C30" i="51" s="1"/>
  <c r="S277" i="124"/>
  <c r="S280" i="124"/>
  <c r="S278" i="124"/>
  <c r="T279" i="124"/>
  <c r="X276" i="124" s="1"/>
  <c r="G324" i="124"/>
  <c r="AI323" i="124" l="1"/>
  <c r="S279" i="124"/>
  <c r="G279" i="124"/>
  <c r="G276" i="124" l="1"/>
  <c r="G274" i="124" l="1"/>
  <c r="F371" i="124"/>
  <c r="K371" i="124"/>
  <c r="D359" i="124" l="1"/>
  <c r="G358" i="124"/>
  <c r="G348" i="124" l="1"/>
  <c r="H253" i="124"/>
  <c r="I253" i="124"/>
  <c r="J253" i="124"/>
  <c r="H257" i="124"/>
  <c r="I257" i="124"/>
  <c r="J257" i="124"/>
  <c r="H261" i="124"/>
  <c r="I261" i="124"/>
  <c r="J261" i="124"/>
  <c r="G226" i="124"/>
  <c r="H226" i="124"/>
  <c r="G224" i="124" l="1"/>
  <c r="K348" i="124"/>
  <c r="F226" i="124"/>
  <c r="K226" i="124"/>
  <c r="H129" i="124" l="1"/>
  <c r="H127" i="124" s="1"/>
  <c r="F80" i="124"/>
  <c r="C71" i="48" l="1"/>
  <c r="E39" i="48"/>
  <c r="D39" i="48" s="1"/>
  <c r="E38" i="48"/>
  <c r="C46" i="48"/>
  <c r="C45" i="48" s="1"/>
  <c r="D60" i="48"/>
  <c r="D64" i="48"/>
  <c r="D75" i="48"/>
  <c r="D34" i="48"/>
  <c r="D35" i="48"/>
  <c r="D33" i="48"/>
  <c r="F32" i="48"/>
  <c r="C31" i="48"/>
  <c r="G22" i="124"/>
  <c r="D32" i="48" l="1"/>
  <c r="C30" i="48"/>
  <c r="D59" i="48"/>
  <c r="D46" i="48"/>
  <c r="D45" i="48" s="1"/>
  <c r="E36" i="48"/>
  <c r="E31" i="48" s="1"/>
  <c r="F36" i="48"/>
  <c r="D38" i="48"/>
  <c r="F31" i="48" l="1"/>
  <c r="F30" i="48" s="1"/>
  <c r="E30" i="48"/>
  <c r="D31" i="48"/>
  <c r="F84" i="124" l="1"/>
  <c r="F132" i="124" l="1"/>
  <c r="I169" i="124" l="1"/>
  <c r="I168" i="124" s="1"/>
  <c r="G91" i="124"/>
  <c r="D73" i="124"/>
  <c r="G87" i="124" l="1"/>
  <c r="G253" i="124"/>
  <c r="K160" i="124"/>
  <c r="G65" i="124"/>
  <c r="G62" i="124" s="1"/>
  <c r="K65" i="124" l="1"/>
  <c r="K176" i="124"/>
  <c r="H171" i="124"/>
  <c r="H169" i="124" s="1"/>
  <c r="K174" i="124" l="1"/>
  <c r="F171" i="124"/>
  <c r="F531" i="124" l="1"/>
  <c r="F499" i="124"/>
  <c r="F496" i="124"/>
  <c r="F493" i="124"/>
  <c r="F490" i="124"/>
  <c r="F487" i="124"/>
  <c r="F484" i="124"/>
  <c r="F481" i="124"/>
  <c r="F469" i="124"/>
  <c r="F478" i="124"/>
  <c r="F462" i="124"/>
  <c r="F456" i="124"/>
  <c r="F453" i="124"/>
  <c r="F450" i="124"/>
  <c r="F447" i="124"/>
  <c r="J443" i="124"/>
  <c r="I443" i="124"/>
  <c r="H443" i="124"/>
  <c r="F440" i="124"/>
  <c r="F437" i="124"/>
  <c r="F434" i="124"/>
  <c r="J421" i="124"/>
  <c r="H421" i="124"/>
  <c r="G409" i="124"/>
  <c r="J409" i="124"/>
  <c r="H409" i="124"/>
  <c r="K407" i="124"/>
  <c r="C25" i="51" s="1"/>
  <c r="G26" i="48" s="1"/>
  <c r="K406" i="124"/>
  <c r="J386" i="124"/>
  <c r="H386" i="124"/>
  <c r="K385" i="124"/>
  <c r="F385" i="124"/>
  <c r="K382" i="124"/>
  <c r="F382" i="124"/>
  <c r="K375" i="124"/>
  <c r="K373" i="124"/>
  <c r="F373" i="124"/>
  <c r="K370" i="124"/>
  <c r="K369" i="124"/>
  <c r="F369" i="124"/>
  <c r="J368" i="124"/>
  <c r="I368" i="124"/>
  <c r="H368" i="124"/>
  <c r="K367" i="124"/>
  <c r="F367" i="124"/>
  <c r="K366" i="124"/>
  <c r="F366" i="124"/>
  <c r="J365" i="124"/>
  <c r="H365" i="124"/>
  <c r="G365" i="124"/>
  <c r="K364" i="124"/>
  <c r="F364" i="124"/>
  <c r="H363" i="124"/>
  <c r="G363" i="124"/>
  <c r="F362" i="124"/>
  <c r="J361" i="124"/>
  <c r="J355" i="124" s="1"/>
  <c r="J342" i="124" s="1"/>
  <c r="E359" i="124"/>
  <c r="H358" i="124"/>
  <c r="H356" i="124" s="1"/>
  <c r="K357" i="124"/>
  <c r="D355" i="124"/>
  <c r="K353" i="124"/>
  <c r="F353" i="124"/>
  <c r="H346" i="124"/>
  <c r="H344" i="124" s="1"/>
  <c r="G346" i="124"/>
  <c r="G344" i="124" s="1"/>
  <c r="K345" i="124"/>
  <c r="E343" i="124"/>
  <c r="E342" i="124" s="1"/>
  <c r="K341" i="124"/>
  <c r="F341" i="124"/>
  <c r="K340" i="124"/>
  <c r="F340" i="124"/>
  <c r="K339" i="124"/>
  <c r="F339" i="124"/>
  <c r="K338" i="124"/>
  <c r="F338" i="124"/>
  <c r="K337" i="124"/>
  <c r="F337" i="124"/>
  <c r="K336" i="124"/>
  <c r="F336" i="124"/>
  <c r="K335" i="124"/>
  <c r="F335" i="124"/>
  <c r="K334" i="124"/>
  <c r="F334" i="124"/>
  <c r="K333" i="124"/>
  <c r="F333" i="124"/>
  <c r="K332" i="124"/>
  <c r="F332" i="124"/>
  <c r="K331" i="124"/>
  <c r="F331" i="124"/>
  <c r="K330" i="124"/>
  <c r="F330" i="124"/>
  <c r="K329" i="124"/>
  <c r="F329" i="124"/>
  <c r="K328" i="124"/>
  <c r="F328" i="124"/>
  <c r="K327" i="124"/>
  <c r="F327" i="124"/>
  <c r="K326" i="124"/>
  <c r="F326" i="124"/>
  <c r="K325" i="124"/>
  <c r="F325" i="124"/>
  <c r="G321" i="124"/>
  <c r="D320" i="124"/>
  <c r="F319" i="124"/>
  <c r="K316" i="124"/>
  <c r="F316" i="124"/>
  <c r="G315" i="124"/>
  <c r="K311" i="124"/>
  <c r="J310" i="124"/>
  <c r="H310" i="124"/>
  <c r="K309" i="124"/>
  <c r="F309" i="124"/>
  <c r="J308" i="124"/>
  <c r="H308" i="124"/>
  <c r="G308" i="124"/>
  <c r="G302" i="124"/>
  <c r="K301" i="124"/>
  <c r="F301" i="124"/>
  <c r="J300" i="124"/>
  <c r="H300" i="124"/>
  <c r="K298" i="124"/>
  <c r="F298" i="124"/>
  <c r="K297" i="124"/>
  <c r="F297" i="124"/>
  <c r="K296" i="124"/>
  <c r="F296" i="124"/>
  <c r="K295" i="124"/>
  <c r="F295" i="124"/>
  <c r="K292" i="124"/>
  <c r="F292" i="124"/>
  <c r="F291" i="124"/>
  <c r="K290" i="124"/>
  <c r="F290" i="124"/>
  <c r="K289" i="124"/>
  <c r="F289" i="124"/>
  <c r="J287" i="124"/>
  <c r="H287" i="124"/>
  <c r="F283" i="124"/>
  <c r="J282" i="124"/>
  <c r="D282" i="124"/>
  <c r="D273" i="124" s="1"/>
  <c r="C282" i="124"/>
  <c r="C273" i="124" s="1"/>
  <c r="H280" i="124"/>
  <c r="K280" i="124"/>
  <c r="H279" i="124"/>
  <c r="K279" i="124"/>
  <c r="H278" i="124"/>
  <c r="K275" i="124"/>
  <c r="E271" i="124"/>
  <c r="G266" i="124"/>
  <c r="G264" i="124"/>
  <c r="K263" i="124"/>
  <c r="K262" i="124"/>
  <c r="G260" i="124"/>
  <c r="F258" i="124"/>
  <c r="D257" i="124"/>
  <c r="C257" i="124"/>
  <c r="K256" i="124"/>
  <c r="F256" i="124"/>
  <c r="K255" i="124"/>
  <c r="D253" i="124"/>
  <c r="C253" i="124"/>
  <c r="G251" i="124"/>
  <c r="F250" i="124"/>
  <c r="G248" i="124"/>
  <c r="K246" i="124"/>
  <c r="J245" i="124"/>
  <c r="H245" i="124"/>
  <c r="D245" i="124"/>
  <c r="C245" i="124"/>
  <c r="H239" i="124"/>
  <c r="H237" i="124" s="1"/>
  <c r="G239" i="124"/>
  <c r="F231" i="124"/>
  <c r="K230" i="124"/>
  <c r="F230" i="124"/>
  <c r="H228" i="124"/>
  <c r="H224" i="124" s="1"/>
  <c r="K225" i="124"/>
  <c r="K216" i="124"/>
  <c r="F216" i="124"/>
  <c r="H215" i="124"/>
  <c r="H213" i="124" s="1"/>
  <c r="G215" i="124"/>
  <c r="K214" i="124"/>
  <c r="K211" i="124"/>
  <c r="F211" i="124"/>
  <c r="H210" i="124"/>
  <c r="H208" i="124" s="1"/>
  <c r="G210" i="124"/>
  <c r="K209" i="124"/>
  <c r="K206" i="124"/>
  <c r="F206" i="124"/>
  <c r="H203" i="124"/>
  <c r="H201" i="124" s="1"/>
  <c r="G203" i="124"/>
  <c r="F202" i="124"/>
  <c r="H191" i="124"/>
  <c r="H189" i="124" s="1"/>
  <c r="K190" i="124"/>
  <c r="E188" i="124"/>
  <c r="D188" i="124"/>
  <c r="C188" i="124"/>
  <c r="F183" i="124"/>
  <c r="F182" i="124"/>
  <c r="F180" i="124"/>
  <c r="F179" i="124"/>
  <c r="H177" i="124"/>
  <c r="G177" i="124"/>
  <c r="H176" i="124"/>
  <c r="F174" i="124"/>
  <c r="D172" i="124"/>
  <c r="G172" i="124" s="1"/>
  <c r="K170" i="124"/>
  <c r="D168" i="124"/>
  <c r="C168" i="124"/>
  <c r="K162" i="124"/>
  <c r="F162" i="124"/>
  <c r="H161" i="124"/>
  <c r="H159" i="124" s="1"/>
  <c r="G161" i="124"/>
  <c r="H156" i="124"/>
  <c r="H154" i="124" s="1"/>
  <c r="G156" i="124"/>
  <c r="K155" i="124"/>
  <c r="K151" i="124"/>
  <c r="F151" i="124"/>
  <c r="K150" i="124"/>
  <c r="F150" i="124"/>
  <c r="H149" i="124"/>
  <c r="H147" i="124" s="1"/>
  <c r="G149" i="124"/>
  <c r="F148" i="124"/>
  <c r="F142" i="124"/>
  <c r="F141" i="124"/>
  <c r="H140" i="124"/>
  <c r="H138" i="124" s="1"/>
  <c r="G140" i="124"/>
  <c r="F131" i="124"/>
  <c r="G129" i="124"/>
  <c r="F128" i="124"/>
  <c r="K124" i="124"/>
  <c r="F124" i="124"/>
  <c r="K123" i="124"/>
  <c r="F123" i="124"/>
  <c r="K122" i="124"/>
  <c r="F122" i="124"/>
  <c r="H121" i="124"/>
  <c r="H118" i="124" s="1"/>
  <c r="G121" i="124"/>
  <c r="K116" i="124"/>
  <c r="K115" i="124"/>
  <c r="F115" i="124"/>
  <c r="H113" i="124"/>
  <c r="F112" i="124"/>
  <c r="I111" i="124"/>
  <c r="E106" i="124"/>
  <c r="D106" i="124"/>
  <c r="H105" i="124"/>
  <c r="H103" i="124" s="1"/>
  <c r="G105" i="124"/>
  <c r="H99" i="124"/>
  <c r="H97" i="124" s="1"/>
  <c r="G99" i="124"/>
  <c r="K93" i="124"/>
  <c r="K92" i="124"/>
  <c r="F92" i="124"/>
  <c r="H91" i="124"/>
  <c r="H87" i="124" s="1"/>
  <c r="F78" i="124"/>
  <c r="U77" i="124"/>
  <c r="F77" i="124"/>
  <c r="G76" i="124"/>
  <c r="G75" i="124"/>
  <c r="G72" i="124" s="1"/>
  <c r="F74" i="124"/>
  <c r="H71" i="124"/>
  <c r="G71" i="124"/>
  <c r="H70" i="124"/>
  <c r="G70" i="124"/>
  <c r="F67" i="124"/>
  <c r="F63" i="124"/>
  <c r="E61" i="124"/>
  <c r="E60" i="124" s="1"/>
  <c r="D61" i="124"/>
  <c r="D60" i="124" s="1"/>
  <c r="C60" i="124"/>
  <c r="J56" i="124"/>
  <c r="I56" i="124"/>
  <c r="H56" i="124"/>
  <c r="K54" i="124"/>
  <c r="F38" i="124"/>
  <c r="K37" i="124"/>
  <c r="K36" i="124"/>
  <c r="K29" i="124"/>
  <c r="F29" i="124"/>
  <c r="J28" i="124"/>
  <c r="I28" i="124"/>
  <c r="H28" i="124"/>
  <c r="G27" i="124"/>
  <c r="F26" i="124"/>
  <c r="E23" i="124"/>
  <c r="D23" i="124"/>
  <c r="K22" i="124"/>
  <c r="F21" i="124"/>
  <c r="H17" i="124"/>
  <c r="H15" i="124" s="1"/>
  <c r="G17" i="124"/>
  <c r="F16" i="124"/>
  <c r="F12" i="124"/>
  <c r="J10" i="124"/>
  <c r="H10" i="124"/>
  <c r="L9" i="124"/>
  <c r="K35" i="124" l="1"/>
  <c r="K34" i="124" s="1"/>
  <c r="H14" i="124"/>
  <c r="I421" i="124"/>
  <c r="I14" i="124"/>
  <c r="I20" i="51"/>
  <c r="I28" i="51"/>
  <c r="G15" i="124"/>
  <c r="K17" i="124"/>
  <c r="G313" i="124"/>
  <c r="G201" i="124"/>
  <c r="AL328" i="124"/>
  <c r="AL334" i="124"/>
  <c r="AL340" i="124"/>
  <c r="K105" i="124"/>
  <c r="G421" i="124"/>
  <c r="G154" i="124"/>
  <c r="G245" i="124"/>
  <c r="G300" i="124"/>
  <c r="AL329" i="124"/>
  <c r="AL335" i="124"/>
  <c r="AL341" i="124"/>
  <c r="K76" i="124"/>
  <c r="K363" i="124"/>
  <c r="G159" i="124"/>
  <c r="K27" i="124"/>
  <c r="G147" i="124"/>
  <c r="G249" i="124"/>
  <c r="F264" i="124"/>
  <c r="G318" i="124"/>
  <c r="AL330" i="124"/>
  <c r="AL336" i="124"/>
  <c r="G208" i="124"/>
  <c r="G265" i="124"/>
  <c r="G343" i="124"/>
  <c r="I19" i="51" s="1"/>
  <c r="K71" i="124"/>
  <c r="AL331" i="124"/>
  <c r="AL337" i="124"/>
  <c r="G138" i="124"/>
  <c r="G118" i="124"/>
  <c r="G237" i="124"/>
  <c r="F237" i="124" s="1"/>
  <c r="G169" i="124"/>
  <c r="AL326" i="124"/>
  <c r="AL332" i="124"/>
  <c r="AL338" i="124"/>
  <c r="K70" i="124"/>
  <c r="G189" i="124"/>
  <c r="G111" i="124"/>
  <c r="G213" i="124"/>
  <c r="AL327" i="124"/>
  <c r="AL333" i="124"/>
  <c r="AL339" i="124"/>
  <c r="G97" i="124"/>
  <c r="K99" i="124"/>
  <c r="K75" i="124"/>
  <c r="K129" i="124"/>
  <c r="K127" i="124" s="1"/>
  <c r="G127" i="124"/>
  <c r="K294" i="124"/>
  <c r="G359" i="124"/>
  <c r="G8" i="161"/>
  <c r="G7" i="161" s="1"/>
  <c r="G6" i="161" s="1"/>
  <c r="G95" i="161" s="1"/>
  <c r="J273" i="124"/>
  <c r="H343" i="124"/>
  <c r="K239" i="124"/>
  <c r="F72" i="124"/>
  <c r="F79" i="124"/>
  <c r="K324" i="124"/>
  <c r="AL325" i="124"/>
  <c r="I272" i="124"/>
  <c r="I271" i="124" s="1"/>
  <c r="C44" i="51"/>
  <c r="E44" i="51" s="1"/>
  <c r="I60" i="124"/>
  <c r="H312" i="124"/>
  <c r="K374" i="124"/>
  <c r="C23" i="51" s="1"/>
  <c r="E24" i="48" s="1"/>
  <c r="K260" i="124"/>
  <c r="G257" i="124"/>
  <c r="K248" i="124"/>
  <c r="I188" i="124"/>
  <c r="C271" i="124"/>
  <c r="H284" i="124"/>
  <c r="K302" i="124"/>
  <c r="F300" i="124"/>
  <c r="K53" i="124"/>
  <c r="H276" i="124"/>
  <c r="H274" i="124" s="1"/>
  <c r="E59" i="124"/>
  <c r="K278" i="124"/>
  <c r="K276" i="124"/>
  <c r="K251" i="124"/>
  <c r="F266" i="124"/>
  <c r="F75" i="124"/>
  <c r="D342" i="124"/>
  <c r="F365" i="124"/>
  <c r="H175" i="124"/>
  <c r="H173" i="124" s="1"/>
  <c r="H168" i="124" s="1"/>
  <c r="F302" i="124"/>
  <c r="K320" i="124"/>
  <c r="K284" i="124"/>
  <c r="F191" i="124"/>
  <c r="F58" i="124"/>
  <c r="F71" i="124"/>
  <c r="F324" i="124"/>
  <c r="F215" i="124"/>
  <c r="F278" i="124"/>
  <c r="F91" i="124"/>
  <c r="F129" i="124"/>
  <c r="F127" i="124" s="1"/>
  <c r="C244" i="124"/>
  <c r="D244" i="124"/>
  <c r="F176" i="124"/>
  <c r="F190" i="124"/>
  <c r="K21" i="124"/>
  <c r="F56" i="124"/>
  <c r="F247" i="124"/>
  <c r="K365" i="124"/>
  <c r="C20" i="51" s="1"/>
  <c r="E21" i="48" s="1"/>
  <c r="F99" i="124"/>
  <c r="F149" i="124"/>
  <c r="F294" i="124"/>
  <c r="H69" i="124"/>
  <c r="F170" i="124"/>
  <c r="F140" i="124"/>
  <c r="G106" i="124"/>
  <c r="F121" i="124"/>
  <c r="C342" i="124"/>
  <c r="F262" i="124"/>
  <c r="K177" i="124"/>
  <c r="G175" i="124"/>
  <c r="K228" i="124"/>
  <c r="F239" i="124"/>
  <c r="F76" i="124"/>
  <c r="F113" i="124"/>
  <c r="K202" i="124"/>
  <c r="K264" i="124"/>
  <c r="F277" i="124"/>
  <c r="F70" i="124"/>
  <c r="C59" i="124"/>
  <c r="F139" i="124"/>
  <c r="L481" i="124"/>
  <c r="F36" i="124"/>
  <c r="F54" i="124"/>
  <c r="F41" i="124"/>
  <c r="F42" i="124"/>
  <c r="K12" i="124"/>
  <c r="F30" i="124"/>
  <c r="F28" i="124" s="1"/>
  <c r="K266" i="124"/>
  <c r="G10" i="124"/>
  <c r="H111" i="124"/>
  <c r="F178" i="124"/>
  <c r="F209" i="124"/>
  <c r="F255" i="124"/>
  <c r="F275" i="124"/>
  <c r="F65" i="124"/>
  <c r="F119" i="124"/>
  <c r="F160" i="124"/>
  <c r="F260" i="124"/>
  <c r="F280" i="124"/>
  <c r="F345" i="124"/>
  <c r="F412" i="124"/>
  <c r="G443" i="124"/>
  <c r="D59" i="124"/>
  <c r="H244" i="124"/>
  <c r="F251" i="124"/>
  <c r="G261" i="124"/>
  <c r="F370" i="124"/>
  <c r="F161" i="124"/>
  <c r="J244" i="124"/>
  <c r="F387" i="124"/>
  <c r="F155" i="124"/>
  <c r="F238" i="124"/>
  <c r="F246" i="124"/>
  <c r="F406" i="124"/>
  <c r="F105" i="124"/>
  <c r="F98" i="124"/>
  <c r="F116" i="124"/>
  <c r="F214" i="124"/>
  <c r="F248" i="124"/>
  <c r="F254" i="124"/>
  <c r="F263" i="124"/>
  <c r="D271" i="124"/>
  <c r="F363" i="124"/>
  <c r="K368" i="124"/>
  <c r="C22" i="51" s="1"/>
  <c r="F156" i="124"/>
  <c r="F11" i="124"/>
  <c r="F10" i="124" s="1"/>
  <c r="J111" i="124"/>
  <c r="K254" i="124"/>
  <c r="F279" i="124"/>
  <c r="F311" i="124"/>
  <c r="G310" i="124"/>
  <c r="F104" i="124"/>
  <c r="K285" i="124"/>
  <c r="F285" i="124"/>
  <c r="K314" i="124"/>
  <c r="F314" i="124"/>
  <c r="F444" i="124"/>
  <c r="F443" i="124" s="1"/>
  <c r="K443" i="124"/>
  <c r="F22" i="124"/>
  <c r="F27" i="124"/>
  <c r="K238" i="124"/>
  <c r="G69" i="124"/>
  <c r="G66" i="124" s="1"/>
  <c r="G61" i="124" s="1"/>
  <c r="K148" i="124"/>
  <c r="F177" i="124"/>
  <c r="F181" i="124"/>
  <c r="K250" i="124"/>
  <c r="F315" i="124"/>
  <c r="G25" i="124"/>
  <c r="G20" i="124" s="1"/>
  <c r="F228" i="124"/>
  <c r="F37" i="124"/>
  <c r="F73" i="124"/>
  <c r="F93" i="124"/>
  <c r="F62" i="124"/>
  <c r="G282" i="124"/>
  <c r="K283" i="124"/>
  <c r="F17" i="124"/>
  <c r="F210" i="124"/>
  <c r="F88" i="124"/>
  <c r="F107" i="124"/>
  <c r="F203" i="124"/>
  <c r="F225" i="124"/>
  <c r="F308" i="124"/>
  <c r="K308" i="124"/>
  <c r="K258" i="124"/>
  <c r="K277" i="124"/>
  <c r="K319" i="124"/>
  <c r="F425" i="124"/>
  <c r="F346" i="124"/>
  <c r="F357" i="124"/>
  <c r="F407" i="124"/>
  <c r="F410" i="124"/>
  <c r="F409" i="124" s="1"/>
  <c r="F413" i="124"/>
  <c r="F431" i="124"/>
  <c r="K410" i="124"/>
  <c r="F358" i="124"/>
  <c r="H361" i="124"/>
  <c r="H355" i="124" s="1"/>
  <c r="G361" i="124"/>
  <c r="F321" i="124"/>
  <c r="F375" i="124"/>
  <c r="K31" i="124" l="1"/>
  <c r="G14" i="124"/>
  <c r="E23" i="48"/>
  <c r="E22" i="51"/>
  <c r="H22" i="51" s="1"/>
  <c r="J22" i="51"/>
  <c r="G312" i="124"/>
  <c r="I18" i="51" s="1"/>
  <c r="K111" i="124"/>
  <c r="I9" i="51"/>
  <c r="E41" i="51"/>
  <c r="H44" i="51"/>
  <c r="I54" i="51"/>
  <c r="I47" i="51" s="1"/>
  <c r="I32" i="51" s="1"/>
  <c r="AH421" i="124"/>
  <c r="H342" i="124"/>
  <c r="C41" i="51"/>
  <c r="C33" i="51" s="1"/>
  <c r="C32" i="51" s="1"/>
  <c r="K13" i="51"/>
  <c r="AL324" i="124"/>
  <c r="K253" i="124"/>
  <c r="K409" i="124"/>
  <c r="C28" i="51" s="1"/>
  <c r="G28" i="51" s="1"/>
  <c r="H28" i="51" s="1"/>
  <c r="K15" i="124"/>
  <c r="D24" i="125" s="1"/>
  <c r="K224" i="124"/>
  <c r="G173" i="124"/>
  <c r="K274" i="124"/>
  <c r="K72" i="124"/>
  <c r="K265" i="124"/>
  <c r="G188" i="124"/>
  <c r="K52" i="124"/>
  <c r="K261" i="124"/>
  <c r="K237" i="124"/>
  <c r="G273" i="124"/>
  <c r="C18" i="51"/>
  <c r="J18" i="51" s="1"/>
  <c r="G356" i="124"/>
  <c r="G355" i="124" s="1"/>
  <c r="G103" i="124"/>
  <c r="K106" i="124"/>
  <c r="H66" i="124"/>
  <c r="H61" i="124" s="1"/>
  <c r="H60" i="124" s="1"/>
  <c r="K69" i="124"/>
  <c r="K359" i="124"/>
  <c r="I59" i="124"/>
  <c r="I13" i="124" s="1"/>
  <c r="K249" i="124"/>
  <c r="G244" i="124"/>
  <c r="K23" i="124"/>
  <c r="F23" i="124"/>
  <c r="K411" i="124"/>
  <c r="H188" i="124"/>
  <c r="K28" i="124"/>
  <c r="L413" i="124"/>
  <c r="K257" i="124"/>
  <c r="F284" i="124"/>
  <c r="H282" i="124"/>
  <c r="F282" i="124" s="1"/>
  <c r="F320" i="124"/>
  <c r="F208" i="124"/>
  <c r="K210" i="124"/>
  <c r="F359" i="124"/>
  <c r="F213" i="124"/>
  <c r="F189" i="124"/>
  <c r="F172" i="124"/>
  <c r="F106" i="124"/>
  <c r="F103" i="124" s="1"/>
  <c r="K172" i="124"/>
  <c r="K300" i="124"/>
  <c r="K56" i="124"/>
  <c r="C14" i="51" s="1"/>
  <c r="E15" i="48" s="1"/>
  <c r="F147" i="124"/>
  <c r="F118" i="124"/>
  <c r="F253" i="124"/>
  <c r="F111" i="124"/>
  <c r="F97" i="124"/>
  <c r="F40" i="124"/>
  <c r="F201" i="124"/>
  <c r="F249" i="124"/>
  <c r="F159" i="124"/>
  <c r="K97" i="124"/>
  <c r="F261" i="124"/>
  <c r="F368" i="124"/>
  <c r="F276" i="124"/>
  <c r="F15" i="124"/>
  <c r="F466" i="124"/>
  <c r="F465" i="124" s="1"/>
  <c r="F34" i="124"/>
  <c r="F52" i="124"/>
  <c r="K10" i="124"/>
  <c r="F411" i="124"/>
  <c r="J169" i="124"/>
  <c r="J168" i="124" s="1"/>
  <c r="K113" i="124"/>
  <c r="F265" i="124"/>
  <c r="F169" i="124"/>
  <c r="F386" i="124"/>
  <c r="K161" i="124"/>
  <c r="F87" i="124"/>
  <c r="K387" i="124"/>
  <c r="F257" i="124"/>
  <c r="F313" i="124"/>
  <c r="F224" i="124"/>
  <c r="F344" i="124"/>
  <c r="F69" i="124"/>
  <c r="K310" i="124"/>
  <c r="F310" i="124"/>
  <c r="K215" i="124"/>
  <c r="F154" i="124"/>
  <c r="F175" i="124"/>
  <c r="K282" i="124"/>
  <c r="F245" i="124"/>
  <c r="K245" i="124"/>
  <c r="K361" i="124"/>
  <c r="F361" i="124"/>
  <c r="F529" i="124"/>
  <c r="F418" i="124" s="1"/>
  <c r="K121" i="124"/>
  <c r="F138" i="124"/>
  <c r="F422" i="124"/>
  <c r="F288" i="124"/>
  <c r="K288" i="124"/>
  <c r="F374" i="124"/>
  <c r="F25" i="124"/>
  <c r="K91" i="124"/>
  <c r="G29" i="48" l="1"/>
  <c r="J28" i="51"/>
  <c r="J54" i="51"/>
  <c r="J32" i="51"/>
  <c r="I21" i="51"/>
  <c r="E33" i="51"/>
  <c r="H41" i="51"/>
  <c r="E13" i="51"/>
  <c r="H13" i="51" s="1"/>
  <c r="F356" i="124"/>
  <c r="I9" i="124"/>
  <c r="O15" i="124"/>
  <c r="K208" i="124"/>
  <c r="G168" i="124"/>
  <c r="K87" i="124"/>
  <c r="K159" i="124"/>
  <c r="K66" i="124"/>
  <c r="K421" i="124"/>
  <c r="G272" i="124"/>
  <c r="K213" i="124"/>
  <c r="K118" i="124"/>
  <c r="H273" i="124"/>
  <c r="H59" i="124"/>
  <c r="K103" i="124"/>
  <c r="F20" i="124"/>
  <c r="F274" i="124"/>
  <c r="K386" i="124"/>
  <c r="C24" i="51" s="1"/>
  <c r="E25" i="48" s="1"/>
  <c r="F355" i="124"/>
  <c r="F318" i="124"/>
  <c r="F312" i="124" s="1"/>
  <c r="K149" i="124"/>
  <c r="F31" i="124"/>
  <c r="F188" i="124"/>
  <c r="K171" i="124"/>
  <c r="K203" i="124"/>
  <c r="K321" i="124"/>
  <c r="F421" i="124"/>
  <c r="F415" i="124"/>
  <c r="F414" i="124" s="1"/>
  <c r="F343" i="124"/>
  <c r="F66" i="124"/>
  <c r="F61" i="124" s="1"/>
  <c r="F60" i="124" s="1"/>
  <c r="K175" i="124"/>
  <c r="F173" i="124"/>
  <c r="F168" i="124" s="1"/>
  <c r="F287" i="124"/>
  <c r="K287" i="124"/>
  <c r="K191" i="124"/>
  <c r="K156" i="124"/>
  <c r="K358" i="124"/>
  <c r="F244" i="124"/>
  <c r="K244" i="124"/>
  <c r="K140" i="124"/>
  <c r="J25" i="124"/>
  <c r="K26" i="124"/>
  <c r="J312" i="124"/>
  <c r="K315" i="124"/>
  <c r="C27" i="51" l="1"/>
  <c r="G27" i="48" s="1"/>
  <c r="D27" i="48" s="1"/>
  <c r="I17" i="51"/>
  <c r="I16" i="51" s="1"/>
  <c r="E32" i="51"/>
  <c r="H32" i="51" s="1"/>
  <c r="H33" i="51"/>
  <c r="I13" i="51"/>
  <c r="K313" i="124"/>
  <c r="K173" i="124"/>
  <c r="G60" i="124"/>
  <c r="K356" i="124"/>
  <c r="K201" i="124"/>
  <c r="K154" i="124"/>
  <c r="G271" i="124"/>
  <c r="K138" i="124"/>
  <c r="AH272" i="124"/>
  <c r="K318" i="124"/>
  <c r="K169" i="124"/>
  <c r="K273" i="124"/>
  <c r="K147" i="124"/>
  <c r="C17" i="51"/>
  <c r="J17" i="51" s="1"/>
  <c r="F14" i="124"/>
  <c r="K189" i="124"/>
  <c r="H272" i="124"/>
  <c r="H271" i="124" s="1"/>
  <c r="H13" i="124" s="1"/>
  <c r="F273" i="124"/>
  <c r="F272" i="124" s="1"/>
  <c r="G342" i="124"/>
  <c r="J188" i="124"/>
  <c r="K62" i="124"/>
  <c r="J272" i="124"/>
  <c r="J20" i="124"/>
  <c r="J14" i="124" s="1"/>
  <c r="K25" i="124"/>
  <c r="F59" i="124"/>
  <c r="K346" i="124"/>
  <c r="K344" i="124" s="1"/>
  <c r="F342" i="124"/>
  <c r="F520" i="124"/>
  <c r="G59" i="124" l="1"/>
  <c r="AI271" i="124"/>
  <c r="K312" i="124"/>
  <c r="K355" i="124"/>
  <c r="C21" i="51" s="1"/>
  <c r="E22" i="48" s="1"/>
  <c r="AH261" i="124"/>
  <c r="K168" i="124"/>
  <c r="K20" i="124"/>
  <c r="K61" i="124"/>
  <c r="K188" i="124"/>
  <c r="K272" i="124"/>
  <c r="F271" i="124"/>
  <c r="J271" i="124"/>
  <c r="K14" i="124" l="1"/>
  <c r="C13" i="51" s="1"/>
  <c r="D25" i="125"/>
  <c r="I15" i="51"/>
  <c r="I12" i="51" s="1"/>
  <c r="I8" i="51" s="1"/>
  <c r="I7" i="51" s="1"/>
  <c r="G13" i="124"/>
  <c r="AH59" i="124"/>
  <c r="K271" i="124"/>
  <c r="K60" i="124"/>
  <c r="J60" i="124"/>
  <c r="K343" i="124"/>
  <c r="C19" i="51" s="1"/>
  <c r="E20" i="48" l="1"/>
  <c r="E19" i="51"/>
  <c r="H19" i="51" s="1"/>
  <c r="J19" i="51"/>
  <c r="E14" i="48"/>
  <c r="J13" i="51"/>
  <c r="G9" i="124"/>
  <c r="K59" i="124"/>
  <c r="K342" i="124"/>
  <c r="J59" i="124"/>
  <c r="J13" i="124" s="1"/>
  <c r="AH60" i="124" l="1"/>
  <c r="C15" i="51"/>
  <c r="K7" i="51"/>
  <c r="J9" i="124"/>
  <c r="F10" i="49"/>
  <c r="G10" i="49"/>
  <c r="E16" i="48" l="1"/>
  <c r="J15" i="51"/>
  <c r="E15" i="51"/>
  <c r="H15" i="51" s="1"/>
  <c r="H33" i="48" l="1"/>
  <c r="H32" i="48" s="1"/>
  <c r="H31" i="48" l="1"/>
  <c r="H30" i="48" s="1"/>
  <c r="G31" i="51"/>
  <c r="H31" i="51" s="1"/>
  <c r="G16" i="48" l="1"/>
  <c r="J31" i="51"/>
  <c r="E18" i="48" l="1"/>
  <c r="D18" i="48" l="1"/>
  <c r="D30" i="125"/>
  <c r="G30" i="51" l="1"/>
  <c r="G29" i="51" l="1"/>
  <c r="H29" i="51" s="1"/>
  <c r="H30" i="51"/>
  <c r="L13" i="51"/>
  <c r="J30" i="51"/>
  <c r="C29" i="51"/>
  <c r="J29" i="51" s="1"/>
  <c r="G14" i="48"/>
  <c r="G13" i="48" l="1"/>
  <c r="D28" i="125"/>
  <c r="D26" i="125"/>
  <c r="D23" i="125" s="1"/>
  <c r="E14" i="51"/>
  <c r="H14" i="51" s="1"/>
  <c r="C11" i="51"/>
  <c r="C10" i="51"/>
  <c r="E10" i="51" s="1"/>
  <c r="E9" i="51" l="1"/>
  <c r="H9" i="51" s="1"/>
  <c r="H10" i="51"/>
  <c r="J23" i="51"/>
  <c r="E23" i="51"/>
  <c r="H23" i="51" s="1"/>
  <c r="J14" i="51"/>
  <c r="D14" i="48"/>
  <c r="C26" i="125"/>
  <c r="C28" i="125"/>
  <c r="E20" i="51"/>
  <c r="H20" i="51" s="1"/>
  <c r="H14" i="48" l="1"/>
  <c r="J24" i="51"/>
  <c r="E24" i="51"/>
  <c r="H24" i="51" s="1"/>
  <c r="D21" i="48"/>
  <c r="H21" i="48" s="1"/>
  <c r="J20" i="51"/>
  <c r="L14" i="51" l="1"/>
  <c r="L15" i="51" s="1"/>
  <c r="C25" i="125"/>
  <c r="E21" i="51"/>
  <c r="C24" i="125"/>
  <c r="C23" i="125" s="1"/>
  <c r="C8" i="125" s="1"/>
  <c r="J21" i="51" l="1"/>
  <c r="H21" i="51"/>
  <c r="D8" i="125"/>
  <c r="E23" i="125" l="1"/>
  <c r="F8" i="49" l="1"/>
  <c r="G8" i="49"/>
  <c r="H8" i="49"/>
  <c r="K8" i="49"/>
  <c r="C10" i="48" l="1"/>
  <c r="F76" i="48" l="1"/>
  <c r="E76" i="48" l="1"/>
  <c r="F74" i="48"/>
  <c r="E74" i="48" l="1"/>
  <c r="D76" i="48"/>
  <c r="H9" i="124"/>
  <c r="D74" i="48" l="1"/>
  <c r="O10" i="124"/>
  <c r="D25" i="49"/>
  <c r="D41" i="49"/>
  <c r="C11" i="49"/>
  <c r="I23" i="49"/>
  <c r="D39" i="49"/>
  <c r="E17" i="49"/>
  <c r="D13" i="49"/>
  <c r="J13" i="49"/>
  <c r="J12" i="49"/>
  <c r="H33" i="49"/>
  <c r="I38" i="49"/>
  <c r="J38" i="49" s="1"/>
  <c r="J26" i="49"/>
  <c r="I31" i="49"/>
  <c r="J31" i="49" s="1"/>
  <c r="I11" i="49"/>
  <c r="H26" i="49"/>
  <c r="H11" i="49"/>
  <c r="I39" i="49"/>
  <c r="E39" i="49"/>
  <c r="D18" i="49"/>
  <c r="I18" i="49" s="1"/>
  <c r="J17" i="49"/>
  <c r="D30" i="49"/>
  <c r="E30" i="49" s="1"/>
  <c r="E23" i="49" l="1"/>
  <c r="E38" i="49"/>
  <c r="E36" i="49"/>
  <c r="I35" i="49"/>
  <c r="D29" i="49"/>
  <c r="E29" i="49" s="1"/>
  <c r="E28" i="49"/>
  <c r="E22" i="49"/>
  <c r="A4" i="125"/>
  <c r="A4" i="163" s="1"/>
  <c r="J11" i="49"/>
  <c r="C9" i="48"/>
  <c r="C8" i="48" s="1"/>
  <c r="I36" i="49"/>
  <c r="E34" i="49"/>
  <c r="C25" i="49"/>
  <c r="C19" i="49" s="1"/>
  <c r="I25" i="49"/>
  <c r="H25" i="49" s="1"/>
  <c r="H19" i="49" s="1"/>
  <c r="E15" i="49"/>
  <c r="I15" i="49"/>
  <c r="J15" i="49" s="1"/>
  <c r="E12" i="49"/>
  <c r="D37" i="49"/>
  <c r="I37" i="49" s="1"/>
  <c r="E20" i="49"/>
  <c r="E31" i="49"/>
  <c r="I32" i="49"/>
  <c r="J32" i="49" s="1"/>
  <c r="D14" i="49"/>
  <c r="J39" i="49"/>
  <c r="J8" i="49" s="1"/>
  <c r="I8" i="49"/>
  <c r="I12" i="48"/>
  <c r="C18" i="49"/>
  <c r="C14" i="49" s="1"/>
  <c r="C10" i="49" s="1"/>
  <c r="C9" i="51"/>
  <c r="K9" i="51" s="1"/>
  <c r="E26" i="49"/>
  <c r="E27" i="49"/>
  <c r="I27" i="49"/>
  <c r="E13" i="49"/>
  <c r="H18" i="49"/>
  <c r="O413" i="124" l="1"/>
  <c r="A4" i="153"/>
  <c r="A4" i="114" s="1"/>
  <c r="I29" i="49"/>
  <c r="I28" i="49"/>
  <c r="E35" i="49"/>
  <c r="I22" i="49"/>
  <c r="E37" i="49"/>
  <c r="I26" i="49"/>
  <c r="I34" i="49"/>
  <c r="I33" i="49" s="1"/>
  <c r="J33" i="49" s="1"/>
  <c r="E33" i="49"/>
  <c r="E32" i="49"/>
  <c r="F24" i="48"/>
  <c r="D11" i="49"/>
  <c r="E21" i="49"/>
  <c r="I21" i="49"/>
  <c r="I20" i="49"/>
  <c r="E25" i="49"/>
  <c r="E16" i="49"/>
  <c r="I16" i="49"/>
  <c r="D19" i="49"/>
  <c r="I19" i="49" s="1"/>
  <c r="J19" i="49" s="1"/>
  <c r="E10" i="48"/>
  <c r="H12" i="48"/>
  <c r="F22" i="48"/>
  <c r="E18" i="49"/>
  <c r="E14" i="49"/>
  <c r="H14" i="49"/>
  <c r="H10" i="49" s="1"/>
  <c r="J18" i="49"/>
  <c r="D24" i="48" l="1"/>
  <c r="H24" i="48" s="1"/>
  <c r="D15" i="48"/>
  <c r="E11" i="49"/>
  <c r="D10" i="49"/>
  <c r="E19" i="49"/>
  <c r="J16" i="49"/>
  <c r="I14" i="49"/>
  <c r="I10" i="49" s="1"/>
  <c r="D10" i="48"/>
  <c r="H11" i="48"/>
  <c r="H10" i="48" s="1"/>
  <c r="I11" i="48"/>
  <c r="H15" i="48" l="1"/>
  <c r="E10" i="49"/>
  <c r="D9" i="49"/>
  <c r="D8" i="49" s="1"/>
  <c r="J14" i="49"/>
  <c r="J10" i="49" s="1"/>
  <c r="I10" i="48"/>
  <c r="I21" i="48"/>
  <c r="D20" i="48" l="1"/>
  <c r="H20" i="48" s="1"/>
  <c r="I15" i="48"/>
  <c r="E9" i="49"/>
  <c r="E8" i="49" s="1"/>
  <c r="E19" i="48"/>
  <c r="D23" i="48"/>
  <c r="H23" i="48" l="1"/>
  <c r="D19" i="48"/>
  <c r="I20" i="48"/>
  <c r="D22" i="48"/>
  <c r="H22" i="48" s="1"/>
  <c r="F25" i="48"/>
  <c r="D25" i="48" l="1"/>
  <c r="H25" i="48" s="1"/>
  <c r="D16" i="48"/>
  <c r="I22" i="48"/>
  <c r="I23" i="48"/>
  <c r="H16" i="48" l="1"/>
  <c r="I25" i="48"/>
  <c r="F26" i="48" l="1"/>
  <c r="F13" i="48" l="1"/>
  <c r="Q413" i="124"/>
  <c r="G25" i="51"/>
  <c r="F29" i="48"/>
  <c r="I16" i="48"/>
  <c r="G12" i="51" l="1"/>
  <c r="G8" i="51" s="1"/>
  <c r="G7" i="51" s="1"/>
  <c r="H25" i="51"/>
  <c r="J25" i="51"/>
  <c r="F28" i="48"/>
  <c r="F9" i="48" s="1"/>
  <c r="K408" i="124" l="1"/>
  <c r="K13" i="124" s="1"/>
  <c r="D26" i="48"/>
  <c r="F408" i="124"/>
  <c r="F13" i="124" s="1"/>
  <c r="F9" i="124" s="1"/>
  <c r="I14" i="48"/>
  <c r="I26" i="48" l="1"/>
  <c r="H26" i="48"/>
  <c r="L10" i="124"/>
  <c r="K9" i="124" l="1"/>
  <c r="D29" i="48"/>
  <c r="D28" i="48" s="1"/>
  <c r="G28" i="48"/>
  <c r="H28" i="48" l="1"/>
  <c r="G9" i="48"/>
  <c r="G8" i="48" s="1"/>
  <c r="H29" i="48"/>
  <c r="I28" i="48"/>
  <c r="I29" i="48"/>
  <c r="I24" i="48" l="1"/>
  <c r="C16" i="51" l="1"/>
  <c r="E17" i="48" l="1"/>
  <c r="C12" i="51"/>
  <c r="C8" i="51" s="1"/>
  <c r="C7" i="51" s="1"/>
  <c r="L7" i="51" s="1"/>
  <c r="J16" i="51"/>
  <c r="J12" i="51" s="1"/>
  <c r="J8" i="51" s="1"/>
  <c r="J7" i="51" s="1"/>
  <c r="E16" i="51"/>
  <c r="L16" i="51"/>
  <c r="E13" i="48" l="1"/>
  <c r="D17" i="48"/>
  <c r="D13" i="48" s="1"/>
  <c r="E12" i="51"/>
  <c r="E8" i="51" s="1"/>
  <c r="H16" i="51"/>
  <c r="I17" i="48"/>
  <c r="D9" i="48" l="1"/>
  <c r="E9" i="48"/>
  <c r="H12" i="51"/>
  <c r="E7" i="51"/>
  <c r="H7" i="51" s="1"/>
  <c r="I5" i="51" s="1"/>
  <c r="H8" i="51"/>
  <c r="I13" i="48" l="1"/>
  <c r="H13" i="48"/>
  <c r="H9" i="48" s="1"/>
  <c r="E8" i="48"/>
  <c r="I9" i="48"/>
  <c r="F8" i="48" l="1"/>
  <c r="D30" i="48" l="1"/>
  <c r="D8" i="48" s="1"/>
  <c r="H8" i="48" l="1"/>
  <c r="I8" i="48"/>
  <c r="I31" i="48"/>
  <c r="I30" i="48" s="1"/>
  <c r="K11" i="49"/>
  <c r="K10" i="49"/>
</calcChain>
</file>

<file path=xl/comments1.xml><?xml version="1.0" encoding="utf-8"?>
<comments xmlns="http://schemas.openxmlformats.org/spreadsheetml/2006/main">
  <authors>
    <author>HUONG</author>
    <author>GIA PHAT</author>
  </authors>
  <commentList>
    <comment ref="B351" authorId="0">
      <text>
        <r>
          <rPr>
            <b/>
            <sz val="9"/>
            <color indexed="81"/>
            <rFont val="Tahoma"/>
            <family val="2"/>
          </rPr>
          <t>HUONG:</t>
        </r>
        <r>
          <rPr>
            <sz val="9"/>
            <color indexed="81"/>
            <rFont val="Tahoma"/>
            <family val="2"/>
          </rPr>
          <t xml:space="preserve">
Bao gồm ra mắt bài hát của ubnd huyện</t>
        </r>
      </text>
    </comment>
    <comment ref="B367" authorId="1">
      <text>
        <r>
          <rPr>
            <b/>
            <sz val="9"/>
            <color indexed="81"/>
            <rFont val="Tahoma"/>
            <family val="2"/>
          </rPr>
          <t>GIA PHAT:</t>
        </r>
        <r>
          <rPr>
            <sz val="9"/>
            <color indexed="81"/>
            <rFont val="Tahoma"/>
            <family val="2"/>
          </rPr>
          <t xml:space="preserve">
</t>
        </r>
      </text>
    </comment>
  </commentList>
</comments>
</file>

<file path=xl/comments2.xml><?xml version="1.0" encoding="utf-8"?>
<comments xmlns="http://schemas.openxmlformats.org/spreadsheetml/2006/main">
  <authors>
    <author>HOANG ANH</author>
  </authors>
  <commentList>
    <comment ref="F35" authorId="0">
      <text>
        <r>
          <rPr>
            <b/>
            <sz val="9"/>
            <color indexed="81"/>
            <rFont val="Tahoma"/>
            <family val="2"/>
          </rPr>
          <t>HOANG ANH:</t>
        </r>
        <r>
          <rPr>
            <sz val="9"/>
            <color indexed="81"/>
            <rFont val="Tahoma"/>
            <family val="2"/>
          </rPr>
          <t xml:space="preserve">
9-7=2*phụ cấp*3 tháng</t>
        </r>
      </text>
    </comment>
    <comment ref="H35" authorId="0">
      <text>
        <r>
          <rPr>
            <b/>
            <sz val="9"/>
            <color indexed="81"/>
            <rFont val="Tahoma"/>
            <family val="2"/>
          </rPr>
          <t xml:space="preserve">HOANG ANH: </t>
        </r>
        <r>
          <rPr>
            <sz val="9"/>
            <color indexed="81"/>
            <rFont val="Tahoma"/>
            <family val="2"/>
          </rPr>
          <t>Hỗ trợ
14-6=8*phụ cấp*3 tháng</t>
        </r>
      </text>
    </comment>
    <comment ref="J35" authorId="0">
      <text>
        <r>
          <rPr>
            <b/>
            <sz val="9"/>
            <color indexed="81"/>
            <rFont val="Tahoma"/>
            <family val="2"/>
          </rPr>
          <t>HOANG ANH:</t>
        </r>
        <r>
          <rPr>
            <sz val="9"/>
            <color indexed="81"/>
            <rFont val="Tahoma"/>
            <family val="2"/>
          </rPr>
          <t xml:space="preserve">
Hỗ trợ: 13-8=5*phụ cấp*3 tháng</t>
        </r>
      </text>
    </comment>
    <comment ref="L35" authorId="0">
      <text>
        <r>
          <rPr>
            <b/>
            <sz val="9"/>
            <color indexed="81"/>
            <rFont val="Tahoma"/>
            <family val="2"/>
          </rPr>
          <t xml:space="preserve">HOANG ANH: </t>
        </r>
        <r>
          <rPr>
            <sz val="9"/>
            <color indexed="81"/>
            <rFont val="Tahoma"/>
            <family val="2"/>
          </rPr>
          <t>Hỗ trợ
14-8=6*phụ cấp*3 tháng</t>
        </r>
      </text>
    </comment>
    <comment ref="N35" authorId="0">
      <text>
        <r>
          <rPr>
            <b/>
            <sz val="9"/>
            <color indexed="81"/>
            <rFont val="Tahoma"/>
            <family val="2"/>
          </rPr>
          <t xml:space="preserve">HOANG ANH: </t>
        </r>
        <r>
          <rPr>
            <sz val="9"/>
            <color indexed="81"/>
            <rFont val="Tahoma"/>
            <family val="2"/>
          </rPr>
          <t>Hỗ trợ
10-4=6*phụ cấp*3 tháng</t>
        </r>
      </text>
    </comment>
    <comment ref="P35" authorId="0">
      <text>
        <r>
          <rPr>
            <b/>
            <sz val="9"/>
            <color indexed="81"/>
            <rFont val="Tahoma"/>
            <family val="2"/>
          </rPr>
          <t xml:space="preserve">HOANG ANH: </t>
        </r>
        <r>
          <rPr>
            <sz val="9"/>
            <color indexed="81"/>
            <rFont val="Tahoma"/>
            <family val="2"/>
          </rPr>
          <t>Hỗ trợ
10-5=5*phụ cấp*3 tháng</t>
        </r>
      </text>
    </comment>
    <comment ref="R35" authorId="0">
      <text>
        <r>
          <rPr>
            <b/>
            <sz val="9"/>
            <color indexed="81"/>
            <rFont val="Tahoma"/>
            <family val="2"/>
          </rPr>
          <t>HOANG ANH:</t>
        </r>
        <r>
          <rPr>
            <sz val="9"/>
            <color indexed="81"/>
            <rFont val="Tahoma"/>
            <family val="2"/>
          </rPr>
          <t xml:space="preserve">
Hỗ trợ: 13-7=6*phụ cấp*3 tháng</t>
        </r>
      </text>
    </comment>
    <comment ref="V35" authorId="0">
      <text>
        <r>
          <rPr>
            <b/>
            <sz val="9"/>
            <color indexed="81"/>
            <rFont val="Tahoma"/>
            <family val="2"/>
          </rPr>
          <t>HOANG ANH:</t>
        </r>
        <r>
          <rPr>
            <sz val="9"/>
            <color indexed="81"/>
            <rFont val="Tahoma"/>
            <family val="2"/>
          </rPr>
          <t xml:space="preserve">
Hỗ trợ: 15-9=6*phụ cấp*3 tháng</t>
        </r>
      </text>
    </comment>
    <comment ref="X35" authorId="0">
      <text>
        <r>
          <rPr>
            <b/>
            <sz val="9"/>
            <color indexed="81"/>
            <rFont val="Tahoma"/>
            <family val="2"/>
          </rPr>
          <t>HOANG ANH:</t>
        </r>
        <r>
          <rPr>
            <sz val="9"/>
            <color indexed="81"/>
            <rFont val="Tahoma"/>
            <family val="2"/>
          </rPr>
          <t xml:space="preserve">
Hỗ trợ: 19-11=8*phụ cấp*3 tháng</t>
        </r>
      </text>
    </comment>
    <comment ref="Z35" authorId="0">
      <text>
        <r>
          <rPr>
            <b/>
            <sz val="9"/>
            <color indexed="81"/>
            <rFont val="Tahoma"/>
            <family val="2"/>
          </rPr>
          <t>HOANG ANH:</t>
        </r>
        <r>
          <rPr>
            <sz val="9"/>
            <color indexed="81"/>
            <rFont val="Tahoma"/>
            <family val="2"/>
          </rPr>
          <t xml:space="preserve">
Hỗ trợ: 21-9=12*phụ cấp*3 tháng</t>
        </r>
      </text>
    </comment>
    <comment ref="AB35" authorId="0">
      <text>
        <r>
          <rPr>
            <b/>
            <sz val="9"/>
            <color indexed="81"/>
            <rFont val="Tahoma"/>
            <family val="2"/>
          </rPr>
          <t>HOANG ANH:</t>
        </r>
        <r>
          <rPr>
            <sz val="9"/>
            <color indexed="81"/>
            <rFont val="Tahoma"/>
            <family val="2"/>
          </rPr>
          <t xml:space="preserve">
Hỗ trợ: 21-9=12*phụ cấp*3 tháng</t>
        </r>
      </text>
    </comment>
    <comment ref="AD35" authorId="0">
      <text>
        <r>
          <rPr>
            <b/>
            <sz val="9"/>
            <color indexed="81"/>
            <rFont val="Tahoma"/>
            <family val="2"/>
          </rPr>
          <t>HOANG ANH:</t>
        </r>
        <r>
          <rPr>
            <sz val="9"/>
            <color indexed="81"/>
            <rFont val="Tahoma"/>
            <family val="2"/>
          </rPr>
          <t xml:space="preserve">
Hỗ trợ: 10-6=4*phụ cấp*3 tháng</t>
        </r>
      </text>
    </comment>
    <comment ref="AF35" authorId="0">
      <text>
        <r>
          <rPr>
            <b/>
            <sz val="9"/>
            <color indexed="81"/>
            <rFont val="Tahoma"/>
            <family val="2"/>
          </rPr>
          <t>HOANG ANH:</t>
        </r>
        <r>
          <rPr>
            <sz val="9"/>
            <color indexed="81"/>
            <rFont val="Tahoma"/>
            <family val="2"/>
          </rPr>
          <t xml:space="preserve">
Hỗ trợ: 6-4=2*phụ cấp*3 tháng</t>
        </r>
      </text>
    </comment>
    <comment ref="AH35" authorId="0">
      <text>
        <r>
          <rPr>
            <b/>
            <sz val="9"/>
            <color indexed="81"/>
            <rFont val="Tahoma"/>
            <family val="2"/>
          </rPr>
          <t>HOANG ANH:</t>
        </r>
        <r>
          <rPr>
            <sz val="9"/>
            <color indexed="81"/>
            <rFont val="Tahoma"/>
            <family val="2"/>
          </rPr>
          <t xml:space="preserve">
Hỗ trợ: 13-11=2*phụ cấp*3 tháng</t>
        </r>
      </text>
    </comment>
    <comment ref="AJ35" authorId="0">
      <text>
        <r>
          <rPr>
            <b/>
            <sz val="9"/>
            <color indexed="81"/>
            <rFont val="Tahoma"/>
            <family val="2"/>
          </rPr>
          <t>HOANG ANH:</t>
        </r>
        <r>
          <rPr>
            <sz val="9"/>
            <color indexed="81"/>
            <rFont val="Tahoma"/>
            <family val="2"/>
          </rPr>
          <t xml:space="preserve">
Hỗ trợ: 9-4=5*phụ cấp*3 tháng</t>
        </r>
      </text>
    </comment>
    <comment ref="AL35" authorId="0">
      <text>
        <r>
          <rPr>
            <b/>
            <sz val="9"/>
            <color indexed="81"/>
            <rFont val="Tahoma"/>
            <family val="2"/>
          </rPr>
          <t>HOANG ANH:</t>
        </r>
        <r>
          <rPr>
            <sz val="9"/>
            <color indexed="81"/>
            <rFont val="Tahoma"/>
            <family val="2"/>
          </rPr>
          <t xml:space="preserve">
Hỗ trợ: 19-9=10*phụ cấp*3 tháng</t>
        </r>
      </text>
    </comment>
    <comment ref="L36" authorId="0">
      <text>
        <r>
          <rPr>
            <b/>
            <sz val="9"/>
            <color indexed="81"/>
            <rFont val="Tahoma"/>
            <family val="2"/>
          </rPr>
          <t xml:space="preserve">HOANG ANH: </t>
        </r>
        <r>
          <rPr>
            <sz val="9"/>
            <color indexed="81"/>
            <rFont val="Tahoma"/>
            <family val="2"/>
          </rPr>
          <t>Hỗ trợ
14-8=6*phụ cấp*3 tháng</t>
        </r>
      </text>
    </comment>
    <comment ref="X36" authorId="0">
      <text>
        <r>
          <rPr>
            <b/>
            <sz val="9"/>
            <color indexed="81"/>
            <rFont val="Tahoma"/>
            <family val="2"/>
          </rPr>
          <t>HOANG ANH:</t>
        </r>
        <r>
          <rPr>
            <sz val="9"/>
            <color indexed="81"/>
            <rFont val="Tahoma"/>
            <family val="2"/>
          </rPr>
          <t xml:space="preserve">
Hỗ trợ: 19-11=8*phụ cấp*3 tháng</t>
        </r>
      </text>
    </comment>
    <comment ref="Z36" authorId="0">
      <text>
        <r>
          <rPr>
            <b/>
            <sz val="9"/>
            <color indexed="81"/>
            <rFont val="Tahoma"/>
            <family val="2"/>
          </rPr>
          <t>HOANG ANH:</t>
        </r>
        <r>
          <rPr>
            <sz val="9"/>
            <color indexed="81"/>
            <rFont val="Tahoma"/>
            <family val="2"/>
          </rPr>
          <t xml:space="preserve">
Hỗ trợ: 21-9=12*phụ cấp*3 tháng</t>
        </r>
      </text>
    </comment>
    <comment ref="AB36" authorId="0">
      <text>
        <r>
          <rPr>
            <b/>
            <sz val="9"/>
            <color indexed="81"/>
            <rFont val="Tahoma"/>
            <family val="2"/>
          </rPr>
          <t>HOANG ANH:</t>
        </r>
        <r>
          <rPr>
            <sz val="9"/>
            <color indexed="81"/>
            <rFont val="Tahoma"/>
            <family val="2"/>
          </rPr>
          <t xml:space="preserve">
Hỗ trợ: 20-9=11*phụ cấp*3 tháng</t>
        </r>
      </text>
    </comment>
    <comment ref="AD36" authorId="0">
      <text>
        <r>
          <rPr>
            <b/>
            <sz val="9"/>
            <color indexed="81"/>
            <rFont val="Tahoma"/>
            <family val="2"/>
          </rPr>
          <t>HOANG ANH:</t>
        </r>
        <r>
          <rPr>
            <sz val="9"/>
            <color indexed="81"/>
            <rFont val="Tahoma"/>
            <family val="2"/>
          </rPr>
          <t xml:space="preserve">
Hỗ trợ: 10-6=4*phụ cấp*3 tháng</t>
        </r>
      </text>
    </comment>
    <comment ref="AF36" authorId="0">
      <text>
        <r>
          <rPr>
            <b/>
            <sz val="9"/>
            <color indexed="81"/>
            <rFont val="Tahoma"/>
            <family val="2"/>
          </rPr>
          <t>HOANG ANH:</t>
        </r>
        <r>
          <rPr>
            <sz val="9"/>
            <color indexed="81"/>
            <rFont val="Tahoma"/>
            <family val="2"/>
          </rPr>
          <t xml:space="preserve">
Hỗ trợ: 6-4=2*phụ cấp*3 tháng</t>
        </r>
      </text>
    </comment>
    <comment ref="P41" authorId="0">
      <text>
        <r>
          <rPr>
            <b/>
            <sz val="9"/>
            <color indexed="81"/>
            <rFont val="Tahoma"/>
            <family val="2"/>
          </rPr>
          <t>HOANG ANH:</t>
        </r>
        <r>
          <rPr>
            <sz val="9"/>
            <color indexed="81"/>
            <rFont val="Tahoma"/>
            <family val="2"/>
          </rPr>
          <t xml:space="preserve">
Chưa sáp nhập: 5 CHT</t>
        </r>
      </text>
    </comment>
    <comment ref="AH41" authorId="0">
      <text>
        <r>
          <rPr>
            <b/>
            <sz val="9"/>
            <color indexed="81"/>
            <rFont val="Tahoma"/>
            <family val="2"/>
          </rPr>
          <t>HOANG ANH:</t>
        </r>
        <r>
          <rPr>
            <sz val="9"/>
            <color indexed="81"/>
            <rFont val="Tahoma"/>
            <family val="2"/>
          </rPr>
          <t xml:space="preserve">
Chưa sáp nhập có 11 CHT CCB</t>
        </r>
      </text>
    </comment>
    <comment ref="AH92" authorId="0">
      <text>
        <r>
          <rPr>
            <b/>
            <sz val="9"/>
            <color indexed="81"/>
            <rFont val="Tahoma"/>
            <family val="2"/>
          </rPr>
          <t>HOANG ANH:</t>
        </r>
        <r>
          <rPr>
            <sz val="9"/>
            <color indexed="81"/>
            <rFont val="Tahoma"/>
            <family val="2"/>
          </rPr>
          <t xml:space="preserve">
chỉ xác định thâm niên DQTV không đóng BHXH</t>
        </r>
      </text>
    </comment>
  </commentList>
</comments>
</file>

<file path=xl/sharedStrings.xml><?xml version="1.0" encoding="utf-8"?>
<sst xmlns="http://schemas.openxmlformats.org/spreadsheetml/2006/main" count="2848" uniqueCount="1580">
  <si>
    <t>3.1</t>
  </si>
  <si>
    <t xml:space="preserve"> +</t>
  </si>
  <si>
    <t>3.2</t>
  </si>
  <si>
    <t xml:space="preserve"> - Nguồn phân cấp cho huyện điều hành</t>
  </si>
  <si>
    <t xml:space="preserve"> - Nguồn thu tiền sử dụng đất</t>
  </si>
  <si>
    <t xml:space="preserve">    + Các khoản hoạt động</t>
  </si>
  <si>
    <t xml:space="preserve"> - Nhà khách</t>
  </si>
  <si>
    <t xml:space="preserve">    + KP hoạt động cấp huyện</t>
  </si>
  <si>
    <t xml:space="preserve"> - Quỹ tiền lương và các khoản đóng góp</t>
  </si>
  <si>
    <t xml:space="preserve"> - Các khoản hoạt động</t>
  </si>
  <si>
    <t xml:space="preserve">    + Trung đội trưởng DQ cơ động (0,2)</t>
  </si>
  <si>
    <t>11- Phòng Văn hóa và Thông tin</t>
  </si>
  <si>
    <t xml:space="preserve">    + Hỗ trợ tiền ăn, tiền ở và mua tủ thuốc dùng chung theo Nghị định số 116/2016/NĐ-CP</t>
  </si>
  <si>
    <t xml:space="preserve">    + KP theo Nghị quyết số 54/2016/NQ-HĐND tỉnh Bắc Kạn</t>
  </si>
  <si>
    <t xml:space="preserve">    + Quỹ tiền lương và các khoản đóng góp (biên chế chưa tuyển)</t>
  </si>
  <si>
    <t xml:space="preserve"> - Trung tâm Giáo dục nghề nghiệp-GDTX</t>
  </si>
  <si>
    <t xml:space="preserve"> - Trung tâm học tập cộng đồng</t>
  </si>
  <si>
    <t xml:space="preserve"> - Phụ cấp phó Chủ tịch Hội</t>
  </si>
  <si>
    <t>1- Văn phòng HĐND - UBND</t>
  </si>
  <si>
    <t xml:space="preserve"> -BC chính thức</t>
  </si>
  <si>
    <t xml:space="preserve">       HĐ khác</t>
  </si>
  <si>
    <t xml:space="preserve">       Lái xe</t>
  </si>
  <si>
    <t>Xuân Dương</t>
  </si>
  <si>
    <t>Côn Minh</t>
  </si>
  <si>
    <t>Kim Lư</t>
  </si>
  <si>
    <t>Dương Sơn</t>
  </si>
  <si>
    <t>Văn Minh</t>
  </si>
  <si>
    <t>Kim Hỷ</t>
  </si>
  <si>
    <t>Cư Lễ</t>
  </si>
  <si>
    <t>Lương Thượng</t>
  </si>
  <si>
    <t>Cường Lợi</t>
  </si>
  <si>
    <t>Liêm Thuỷ</t>
  </si>
  <si>
    <t>Đổng Xá</t>
  </si>
  <si>
    <t xml:space="preserve"> Chi đầu tư phát triển</t>
  </si>
  <si>
    <t>Chi sự nghiệp kinh tế</t>
  </si>
  <si>
    <t>Chi an ninh</t>
  </si>
  <si>
    <t>A</t>
  </si>
  <si>
    <t>B</t>
  </si>
  <si>
    <t>TT</t>
  </si>
  <si>
    <t>I</t>
  </si>
  <si>
    <t xml:space="preserve">     + Học bổng, chi phí học tập cho học sinh khuyết tật theo TTLT số 42/2013/TTLT-BGDĐT-BLĐTB&amp;XH</t>
  </si>
  <si>
    <t>II</t>
  </si>
  <si>
    <t>III</t>
  </si>
  <si>
    <t>Quang Phong</t>
  </si>
  <si>
    <t>*</t>
  </si>
  <si>
    <t>Chi quản lý hành chính</t>
  </si>
  <si>
    <t>Chi đảm bảo xã hội</t>
  </si>
  <si>
    <t>Chi quốc phòng</t>
  </si>
  <si>
    <t>Thu bổ sung từ ngân sách cấp huyện</t>
  </si>
  <si>
    <t>Quản lý hành chính</t>
  </si>
  <si>
    <t>DỰ PHÒNG NGÂN SÁCH</t>
  </si>
  <si>
    <t>CHI ĐẦU TƯ PHÁT TRIỂN</t>
  </si>
  <si>
    <t>CHI THƯỜNG XUYÊN</t>
  </si>
  <si>
    <t xml:space="preserve"> Các khoản phân chia </t>
  </si>
  <si>
    <t xml:space="preserve"> NĂM 2016</t>
  </si>
  <si>
    <t>Kế hoạch huyện hưởng</t>
  </si>
  <si>
    <t xml:space="preserve"> Chênh lệch số phân chia</t>
  </si>
  <si>
    <t>Thu NSNN</t>
  </si>
  <si>
    <t xml:space="preserve"> </t>
  </si>
  <si>
    <t>Hưu xã</t>
  </si>
  <si>
    <t>Kinh phí chúc thọ mừng thọ</t>
  </si>
  <si>
    <t>V</t>
  </si>
  <si>
    <t xml:space="preserve">    + Huấn luyện DQTV tại chỗ (7 ngày)</t>
  </si>
  <si>
    <t xml:space="preserve">    + Huấn luyện dân quân cơ động (12 ngày)</t>
  </si>
  <si>
    <t xml:space="preserve">    + Huấn luyện DQTV pháo binh (12 ngày)</t>
  </si>
  <si>
    <t xml:space="preserve">    + Huấn luyện DQTV binh chủng (12 ngày)</t>
  </si>
  <si>
    <t xml:space="preserve">    + Huấn luyện DQTV năm thứ nhất (15 ngày)</t>
  </si>
  <si>
    <t>VI</t>
  </si>
  <si>
    <t>5.1</t>
  </si>
  <si>
    <t>5.2</t>
  </si>
  <si>
    <t>Các tổ chức XH - Tổ chức XH nghề nghiệp</t>
  </si>
  <si>
    <t>STT</t>
  </si>
  <si>
    <t xml:space="preserve"> -</t>
  </si>
  <si>
    <t xml:space="preserve">  An ninh</t>
  </si>
  <si>
    <t>Liêm Thủy</t>
  </si>
  <si>
    <t xml:space="preserve">         Đơn vị tính: Nghìn đồng</t>
  </si>
  <si>
    <t>Kế hoạch tỉnh      giao</t>
  </si>
  <si>
    <t>Kế hoạch huyện giao</t>
  </si>
  <si>
    <t xml:space="preserve"> Chênh lệch</t>
  </si>
  <si>
    <t>Chỉ tiêu thu</t>
  </si>
  <si>
    <t>TỔNG THU CÂN ĐỐI</t>
  </si>
  <si>
    <t>Thu NS huyện, xã hưởng theo phân cấp</t>
  </si>
  <si>
    <t>Tổng thu ngân sách trên địa bàn</t>
  </si>
  <si>
    <t>Thu từ XNQDTrung ương</t>
  </si>
  <si>
    <t xml:space="preserve">  - Thuế GTGT</t>
  </si>
  <si>
    <t>Thu từ XNQD địa phương</t>
  </si>
  <si>
    <t>Thu từ dịch vụ ngoài QD</t>
  </si>
  <si>
    <t xml:space="preserve">   - Thuế GTGT </t>
  </si>
  <si>
    <t xml:space="preserve">   - Thuế thu nhập doanh nghiệp</t>
  </si>
  <si>
    <t xml:space="preserve">   - Thuế tài nguyên</t>
  </si>
  <si>
    <t xml:space="preserve">   - Thuế môn bài</t>
  </si>
  <si>
    <t xml:space="preserve">   - Thu khác</t>
  </si>
  <si>
    <t>Lệ phí trước bạ</t>
  </si>
  <si>
    <t xml:space="preserve">   - Lệ phí nhà đất</t>
  </si>
  <si>
    <t xml:space="preserve">   - Lệ phí trước bạ phương tiện</t>
  </si>
  <si>
    <t>Thuế nhà đất/Phi NN</t>
  </si>
  <si>
    <t>Tiền thuê đất</t>
  </si>
  <si>
    <t>Thu tiền sử dụng đất</t>
  </si>
  <si>
    <t xml:space="preserve">Thuế TNCN </t>
  </si>
  <si>
    <t>Phí, lệ phí</t>
  </si>
  <si>
    <t xml:space="preserve">   - Phí BVMT</t>
  </si>
  <si>
    <t xml:space="preserve">   - Phí, lệ phí khác</t>
  </si>
  <si>
    <t xml:space="preserve">Thuế sử dụng đất nông nghiệp </t>
  </si>
  <si>
    <t>Thu khác ngân sách</t>
  </si>
  <si>
    <t xml:space="preserve">Thu trợ cấp cân đối ngân sách </t>
  </si>
  <si>
    <t>Tổng thu</t>
  </si>
  <si>
    <t>Thu tại huyện</t>
  </si>
  <si>
    <t>Thu xã hưởng</t>
  </si>
  <si>
    <t>Nội dung thu</t>
  </si>
  <si>
    <t>TỔNG THU NSNN</t>
  </si>
  <si>
    <t>TỔNG HỢP</t>
  </si>
  <si>
    <t>TỔNG THU NGÂN SÁCH XÃ</t>
  </si>
  <si>
    <t>Thu ngân sách xã hưởng theo phân cấp</t>
  </si>
  <si>
    <t>TỔNG CHI NGÂN SÁCH XÃ</t>
  </si>
  <si>
    <t xml:space="preserve">Kế hoạch </t>
  </si>
  <si>
    <t>Ghi chú</t>
  </si>
  <si>
    <t>TỔNG CHI NGÂN SÁCH</t>
  </si>
  <si>
    <t>Huyện phân bổ</t>
  </si>
  <si>
    <t>So sánh</t>
  </si>
  <si>
    <t>Ngân sách huyện</t>
  </si>
  <si>
    <t>Ngân sách xã</t>
  </si>
  <si>
    <t>Số tương đối (%)</t>
  </si>
  <si>
    <t>TỔNG CHI CÂN ĐỐI</t>
  </si>
  <si>
    <t>Chi sự nghiệp môi trường</t>
  </si>
  <si>
    <t>- Chi sự nghiệp giáo dục</t>
  </si>
  <si>
    <t>- Chi sự nghiệp đào tạo</t>
  </si>
  <si>
    <t>Chi đảo bảo xã hội</t>
  </si>
  <si>
    <t>Tỉnh giao</t>
  </si>
  <si>
    <t>Thị trấn Yến Lạc</t>
  </si>
  <si>
    <t>Chi trợ cấp ngân sách xã</t>
  </si>
  <si>
    <t>Chi thường xuyên khác</t>
  </si>
  <si>
    <t>Sự nghiệp môi trường</t>
  </si>
  <si>
    <t>Quỹ lương cán bộ không chuyên trách cấp xã, thôn</t>
  </si>
  <si>
    <t xml:space="preserve">    + Quỹ tiền lương và các khoản đóng góp</t>
  </si>
  <si>
    <t>Phân bổ</t>
  </si>
  <si>
    <t>Chỉ tiêu</t>
  </si>
  <si>
    <t>Số tuyệt đối tăng (+), giảm (-)</t>
  </si>
  <si>
    <t>4.1</t>
  </si>
  <si>
    <t>4.2</t>
  </si>
  <si>
    <t xml:space="preserve"> Xuân Dương</t>
  </si>
  <si>
    <t xml:space="preserve">  Dương Sơn</t>
  </si>
  <si>
    <t>Số người</t>
  </si>
  <si>
    <t>Số tiền</t>
  </si>
  <si>
    <t>Quản lý nhà nước, đảng, đoàn thể</t>
  </si>
  <si>
    <t>Cán bộ công chức chuyên trách cấp xã</t>
  </si>
  <si>
    <t xml:space="preserve">  Đại biểu HĐND</t>
  </si>
  <si>
    <t xml:space="preserve">   + Phụ cấp đại biểu HĐND</t>
  </si>
  <si>
    <t xml:space="preserve"> - Hoạt động</t>
  </si>
  <si>
    <t xml:space="preserve">  Quốc phòng</t>
  </si>
  <si>
    <t xml:space="preserve">Kinh phí khu dân cư </t>
  </si>
  <si>
    <t>Sự nghiệp Văn hoá thông tin-TD-TT</t>
  </si>
  <si>
    <t>Sự nghiệp xã hội</t>
  </si>
  <si>
    <t>Chi ngân sách cấp ngân sách xã</t>
  </si>
  <si>
    <t>1.3</t>
  </si>
  <si>
    <t>1.5</t>
  </si>
  <si>
    <t>1.6</t>
  </si>
  <si>
    <t xml:space="preserve"> Nguồn thu tiền sử dụng đất</t>
  </si>
  <si>
    <t xml:space="preserve"> Nguồn phân cấp cho huyện điều hành</t>
  </si>
  <si>
    <t>Chi đầu tư phát triển</t>
  </si>
  <si>
    <t>Nguồn phân cấp cho huyện điều hành</t>
  </si>
  <si>
    <t>Nguồn thu tiền sử dụng đất</t>
  </si>
  <si>
    <t>Chi thường xuyên</t>
  </si>
  <si>
    <t>Dự phòng ngân sách</t>
  </si>
  <si>
    <t xml:space="preserve"> Nội dung</t>
  </si>
  <si>
    <t>B/chế có mặt</t>
  </si>
  <si>
    <t>ĐM phân bổ</t>
  </si>
  <si>
    <t>Tổng chi</t>
  </si>
  <si>
    <t>Nội dung chi</t>
  </si>
  <si>
    <t>VII</t>
  </si>
  <si>
    <t>VIII</t>
  </si>
  <si>
    <t>Cộng (I-VI)</t>
  </si>
  <si>
    <t>Tổng cộng (VI+VII+VIII)</t>
  </si>
  <si>
    <t>Hỗ trợ hoạt động chung của xã</t>
  </si>
  <si>
    <t>IV</t>
  </si>
  <si>
    <t xml:space="preserve"> Đơn vị tính: Nghìn đồng</t>
  </si>
  <si>
    <t>Tổng số</t>
  </si>
  <si>
    <t>Sự nghiệp phát thanh truyền hình</t>
  </si>
  <si>
    <t>1.1</t>
  </si>
  <si>
    <t>1.2</t>
  </si>
  <si>
    <t>C</t>
  </si>
  <si>
    <t>Số TT</t>
  </si>
  <si>
    <t>Kinh phí hoạt động của Hội đồng nhân dân</t>
  </si>
  <si>
    <t>Lương, và các khoản đóng góp</t>
  </si>
  <si>
    <t xml:space="preserve"> Hoạt động</t>
  </si>
  <si>
    <t>Người nghỉ hưu giữ chức vụ lãnh đạo chuyên trách đứng đầu các hội theo QĐ 30/2011/QĐ-TTg</t>
  </si>
  <si>
    <t xml:space="preserve">     + BHYT  (4,5%)</t>
  </si>
  <si>
    <t xml:space="preserve"> Dự phòng ngân sách </t>
  </si>
  <si>
    <t xml:space="preserve">       Đơn vị tính: Nghìn đồng</t>
  </si>
  <si>
    <t>Tổng cộng</t>
  </si>
  <si>
    <t xml:space="preserve">Thuế thu nhập cá nhân </t>
  </si>
  <si>
    <t>Thuế nhà đất/Phi nông nghiệp</t>
  </si>
  <si>
    <t>Thu từ dịch vụ ngoài quốc doanh</t>
  </si>
  <si>
    <t>Thu ngân sách huyện, xã hưởng theo phân cấp</t>
  </si>
  <si>
    <t>Thu từ xí nghiệp quốc doanh địa phương</t>
  </si>
  <si>
    <t>Thuế thu nhập cá nhân</t>
  </si>
  <si>
    <t>Lĩnh vực quản lý hành chính</t>
  </si>
  <si>
    <t>Nội dung</t>
  </si>
  <si>
    <t>Đơn vị tính: Nghìn đồng</t>
  </si>
  <si>
    <t>Kế hoạch giao</t>
  </si>
  <si>
    <t>Chủ đầu tư</t>
  </si>
  <si>
    <t>TỔNG NGUỒN</t>
  </si>
  <si>
    <t xml:space="preserve"> Phòng Kinh tế và Hạ tầng</t>
  </si>
  <si>
    <t xml:space="preserve"> Hỗ trợ xây dựng nông thôn mới</t>
  </si>
  <si>
    <t xml:space="preserve">Thu trên địa bàn xã </t>
  </si>
  <si>
    <t>Kế hoạch tỉnh giao</t>
  </si>
  <si>
    <t xml:space="preserve"> DỰ TOÁN</t>
  </si>
  <si>
    <t xml:space="preserve"> TỔNG HỢP </t>
  </si>
  <si>
    <t>KẾ HOẠCH VỐN CÂN ĐỐI NGÂN SÁCH HUYỆN ĐIỀU HÀNH,</t>
  </si>
  <si>
    <t>NGUỒN CÂN ĐỐI HUYỆN ĐIỀU HÀNH</t>
  </si>
  <si>
    <t>Thu bổ sung cân đối</t>
  </si>
  <si>
    <t>Thu bổ sung có mục tiêu</t>
  </si>
  <si>
    <t>-</t>
  </si>
  <si>
    <t>2.1</t>
  </si>
  <si>
    <t>2.2</t>
  </si>
  <si>
    <t>2.3</t>
  </si>
  <si>
    <t>+</t>
  </si>
  <si>
    <t>Đoàn thể</t>
  </si>
  <si>
    <t>Kinh phí mua BHYT cho cựu chiến binh, thanh niên xung phong, đối tượng tham gia kháng chiến Lào, Campuchia</t>
  </si>
  <si>
    <t>Bổ sung có mục tiêu</t>
  </si>
  <si>
    <t>Bổ sung cân đối</t>
  </si>
  <si>
    <t>Hệ số</t>
  </si>
  <si>
    <t>Hệ số phụ cấp chức vụ</t>
  </si>
  <si>
    <t>Các ngành khác</t>
  </si>
  <si>
    <t>Theo QĐ 244/2005/QĐ-CP</t>
  </si>
  <si>
    <t>Khoa học - công nghệ</t>
  </si>
  <si>
    <t>Phòng Nông nghiệp &amp; PTNT</t>
  </si>
  <si>
    <t xml:space="preserve"> - Kinh phí HĐND</t>
  </si>
  <si>
    <t xml:space="preserve">    + Phụ cấp đại biểu HĐND</t>
  </si>
  <si>
    <t xml:space="preserve"> - Quỹ tiền lương và các khoản đóng góp (biên chế chưa tuyển)</t>
  </si>
  <si>
    <t>5-  Phòng Tư pháp</t>
  </si>
  <si>
    <t xml:space="preserve"> - Kinh phí giáo dục pháp luật</t>
  </si>
  <si>
    <t>Hệ số phụ cấp trách nhiệm</t>
  </si>
  <si>
    <t>Vốn đầu tư</t>
  </si>
  <si>
    <t xml:space="preserve"> - Chi xây dựng, kiểm tra rà soát văn bản</t>
  </si>
  <si>
    <t xml:space="preserve"> - Kinh phí hoạt động, bảo dưỡng mạng TABMIS</t>
  </si>
  <si>
    <t>4- Phòng Kinh tế và Hạ tầng</t>
  </si>
  <si>
    <t>3- Phòng Tài nguyên &amp; Môi trường</t>
  </si>
  <si>
    <t>2- Phòng Nông nghiệp &amp; PTNT</t>
  </si>
  <si>
    <t>6-Thanh tra Nhà nước</t>
  </si>
  <si>
    <t>7- Phòng Nội vụ</t>
  </si>
  <si>
    <t>10- Phòng Giáo dục và Đào tạo</t>
  </si>
  <si>
    <t xml:space="preserve"> - Biên chế chính thức</t>
  </si>
  <si>
    <t xml:space="preserve">           Hợp đồng khác</t>
  </si>
  <si>
    <t xml:space="preserve">           Lái xe</t>
  </si>
  <si>
    <t xml:space="preserve"> - Phụ cấp báo cáo viên</t>
  </si>
  <si>
    <t xml:space="preserve"> - Phụ cấp trách nhiệm cấp ủy</t>
  </si>
  <si>
    <t>1- Uỷ ban Mặt trận Tổ quốc</t>
  </si>
  <si>
    <t>2- Đoàn Thanh niên</t>
  </si>
  <si>
    <t>5- Hội Cựu chiến binh</t>
  </si>
  <si>
    <t xml:space="preserve"> - Thù lao theo QĐ 30/2011/QĐ-TTg </t>
  </si>
  <si>
    <t>3- Hội Luật gia</t>
  </si>
  <si>
    <t>2- Hội Đông y</t>
  </si>
  <si>
    <t>4- Hội Cựu Thanh niên xung phong</t>
  </si>
  <si>
    <t>5- Hội Người cao tuổi</t>
  </si>
  <si>
    <t>6- Hội Nạn nhân chất độc da cam/Dioxin</t>
  </si>
  <si>
    <t>NGUỒN ĐẦU TƯ</t>
  </si>
  <si>
    <t>Cấp giấy chứng nhận quyền sử dụng đất</t>
  </si>
  <si>
    <t xml:space="preserve">    + Kinh phí hỗ trợ đại biểu</t>
  </si>
  <si>
    <t xml:space="preserve">    + Kinh phí hỗ trợ tổ đại biểu </t>
  </si>
  <si>
    <t>D</t>
  </si>
  <si>
    <t>Theo mức quy định</t>
  </si>
  <si>
    <t>Biểu 01DT</t>
  </si>
  <si>
    <t>Biểu 02DT</t>
  </si>
  <si>
    <t>Biểu 03DT</t>
  </si>
  <si>
    <t>Biểu 04DT</t>
  </si>
  <si>
    <t>Biểu 05DT</t>
  </si>
  <si>
    <t>Biểu 06DT</t>
  </si>
  <si>
    <t>Biểu 07DT</t>
  </si>
  <si>
    <t xml:space="preserve">Sự nghiệp môi trường </t>
  </si>
  <si>
    <t xml:space="preserve"> - Kinh phí hoạt động cổng thông tin điện tử huyện</t>
  </si>
  <si>
    <t xml:space="preserve"> Sự nghiệp kinh tế </t>
  </si>
  <si>
    <t xml:space="preserve"> Theo định mức </t>
  </si>
  <si>
    <t xml:space="preserve">     + Mức 300 (70 tuổi)</t>
  </si>
  <si>
    <t xml:space="preserve">     + Mức 400 (75 tuổi)</t>
  </si>
  <si>
    <t xml:space="preserve">     + Mức 500 (80 tuổi)</t>
  </si>
  <si>
    <t xml:space="preserve">     + Mức 600 (85 tuổi)</t>
  </si>
  <si>
    <t xml:space="preserve">     + Mức 900 (95 tuổi)</t>
  </si>
  <si>
    <t>Văn hoá thông tin</t>
  </si>
  <si>
    <t xml:space="preserve"> - Kinh phí thực hiện công tác bình đẳng giới</t>
  </si>
  <si>
    <t xml:space="preserve">    + Huấn luyện DQTV phòng không (12 ngày)</t>
  </si>
  <si>
    <t xml:space="preserve">     + Chi in ấn hoặc mua “Giấy mừng thọ”, “Thiếp chúc thọ”, làm khung “Giấy mừng thọ”, “Thiếp chúc thọ”;</t>
  </si>
  <si>
    <t>Dự toán chưa phân bổ</t>
  </si>
  <si>
    <t>Nguồn sự nghiệp kinh tế</t>
  </si>
  <si>
    <t xml:space="preserve">      Đơn vị tính: Nghìn đồng</t>
  </si>
  <si>
    <t xml:space="preserve">                         Đơn vị tính: Nghìn đồng</t>
  </si>
  <si>
    <t xml:space="preserve">      Đơn vị tính: Nghìn đồng             </t>
  </si>
  <si>
    <t>Văn Lang</t>
  </si>
  <si>
    <t>Sơn  Thành</t>
  </si>
  <si>
    <t>Trần Phú</t>
  </si>
  <si>
    <t>Văn Vũ</t>
  </si>
  <si>
    <t>Cán bộ không chuyên trách cấp xã</t>
  </si>
  <si>
    <t>Nhân viên thú y</t>
  </si>
  <si>
    <t>Người làm công tác Lâm nghiệp -Kế hoạch - Giao thông</t>
  </si>
  <si>
    <t>Người làm công tác bảo vệ trẻ em</t>
  </si>
  <si>
    <t>Người làm công tác Đài truyền thanh</t>
  </si>
  <si>
    <t xml:space="preserve"> NGUỒN THU TIỀN SỬ DỤNG ĐẤT </t>
  </si>
  <si>
    <t>Sơn Thành</t>
  </si>
  <si>
    <t>4.1.1</t>
  </si>
  <si>
    <t>Phòng Giáo dục &amp; Đào tạo</t>
  </si>
  <si>
    <t>4.1.2</t>
  </si>
  <si>
    <t>Kinh phí quản lý, bảo trì đường bộ cho các quỹ bảo trì đường bộ địa phương</t>
  </si>
  <si>
    <t xml:space="preserve"> - Phụ cấp trách nhiệm đội ngũ công tác viên dư luận XH</t>
  </si>
  <si>
    <t>Dư chưa phân bổ</t>
  </si>
  <si>
    <t xml:space="preserve"> - Trợ cấp ngày công lao động (B3đ)</t>
  </si>
  <si>
    <t>Phát thanh truyền hình</t>
  </si>
  <si>
    <t>1</t>
  </si>
  <si>
    <t>2</t>
  </si>
  <si>
    <t>Quản lý nhà nước</t>
  </si>
  <si>
    <t>Khối Đảng</t>
  </si>
  <si>
    <t xml:space="preserve">    + Chính sách học bổng học sinh dân tộc nội trú theo thông tư 109/2009/TT-BTC-BGD</t>
  </si>
  <si>
    <t xml:space="preserve"> - Các khoản chế độ chính sách</t>
  </si>
  <si>
    <t xml:space="preserve">   + Chính sách đối với trường PTDTNT theo Thông tư 109/2009/TTLT-BTC-BGDĐT</t>
  </si>
  <si>
    <t xml:space="preserve">   + Sửa chữa thường xuyên</t>
  </si>
  <si>
    <t xml:space="preserve"> - Hỗ trợ kinh phí chi sự nghiệp giáo dục </t>
  </si>
  <si>
    <t xml:space="preserve">    + Chi các hoạt động đặc thù của ngành giáo dục (Phòng Giáo dục và Đào tạo huyện)</t>
  </si>
  <si>
    <t xml:space="preserve">   + BHYT đại biểu HĐND trơn (146)</t>
  </si>
  <si>
    <t xml:space="preserve"> Hội khuyến học</t>
  </si>
  <si>
    <t xml:space="preserve"> Hội người cao tuổi</t>
  </si>
  <si>
    <t>Phó Chủ tịch Hội Cựu chiến binh</t>
  </si>
  <si>
    <t xml:space="preserve"> Phó Bí thư Đoàn thanh niên CS HCM, </t>
  </si>
  <si>
    <t>Người hoạt động không chuyên trách ở thôn, tổ dân phố</t>
  </si>
  <si>
    <t>Bí thư chi bộ</t>
  </si>
  <si>
    <t>Trưởng thôn</t>
  </si>
  <si>
    <t>Trưởng ban Công tác MT</t>
  </si>
  <si>
    <t xml:space="preserve"> Dự phòng ngân sách theo ĐM (Cộng I-VI)+VII</t>
  </si>
  <si>
    <t>Kinh phí người uy tín</t>
  </si>
  <si>
    <t>Chi sự nghiệp y tế</t>
  </si>
  <si>
    <t>Kinh phí mua BHYT cho đối tượng BTXH</t>
  </si>
  <si>
    <t xml:space="preserve"> Hỗ trợ kinh phí cho Hội đồng định giá tố tụng hình sự</t>
  </si>
  <si>
    <t>Nguồn 10% CCTL</t>
  </si>
  <si>
    <t>3.3</t>
  </si>
  <si>
    <t>3.4</t>
  </si>
  <si>
    <t>3.5</t>
  </si>
  <si>
    <t>3.6</t>
  </si>
  <si>
    <t>3.7</t>
  </si>
  <si>
    <t>CHI BỔ SUNG CÓ MỤC TIÊU TỪ NGÂN SÁCH CẤP TỈNH</t>
  </si>
  <si>
    <t xml:space="preserve"> Chính sách hỗ trợ tiền điện hộ nghèo, hộ chính sách</t>
  </si>
  <si>
    <t xml:space="preserve">    + Kinh phí chi sự nghiệp đào tạo</t>
  </si>
  <si>
    <t xml:space="preserve">    + Phụ cấp thôn đội trưởng kiêm nhiệm tổ dân quân cơ động</t>
  </si>
  <si>
    <t xml:space="preserve">Kinh phí thực hiện Cuộc vận động "Toàn dân đoàn kết xây dựng nông thôn mới, đô thị văn  minh" </t>
  </si>
  <si>
    <t>Quỹ lương cán bộ, hoạt động  không chuyên trách cấp xã, thôn</t>
  </si>
  <si>
    <t>Phụ cấp cấp ủy</t>
  </si>
  <si>
    <t>Trích quỹ khen thưởng 1,2% (Phòng Nội vụ thực hiện)</t>
  </si>
  <si>
    <t xml:space="preserve"> - Hỗ trợ công tác cải cách hành chính</t>
  </si>
  <si>
    <t>Dự toán giao các đơn vị thực hiện</t>
  </si>
  <si>
    <t xml:space="preserve"> Chi thường xuyên khác (I-VI)*0,5%</t>
  </si>
  <si>
    <t>QLHC</t>
  </si>
  <si>
    <t>SNKT</t>
  </si>
  <si>
    <t>E</t>
  </si>
  <si>
    <t>Dự án hỗ trợ phát triển sản xuất nông lâm nghiệp</t>
  </si>
  <si>
    <t>Khối Đảng - Huyện ủy</t>
  </si>
  <si>
    <t>Khối Đoàn thể (Các tổ chức CT-XH)</t>
  </si>
  <si>
    <t>4- Hội Nông dân</t>
  </si>
  <si>
    <t xml:space="preserve"> - Biên chế được giao</t>
  </si>
  <si>
    <t xml:space="preserve">    + Kinh phí sửa chữa, bảo dưỡng, mua sắm bổ sung cơ sở vật chất (không bao gồm trường PTDTNT)</t>
  </si>
  <si>
    <t xml:space="preserve"> - Trung tâm Chính trị</t>
  </si>
  <si>
    <t xml:space="preserve">     + Mức 1.500 (trên 100 tuổi)</t>
  </si>
  <si>
    <t xml:space="preserve"> Đường Khuổi Nạc (3 km)</t>
  </si>
  <si>
    <t xml:space="preserve"> Đường Khuổi Nà - Yên Cư (3 km)</t>
  </si>
  <si>
    <t xml:space="preserve"> Đường vào thôn Lũng Tao (3 km)</t>
  </si>
  <si>
    <t xml:space="preserve"> Đường Nặm Thiếu (4km)</t>
  </si>
  <si>
    <t xml:space="preserve"> Đường Nà Hin (1km)</t>
  </si>
  <si>
    <t xml:space="preserve"> Đường Rầy Ỏi - Nà Giàng (7km)</t>
  </si>
  <si>
    <t xml:space="preserve"> Đường giao thôn Khuổi Sluôn (1,1 km)</t>
  </si>
  <si>
    <t xml:space="preserve"> Đường giao thông thôn Nà Giàng (2km)</t>
  </si>
  <si>
    <t xml:space="preserve"> Đường Pắc Liềng - Khuổi Liềng (3km)</t>
  </si>
  <si>
    <t xml:space="preserve"> Đường Nà Ngoà - Pác Khuổi Tục (4 km)</t>
  </si>
  <si>
    <t xml:space="preserve"> Đường Pác Khuổi Tục - Nhà họp thôn Khuổi Tục (3,5 km) </t>
  </si>
  <si>
    <t xml:space="preserve"> Đường Sọ Chè - Nà Pá (1,3 km)</t>
  </si>
  <si>
    <t xml:space="preserve"> Đường Pò Nim- Cường Lợi (3,5 km)</t>
  </si>
  <si>
    <t xml:space="preserve"> Đường Pác Ngỏa - Pò Nim (1,5 km)</t>
  </si>
  <si>
    <t xml:space="preserve"> Đường Nà Hốt - Pò Mu (2km)</t>
  </si>
  <si>
    <t xml:space="preserve"> Đường Nà Sla - Nà Sluộng (2,5 km)</t>
  </si>
  <si>
    <t xml:space="preserve"> Đường Chợ - Nà Nhàng (2km)</t>
  </si>
  <si>
    <t xml:space="preserve"> Đường thôn Chợ - Cốc Càng (1,3km)</t>
  </si>
  <si>
    <t xml:space="preserve"> Đường thôn Chợ - Bắc Sen (4km)</t>
  </si>
  <si>
    <t xml:space="preserve"> Đường Nà Chang (5 km)</t>
  </si>
  <si>
    <t xml:space="preserve"> Đường To Đoóc - Bản Sảng (5 km)</t>
  </si>
  <si>
    <t xml:space="preserve"> Đường Khau Lạ - Nặm Cà (7 km)</t>
  </si>
  <si>
    <t xml:space="preserve"> Đường Lạng San - Nà Lẹng (3 km)</t>
  </si>
  <si>
    <t xml:space="preserve"> Đường Ân Tình cũ - Nà Lẹng - Thăm Mu (5 km)</t>
  </si>
  <si>
    <t xml:space="preserve"> Đường Pò Khiển - Hát Luông (1,5 km)</t>
  </si>
  <si>
    <t xml:space="preserve"> Đường Pò Khiển - Nà Đon (1,8 km)</t>
  </si>
  <si>
    <t xml:space="preserve"> Đường Nà Đon - Hồ Khuổi khe (3 km)</t>
  </si>
  <si>
    <t xml:space="preserve"> Đường Pò Khiển - Bản Đâng (2,5 km)</t>
  </si>
  <si>
    <t xml:space="preserve"> Đường Nà Pài - Bãi Rác (4 km)</t>
  </si>
  <si>
    <t xml:space="preserve"> Đường Hua Kiều-Bản Cháng- Khuổi Hin (7,5 km)</t>
  </si>
  <si>
    <t xml:space="preserve"> Đường Nà Pài - Khum Mằn (6 km)</t>
  </si>
  <si>
    <t xml:space="preserve"> Đường Hua Kiều- Lũng Tao (1,4 km)</t>
  </si>
  <si>
    <t xml:space="preserve"> Trung tâm xã - Tham Không (3 km)</t>
  </si>
  <si>
    <t xml:space="preserve"> Ngã Ba Nà Rầy - Nà Tha -Khuổi Phầy (9 km)</t>
  </si>
  <si>
    <t xml:space="preserve"> Đường vào thôn Khuổi Căng (4 km)</t>
  </si>
  <si>
    <t xml:space="preserve"> Nà Lác - Khuổi Phầy - Khuổi Còi (13,5 km)</t>
  </si>
  <si>
    <t xml:space="preserve"> Đường Lũng Cậu (2 km)</t>
  </si>
  <si>
    <t xml:space="preserve"> Đường Khuổi Hát - Cốc Tém (4 km)</t>
  </si>
  <si>
    <t xml:space="preserve"> Đường Bản Vin (1 km)</t>
  </si>
  <si>
    <t xml:space="preserve"> Đường Pác Cáp - Nà Dảo (4 km)</t>
  </si>
  <si>
    <t xml:space="preserve"> Đường Nà Nôm (4 km)</t>
  </si>
  <si>
    <t xml:space="preserve"> Đường Khuổi Luông (3,6 km)</t>
  </si>
  <si>
    <t xml:space="preserve"> Đường thôm Pục (1 km)</t>
  </si>
  <si>
    <t>Đường trục thôn Chè Cọ (1 km)</t>
  </si>
  <si>
    <t>Đường trục thôn Bản Lài (1km)</t>
  </si>
  <si>
    <t>Đường trục thôn Nà Cằm (1 km)</t>
  </si>
  <si>
    <t>Đường trục thôn Bản Cào (1 km)</t>
  </si>
  <si>
    <t>Đường trục thôn Nà Thoả (1 km)</t>
  </si>
  <si>
    <t>Đường Nà Mển- Phiêng Pụt (4,5 km)</t>
  </si>
  <si>
    <t>Đường Khuổi Mí (1 km)</t>
  </si>
  <si>
    <t>Đường Nà Mển (2,7 km)</t>
  </si>
  <si>
    <t>Đường Trung tâm xã  - Nà Đấu (2,4 km)</t>
  </si>
  <si>
    <t>Đường Khuổi A (1km)</t>
  </si>
  <si>
    <t xml:space="preserve"> Đường Khuổi Nộc (6 km)</t>
  </si>
  <si>
    <t>Đường Khuổi Quân (4 km)</t>
  </si>
  <si>
    <t>Phòng Tài Nguyên &amp;MT</t>
  </si>
  <si>
    <t>Kinh phí thực hiện Chương trình phát triển lâm nghiệp bền vững</t>
  </si>
  <si>
    <t>UBND xã Xuân Dương</t>
  </si>
  <si>
    <t>UBND xã Văn Vũ</t>
  </si>
  <si>
    <t>Phân theo định mức cho xã 17 xã*25tr</t>
  </si>
  <si>
    <t>9.8</t>
  </si>
  <si>
    <t>Duy tu, bảo dưỡng tuyến đường xã</t>
  </si>
  <si>
    <t>4.1.3</t>
  </si>
  <si>
    <t>Trung tâm Giáo dục nghề nghiệp-GDTX</t>
  </si>
  <si>
    <t xml:space="preserve"> + Chính sách hỗ trợ miễn giảm học phí, chi phí học tập cho học sinh, sinh viên thuộc hộ nghèo, hộ cận nghèo theo Nghị định 81/2021/NĐ-CP</t>
  </si>
  <si>
    <t xml:space="preserve">   + Chính sách hỗ trợ miễn giảm học phí, chi phí học tập cho học sinh, sinh viên thuộc hộ nghèo, hộ cận nghèo theo Nghị định 81/2021/NĐ-CP</t>
  </si>
  <si>
    <t xml:space="preserve"> - Hỗ trợ diễn tập</t>
  </si>
  <si>
    <t xml:space="preserve">    + Huy động huấn luyện (10 ngày)</t>
  </si>
  <si>
    <t>CHI CÂN ĐỐI NGÂN SÁCH</t>
  </si>
  <si>
    <t>2.4</t>
  </si>
  <si>
    <t>2.5</t>
  </si>
  <si>
    <t>2.6</t>
  </si>
  <si>
    <t>2.8</t>
  </si>
  <si>
    <t>2.9</t>
  </si>
  <si>
    <t>2.10</t>
  </si>
  <si>
    <t>CHI BỔ SUNG CÓ MỤC TIÊU</t>
  </si>
  <si>
    <t xml:space="preserve">  -</t>
  </si>
  <si>
    <t xml:space="preserve"> - Hỗ trợ các hoạt động của công tác tôn giáo </t>
  </si>
  <si>
    <t>Chi thực hiện nhiệm vụ</t>
  </si>
  <si>
    <t>Chi thực hiện các chương trình mục tiêu quốc gia</t>
  </si>
  <si>
    <t xml:space="preserve"> - Vốn đầu tư</t>
  </si>
  <si>
    <t xml:space="preserve"> - Vốn sự nghiệp</t>
  </si>
  <si>
    <t xml:space="preserve"> CTMTQG giảm nghèo bền vững</t>
  </si>
  <si>
    <t xml:space="preserve"> CTMTQG phát triển KT-XH vùng đồng bào DTTS&amp;MN</t>
  </si>
  <si>
    <t xml:space="preserve"> - </t>
  </si>
  <si>
    <t>1.4</t>
  </si>
  <si>
    <t>1.7</t>
  </si>
  <si>
    <t xml:space="preserve">    + Chính sách phát triển mầm non (kinh phí hỗ trợ tiền ăn trưa trẻ em 3-5 tuổi, hỗ trợ giáo viên dạy lớp ghép, hỗ trợ kinh phí nấu ăn)</t>
  </si>
  <si>
    <t>Biểu 06aDT</t>
  </si>
  <si>
    <t>UBND xã Côn Minh</t>
  </si>
  <si>
    <t>1.8</t>
  </si>
  <si>
    <t>1.9</t>
  </si>
  <si>
    <t>1.10</t>
  </si>
  <si>
    <t>1.11</t>
  </si>
  <si>
    <t>1.12</t>
  </si>
  <si>
    <t>1.13</t>
  </si>
  <si>
    <t>1.14</t>
  </si>
  <si>
    <t>1.15</t>
  </si>
  <si>
    <t>1.16</t>
  </si>
  <si>
    <t>1.17</t>
  </si>
  <si>
    <t>Duy tu, sửa chữa công trình</t>
  </si>
  <si>
    <t xml:space="preserve">Sự nghiệp kinh tế </t>
  </si>
  <si>
    <t>Thực hiện các nhiệm vụ</t>
  </si>
  <si>
    <t>Chi thực hiện chương trình mục tiêu quốc gia</t>
  </si>
  <si>
    <t xml:space="preserve"> Vốn đầu tư</t>
  </si>
  <si>
    <t>Vốn sự nghiệp</t>
  </si>
  <si>
    <t>UBND xã Kim Lư</t>
  </si>
  <si>
    <t>UBND xã Dương Sơn</t>
  </si>
  <si>
    <t>UBND xã Văn Minh</t>
  </si>
  <si>
    <t>UBND xã Kim Hỷ</t>
  </si>
  <si>
    <t>UBND xã Cư Lễ</t>
  </si>
  <si>
    <t>UBND xã Lương Thượng</t>
  </si>
  <si>
    <t>UBND xã Văn Lang</t>
  </si>
  <si>
    <t>UBND xã Sơn Thành</t>
  </si>
  <si>
    <t>UBND xã Trần Phú</t>
  </si>
  <si>
    <t>UBND xã Cường Lợi</t>
  </si>
  <si>
    <t>UBND xã Liêm Thủy</t>
  </si>
  <si>
    <t>UBND xã Đổng Xá</t>
  </si>
  <si>
    <t>UBND xã Quang Phong</t>
  </si>
  <si>
    <t>UBND Thị trấn Yến Lạc</t>
  </si>
  <si>
    <t xml:space="preserve">Kinh phí duy tu bảo dưỡng hệ thống thoát nước thải và vệ sinh thị trấn Yến Lạc </t>
  </si>
  <si>
    <t>Quản lý, vận hành, bảo dưỡng hệ thống chiếu sáng đô thị</t>
  </si>
  <si>
    <t>Duy trì, chăm sóc cây xanh</t>
  </si>
  <si>
    <t>UBND xã  Lương Thượng</t>
  </si>
  <si>
    <t>UBND xã  Trần Phú</t>
  </si>
  <si>
    <t>UBND xã  Côn Minh</t>
  </si>
  <si>
    <t>UBND xã  Liêm Thủy</t>
  </si>
  <si>
    <t xml:space="preserve">UBND xã  Văn Vũ </t>
  </si>
  <si>
    <t>UBND xã  Kim Hỷ</t>
  </si>
  <si>
    <t>UBND xã  Quang Phong</t>
  </si>
  <si>
    <t>UBND xã  Kim Lư</t>
  </si>
  <si>
    <t>UBND xã  Văn Lang</t>
  </si>
  <si>
    <t>UBND xã  Xuân Dương</t>
  </si>
  <si>
    <t>UBND xã  Dương Sơn</t>
  </si>
  <si>
    <t xml:space="preserve"> UBND thị trấn Yến Lạc</t>
  </si>
  <si>
    <t>UBND xã  Đổng Xá</t>
  </si>
  <si>
    <t>Duy tu, sửa chữa</t>
  </si>
  <si>
    <t>Kinh phí phân bổ</t>
  </si>
  <si>
    <t>Đơn vị</t>
  </si>
  <si>
    <t>Thu từ XNQD trung ương</t>
  </si>
  <si>
    <t>Thu từ xí nghiệp quốc doanh trung ương</t>
  </si>
  <si>
    <t xml:space="preserve"> - Thuế giá trị gia tăng</t>
  </si>
  <si>
    <t xml:space="preserve"> - Thuế thu nhập doanh nghiệp</t>
  </si>
  <si>
    <t xml:space="preserve"> - Thuế tài nguyên</t>
  </si>
  <si>
    <t xml:space="preserve"> - Thuế môn bài</t>
  </si>
  <si>
    <t xml:space="preserve"> - Thuế tiêu thụ đặc biệt</t>
  </si>
  <si>
    <t xml:space="preserve"> - Thu khác</t>
  </si>
  <si>
    <t xml:space="preserve"> - Lệ phí nhà đất</t>
  </si>
  <si>
    <t xml:space="preserve"> - Lệ phí trước bạ phương tiện</t>
  </si>
  <si>
    <t xml:space="preserve"> - Lệ phí môn bài</t>
  </si>
  <si>
    <t xml:space="preserve"> - Phí, lệ phí khác</t>
  </si>
  <si>
    <t xml:space="preserve"> - Phí bảo vệ môi trường</t>
  </si>
  <si>
    <t xml:space="preserve"> - Phí Bảo vệ môi trường</t>
  </si>
  <si>
    <t>Chi sự nghiệp văn hoá - thông tin</t>
  </si>
  <si>
    <t>Chi sự nghiệp giáo dục - đào tạo và dạy nghề</t>
  </si>
  <si>
    <t>Chi sự nghiệp truyền thanh - truyền hình</t>
  </si>
  <si>
    <t>Chi sự nghiệp giáo dục - đào tạo &amp; dạy nghề</t>
  </si>
  <si>
    <t>Chi sự nghiệp giáo dục</t>
  </si>
  <si>
    <t>Chi sự nghiệp đào tạo</t>
  </si>
  <si>
    <t>Chi sự nghiệp văn hóa thông tin, thể dục thể thao</t>
  </si>
  <si>
    <t>Phòng Kinh tế và Hạ tầng</t>
  </si>
  <si>
    <t>Trung tâm Văn hóa Thể thao &amp; Truyền thông</t>
  </si>
  <si>
    <t xml:space="preserve"> Đường Nà Quản - Nặm Giàng (7 km)</t>
  </si>
  <si>
    <t xml:space="preserve"> Đường Chợ Chùa - Nà Thác- Khuổi Cáy (14 km)</t>
  </si>
  <si>
    <t>Đường Cốc Keng- Lùng Pảng (5 km)</t>
  </si>
  <si>
    <t>Sự nghiệp kinh tế</t>
  </si>
  <si>
    <t xml:space="preserve">Chi thường xuyên </t>
  </si>
  <si>
    <t>Phó Chủ tịch MTTQ</t>
  </si>
  <si>
    <t>Phó Chủ tịch Hội Phụ nữ</t>
  </si>
  <si>
    <t>Phó Chủ tịch Hội Nông dân</t>
  </si>
  <si>
    <t>Chủ tịch Hội Chữ thập đỏ</t>
  </si>
  <si>
    <t>Chủ tịch Hội Cao tuổi</t>
  </si>
  <si>
    <t>Chủ tịch Hội Khuyến học</t>
  </si>
  <si>
    <t>Kinh phí chi quốc phòng - an ninh</t>
  </si>
  <si>
    <t xml:space="preserve"> - Phụ cấp đặc thù (B11d)</t>
  </si>
  <si>
    <t xml:space="preserve"> - Phụ cấp thâm niên (B11C)</t>
  </si>
  <si>
    <t xml:space="preserve"> CTMTQG xây dựng nông thôn mới</t>
  </si>
  <si>
    <t>Chi tiết tại biểu 06a DT</t>
  </si>
  <si>
    <t>Chương trình MTQG giảm nghèo bền vững</t>
  </si>
  <si>
    <t>Chương trình MTQG phát triển kinh tế - xã hội vùng đồng vào dân tộc thiểu số và miền núi</t>
  </si>
  <si>
    <t>B/chế giao</t>
  </si>
  <si>
    <t xml:space="preserve">    + Hợp đồng 68</t>
  </si>
  <si>
    <t xml:space="preserve">     Quỹ tiền lương và các khoản đóng góp</t>
  </si>
  <si>
    <t xml:space="preserve">     Các khoản hoạt động</t>
  </si>
  <si>
    <t xml:space="preserve"> - Kinh phí thực hiện chính sách đối với người có uy tín trong đồng bào DTTS</t>
  </si>
  <si>
    <t xml:space="preserve"> - Kinh phí mua trang phục ngành (02 biên chế có mặt)</t>
  </si>
  <si>
    <t>8- Phòng Tài chính - Kế hoạch</t>
  </si>
  <si>
    <t>9- Phòng Lao động - TB&amp;XH</t>
  </si>
  <si>
    <t>1- Hội Khuyến học</t>
  </si>
  <si>
    <t xml:space="preserve">   + Tham quan học tập kinh nghiệm</t>
  </si>
  <si>
    <t>Phòng Lao động - TB &amp; XH</t>
  </si>
  <si>
    <t>Chi sự nghiệp văn hóa - thông tin, thể dục thể thao</t>
  </si>
  <si>
    <t>Chi sự nghiệp truyền thông</t>
  </si>
  <si>
    <t xml:space="preserve"> Theo dân số (ĐBXH khác)</t>
  </si>
  <si>
    <t xml:space="preserve">Ủy ban Mặt trận Tổ quốc </t>
  </si>
  <si>
    <t>Phòng Văn hóa và Thông tin</t>
  </si>
  <si>
    <t>Trung tâm Y tế huyện</t>
  </si>
  <si>
    <t xml:space="preserve"> Ban Quản lý dự án đầu tư xây dựng huyện</t>
  </si>
  <si>
    <t>Tổng dự toán  (Bao gồm cả 12% trích CCTL)</t>
  </si>
  <si>
    <t>PHỤ LỤC</t>
  </si>
  <si>
    <t>HỆ THỐNG MẪU BIỂU</t>
  </si>
  <si>
    <t>Tên biểu</t>
  </si>
  <si>
    <t>Số trang</t>
  </si>
  <si>
    <t>Biểu dự toán thu - chi</t>
  </si>
  <si>
    <t>Biểu số 01DT</t>
  </si>
  <si>
    <t>Biểu số 02DT</t>
  </si>
  <si>
    <t>Biểu số 03DT</t>
  </si>
  <si>
    <t>Biểu số  04DT</t>
  </si>
  <si>
    <t>Biểu số 05DT</t>
  </si>
  <si>
    <t>Biểu số 05bDT</t>
  </si>
  <si>
    <t>Biểu số 06DT</t>
  </si>
  <si>
    <t>Biểu số 07DT</t>
  </si>
  <si>
    <t xml:space="preserve">Biểu dự toán theo Nghị quyết 07/NQ-HĐND tỉnh </t>
  </si>
  <si>
    <t>Biểu số 4.4</t>
  </si>
  <si>
    <t>Biểu số 4.5</t>
  </si>
  <si>
    <t>Biểu số 4.6</t>
  </si>
  <si>
    <t>Biểu số 4.18</t>
  </si>
  <si>
    <t>Biểu số 4.19</t>
  </si>
  <si>
    <t>Biểu số 4.20</t>
  </si>
  <si>
    <t>Biểu số 4.21</t>
  </si>
  <si>
    <t>Biểu số 4.22</t>
  </si>
  <si>
    <t>Biểu số 4.23</t>
  </si>
  <si>
    <t>Biểu số 4.24</t>
  </si>
  <si>
    <t>Biểu số 4.25</t>
  </si>
  <si>
    <t>Biểu số 4.26</t>
  </si>
  <si>
    <t>Biểu số 4.27</t>
  </si>
  <si>
    <t>Biểu số 4.28</t>
  </si>
  <si>
    <t>Biểu số 4.29</t>
  </si>
  <si>
    <t>Biểu số 06aDT</t>
  </si>
  <si>
    <t>Biểu số 4.26a</t>
  </si>
  <si>
    <t>Biểu số 4.26b</t>
  </si>
  <si>
    <t>Biểu số 4.26c</t>
  </si>
  <si>
    <t>Biểu số 4.30</t>
  </si>
  <si>
    <t>Biểu số 4.30a</t>
  </si>
  <si>
    <t>Biểu số 4.30b</t>
  </si>
  <si>
    <t>Biểu số 4.30c</t>
  </si>
  <si>
    <t xml:space="preserve"> Chương trình MTQG Xây dựng nông thôn mới</t>
  </si>
  <si>
    <t>Biểu số 4.24a</t>
  </si>
  <si>
    <t xml:space="preserve"> Chương trình MTQG phát triển kinh tế - xã hội vùng đồng bào dân tộc thiểu số và miền núi</t>
  </si>
  <si>
    <t xml:space="preserve"> - Phụ cấp trách nhiệm của LLDQTV </t>
  </si>
  <si>
    <t xml:space="preserve">    + Tiểu đội trưởng, khẩu đội trưởng (149.000đ)</t>
  </si>
  <si>
    <t xml:space="preserve">    + Trung đội trưởng,Thôn đội trưởng (178.800đ)</t>
  </si>
  <si>
    <t xml:space="preserve">    + Trung đội trưởng DQ cơ động (298.000đ)</t>
  </si>
  <si>
    <t xml:space="preserve">    + Chỉ huy phó, Chính trị viên phó (327.800đ)</t>
  </si>
  <si>
    <t xml:space="preserve">    + Chỉ huy trưởng, Chính trị viên (357.600đ)</t>
  </si>
  <si>
    <t xml:space="preserve"> -Hỗ trợ tiền ăn Chỉ huy phó (Tiền ăn) 65*12ngày</t>
  </si>
  <si>
    <t xml:space="preserve">    + Chỉ huy trưởng </t>
  </si>
  <si>
    <t xml:space="preserve">    + Chính trị viên </t>
  </si>
  <si>
    <t xml:space="preserve">    + Chính trị viên phó</t>
  </si>
  <si>
    <t xml:space="preserve">    + Phó CHQS </t>
  </si>
  <si>
    <t xml:space="preserve">    + Trung đội trưởng DQCĐ do thôn đội trưởng kiêm</t>
  </si>
  <si>
    <t>Hội Cựu chiến binh</t>
  </si>
  <si>
    <t xml:space="preserve"> - Phụ cấp dân quân</t>
  </si>
  <si>
    <t xml:space="preserve">Duy tu bảo dưỡng hệ thống thoát nước thải và vệ sinh thị trấn Yến Lạc </t>
  </si>
  <si>
    <t xml:space="preserve"> - Chủ tịch đối thoại với thanh niên</t>
  </si>
  <si>
    <t xml:space="preserve">CHI BỔ SUNG CÓ MỤC TIÊU </t>
  </si>
  <si>
    <t>Chi thực hiện các chương trình, nhiệm vụ</t>
  </si>
  <si>
    <t>Kinh phí thực hiện xây dựng xã hội học tập theo Nghị quyết số 19/2022/NQ-HĐND của HĐND tỉnh</t>
  </si>
  <si>
    <t>Kinh phí đào tạo, bồi dưỡng giáo viên trên địa bàn tỉnh theo Nghị quyết số 16/2022/NQ-HĐND của HĐND tỉnh</t>
  </si>
  <si>
    <t>Kinh phí mua sắm trang thiết bị các trường học</t>
  </si>
  <si>
    <t xml:space="preserve"> + Vốn sự nghiệp</t>
  </si>
  <si>
    <t>Chương trình mục tiêu quốc gia phát triển kinh tế xã hội vùng đồng bào dân tộc thiểu số và miền núi</t>
  </si>
  <si>
    <t>Chương trình mục tiêu quốc gia giảm nghèo bền vững</t>
  </si>
  <si>
    <t>Chương trình mục tiêu quốc gia xây dựng nông thôn mới</t>
  </si>
  <si>
    <t>Hỗ trợ chi đầu tư thực hiện chương trình nhiệm vụ</t>
  </si>
  <si>
    <t xml:space="preserve">Hỗ trợ kinh phí lập quy hoạch chung xã </t>
  </si>
  <si>
    <t>Hỗ trợ có mục tiêu cho các địa phương lập quy hoạch điểm dân cư nông thôn</t>
  </si>
  <si>
    <t>Hỗ trợ các địa phương thực hiện Chương trình mục tiêu quốc gia xây dựng nông thôn mới</t>
  </si>
  <si>
    <t>Kinh phí đảm bảo an toàn giao thông</t>
  </si>
  <si>
    <t>NGUỒN THỰC HIỆN CẢI CÁCH TIỀN LƯƠNG</t>
  </si>
  <si>
    <t>Tiết kiệm 10% chi thường xuyên thực hiện cải cách tiền lương</t>
  </si>
  <si>
    <t xml:space="preserve"> - Kinh phí thi đua khen thưởng</t>
  </si>
  <si>
    <t>* Thôn đội trưởng</t>
  </si>
  <si>
    <t xml:space="preserve">    + Kinh phí 02 kỳ họp + chuyên đề</t>
  </si>
  <si>
    <t xml:space="preserve"> - Kinh phí kiểm tra liên ngành về an toàn thực phẩm</t>
  </si>
  <si>
    <t xml:space="preserve"> -  Kinh phí hoạt động của Thường trực Huyện ủy, hoạt động đối ngoại của Thường trực…, các nhiệm vụ của các ban thuộc Khối Đảng</t>
  </si>
  <si>
    <t xml:space="preserve"> - Kinh phí chỉnh lý tài liệu</t>
  </si>
  <si>
    <t xml:space="preserve">    +  Phụ cấp dân quân</t>
  </si>
  <si>
    <t xml:space="preserve">Chính sách hỗ trợ đối tượng bảo trợ xã hội theo quy định tại Nghị quyết số 20/2022/NQ-HĐND ngày 10/12/2022 của HĐND tỉnh </t>
  </si>
  <si>
    <t>Số cấp cho xã</t>
  </si>
  <si>
    <t xml:space="preserve">    + Quỹ tiền lương và các khoản đóng góp </t>
  </si>
  <si>
    <t xml:space="preserve"> - Lệ phí trước bạ ô tô</t>
  </si>
  <si>
    <t xml:space="preserve"> - Lệ phí trước bạ xe máy</t>
  </si>
  <si>
    <t>Thu bổ sung nguồn thực hiện cải cách tiền lương</t>
  </si>
  <si>
    <t>Chi hoạt động Bậc THCS</t>
  </si>
  <si>
    <t xml:space="preserve">Kinh phí quản lý, bảo trì đường bộ cho các quỹ bảo trì đường bộ địa phương </t>
  </si>
  <si>
    <t>1.5.1</t>
  </si>
  <si>
    <t>1.5.3</t>
  </si>
  <si>
    <t>Phòng Tài nguyên &amp; Môi trường</t>
  </si>
  <si>
    <t>Thực hiện Tết trồng cây</t>
  </si>
  <si>
    <t>1.5.5</t>
  </si>
  <si>
    <t>1.5.6</t>
  </si>
  <si>
    <t>Kinh phí tuyên truyền, mua sắm thiết bị PCCC&amp;CNCH</t>
  </si>
  <si>
    <t>Thực hiện nhiệm vụ chuyên môn (Hỗ trợ hoạt động về công tác quốc phòng quân sự địa phương trong năm)</t>
  </si>
  <si>
    <t>Kinh phí chi phục vụ công tác THA hình sự và tái hòa nhập cộng đồng</t>
  </si>
  <si>
    <t>Kinh phí hỗ trợ thẩm tra tiêu chuẩn chính trị cán bộ đảng viên</t>
  </si>
  <si>
    <t>Lương</t>
  </si>
  <si>
    <t>Chi thực hiện Chương trình mục tiêu quốc gia</t>
  </si>
  <si>
    <t xml:space="preserve">Nguồn NS tỉnh </t>
  </si>
  <si>
    <t xml:space="preserve"> +) Nguồn Trung ương </t>
  </si>
  <si>
    <t xml:space="preserve"> +) Nguồn NS tỉnh </t>
  </si>
  <si>
    <t>Trung tâm Văn hóa Thể thao và Truyền thông</t>
  </si>
  <si>
    <t>F</t>
  </si>
  <si>
    <t>Đảng</t>
  </si>
  <si>
    <t>Khối xã</t>
  </si>
  <si>
    <t>Thời kỳ đầu ổn định</t>
  </si>
  <si>
    <t>Giao năm 2024</t>
  </si>
  <si>
    <t>Chênh lệch</t>
  </si>
  <si>
    <t>CHÊNH LỆCH LƯƠNG</t>
  </si>
  <si>
    <t>Lương CB</t>
  </si>
  <si>
    <t>Kinh phí</t>
  </si>
  <si>
    <t>BC có mặt</t>
  </si>
  <si>
    <t>BC chưa tuyển</t>
  </si>
  <si>
    <t xml:space="preserve"> - Kinh phí trẻ em</t>
  </si>
  <si>
    <t>Ủy ban nhân dân xã Côn Minh</t>
  </si>
  <si>
    <t>BẢNG THANH TOÁN LƯƠNG, PHỤ CẤP CÁN BỘ CÔNG CHỨC TĂNG BIÊN CHẾ THÁNG 12 NĂM 2023</t>
  </si>
  <si>
    <t>Tháng  12  năm 2023</t>
  </si>
  <si>
    <t>805-341</t>
  </si>
  <si>
    <t>Đã tính lương tối thiểu mới 1.800</t>
  </si>
  <si>
    <t>Họ và tên</t>
  </si>
  <si>
    <t>chức vụ</t>
  </si>
  <si>
    <t>HS lg</t>
  </si>
  <si>
    <t>Hệ số lương, phụ cấp</t>
  </si>
  <si>
    <t>Các khản đóng góp</t>
  </si>
  <si>
    <t>Cộng hệ số phụ cấp</t>
  </si>
  <si>
    <t>Phụ cấp</t>
  </si>
  <si>
    <t>Tổng cộng tiền lương, PC</t>
  </si>
  <si>
    <t>Các khoản khấu trừ lương</t>
  </si>
  <si>
    <t>Cộng khấu trừ</t>
  </si>
  <si>
    <t xml:space="preserve">Thực lĩnh </t>
  </si>
  <si>
    <t>Ký nhận</t>
  </si>
  <si>
    <t>PCKV</t>
  </si>
  <si>
    <t>PCCV</t>
  </si>
  <si>
    <t>PCCV 25%</t>
  </si>
  <si>
    <t>PCKN 20%</t>
  </si>
  <si>
    <t>PC loại xã 5%</t>
  </si>
  <si>
    <t>PCThâm niên</t>
  </si>
  <si>
    <t>PC TN</t>
  </si>
  <si>
    <t>P.C CTLN</t>
  </si>
  <si>
    <t>HSPC 70% TH</t>
  </si>
  <si>
    <t>BHXH 8%</t>
  </si>
  <si>
    <t>BHYT 1,5%</t>
  </si>
  <si>
    <t xml:space="preserve">Nông Văn Nhật </t>
  </si>
  <si>
    <t xml:space="preserve">CC Tư Pháp xã </t>
  </si>
  <si>
    <t xml:space="preserve"> Tổng cộng </t>
  </si>
  <si>
    <t>BẢNG THANH TOÁN LƯƠNG, PHỤ CẤP CÁN BỘ CÔNG CHỨC</t>
  </si>
  <si>
    <t>Tháng  9 năm 2018</t>
  </si>
  <si>
    <t xml:space="preserve">Lộc Văn Thắng  </t>
  </si>
  <si>
    <t xml:space="preserve">  Chủ tịch  UB </t>
  </si>
  <si>
    <t xml:space="preserve"> Hà Xuân Cảnh  </t>
  </si>
  <si>
    <t xml:space="preserve">  Phó CT  </t>
  </si>
  <si>
    <t>Đinh Văn Diệm</t>
  </si>
  <si>
    <t xml:space="preserve">  Địa chính  </t>
  </si>
  <si>
    <t>Nông Thị Đại</t>
  </si>
  <si>
    <t xml:space="preserve">  Kế toán  </t>
  </si>
  <si>
    <t xml:space="preserve">Hoàng Thị Thơm  </t>
  </si>
  <si>
    <t xml:space="preserve">  VP  </t>
  </si>
  <si>
    <t xml:space="preserve">Nguyễn Thị Thu  </t>
  </si>
  <si>
    <t xml:space="preserve">Hoàng Hà Thịnh  </t>
  </si>
  <si>
    <t xml:space="preserve">  VHTT- TT  </t>
  </si>
  <si>
    <t>Hà Văn Thời</t>
  </si>
  <si>
    <t xml:space="preserve">  VHXH  </t>
  </si>
  <si>
    <t xml:space="preserve">Hà Văn Đoan  </t>
  </si>
  <si>
    <t xml:space="preserve">  ĐC - NL  </t>
  </si>
  <si>
    <t xml:space="preserve">Nông Văn Hoàng  </t>
  </si>
  <si>
    <t xml:space="preserve">  Tư pháp</t>
  </si>
  <si>
    <t xml:space="preserve">Nông Văn Thùy  </t>
  </si>
  <si>
    <t>Nông Văn Tuyên</t>
  </si>
  <si>
    <t>BT ĐU</t>
  </si>
  <si>
    <t xml:space="preserve">Hoàng Hà Huấn  </t>
  </si>
  <si>
    <t>Phó BT  Đảng</t>
  </si>
  <si>
    <t>Lục Văn Ái</t>
  </si>
  <si>
    <t>Chủ tịch MTTQ</t>
  </si>
  <si>
    <t xml:space="preserve">Nông Thị Sen  </t>
  </si>
  <si>
    <t xml:space="preserve">BT ĐTN  </t>
  </si>
  <si>
    <t xml:space="preserve">Sằm Thị Tuyết  </t>
  </si>
  <si>
    <t xml:space="preserve">CT HPN  </t>
  </si>
  <si>
    <t xml:space="preserve">Hà Văn Hồng  </t>
  </si>
  <si>
    <t xml:space="preserve">CTHCCB  </t>
  </si>
  <si>
    <t xml:space="preserve">Sằm Văn Thường  </t>
  </si>
  <si>
    <t xml:space="preserve">Trưởng CA  </t>
  </si>
  <si>
    <t xml:space="preserve">Hà Văn Chiến  </t>
  </si>
  <si>
    <t xml:space="preserve">  CH trưởng QS  </t>
  </si>
  <si>
    <t>Nông An Quý</t>
  </si>
  <si>
    <t>Hoàng Tiến Dũng</t>
  </si>
  <si>
    <t xml:space="preserve"> - Kinh phí thực hiện xây dựng xã hội học tập theo Nghị quyết số 19/2022/NQ-HĐND của HĐND tỉnh</t>
  </si>
  <si>
    <t xml:space="preserve"> - Kinh phí đào tạo, bồi dưỡng giáo viên trên địa bàn tỉnh theo Nghị quyết số 16/2022/NQ-HĐND của HĐND tỉnh</t>
  </si>
  <si>
    <t xml:space="preserve"> - Kinh phí mua sắm trang thiết bị các trường học</t>
  </si>
  <si>
    <t xml:space="preserve"> - Hỗ trợ thực hiện nhiệm vụ </t>
  </si>
  <si>
    <t xml:space="preserve">Dư chưa phân bổ </t>
  </si>
  <si>
    <t>Chưa có chi tiết phân bổ</t>
  </si>
  <si>
    <t>NGUỒN TỈNH HỖ TRỢ CHI ĐẦU TƯ THỰC HIỆN CHƯƠNG TRÌNH NHIỆM VỤ</t>
  </si>
  <si>
    <t xml:space="preserve"> - Hỗ trợ kinh phí  kích cầu hàng tiêu dùng, quảng bá giới thiệu sản phẩm, đánh giá đề tài sáng kiến kinh nghiệm.</t>
  </si>
  <si>
    <t xml:space="preserve">    + Trung tâm học tập cộng đồng xã Xuân Dương</t>
  </si>
  <si>
    <t xml:space="preserve">    + Trung tâm học tập cộng đồng xã Côn Minh</t>
  </si>
  <si>
    <t xml:space="preserve">    + Trung tâm học tập cộng đồng xã Kim Lư</t>
  </si>
  <si>
    <t xml:space="preserve">    + Trung tâm học tập cộng đồng xã Dương Sơn</t>
  </si>
  <si>
    <t xml:space="preserve">    + Trung tâm học tập cộng đồng xã Văn Minh</t>
  </si>
  <si>
    <t xml:space="preserve">    + Trung tâm học tập cộng đồng xã Kim Hỷ</t>
  </si>
  <si>
    <t xml:space="preserve">    + Trung tâm học tập cộng đồng xã Cư Lễ</t>
  </si>
  <si>
    <t xml:space="preserve">    + Trung tâm học tập cộng đồng xã Lương Thượng</t>
  </si>
  <si>
    <t xml:space="preserve">    + Trung tâm học tập cộng đồng xã  Văn Lang</t>
  </si>
  <si>
    <t xml:space="preserve">    + Trung tâm học tập cộng đồng xã Sơn Thành</t>
  </si>
  <si>
    <t xml:space="preserve">    + Trung tâm học tập cộng đồng xã Văn Vũ</t>
  </si>
  <si>
    <t xml:space="preserve">    + Trung tâm học tập cộng đồng xã Trần Phú</t>
  </si>
  <si>
    <t xml:space="preserve">    + Trung tâm học tập cộng đồng thị trấn Yến Lạc</t>
  </si>
  <si>
    <t xml:space="preserve">    + Trung tâm học tập cộng đồng xã Quang Phong</t>
  </si>
  <si>
    <t xml:space="preserve">    + Trung tâm học tập cộng đồng xã Đổng Xá</t>
  </si>
  <si>
    <t xml:space="preserve">    + Trung tâm học tập cộng đồng xã Liêm Thủy</t>
  </si>
  <si>
    <t xml:space="preserve">    + Trung tâm học tập cộng đồng xã Cường Lợi</t>
  </si>
  <si>
    <t>Nguồn ngân sách tỉnh hỗ trợ chi đầu tư thực hiện chương trình nhiệm vụ</t>
  </si>
  <si>
    <t>Nội trú</t>
  </si>
  <si>
    <t>Bảo hiểm</t>
  </si>
  <si>
    <t xml:space="preserve"> - Hỗ trợ các phòng trào, hoạt động </t>
  </si>
  <si>
    <t>Trung tâm GDNN-GDTX huyện</t>
  </si>
  <si>
    <t>Tổng hợp dự toán thu ngân sách năm 2024</t>
  </si>
  <si>
    <t>Chi tiết dự toán thu ngân sách năm 2024</t>
  </si>
  <si>
    <t>Tổng hợp dự toán  ngân sách năm 2024</t>
  </si>
  <si>
    <t>Tổng hợp chi ngân sách năm 2024</t>
  </si>
  <si>
    <t>Dự toán chi ngân sách nhà nước  năm 2024</t>
  </si>
  <si>
    <t>Phương án phân bổ nguồn sự nghiệp giáo dục năm 2024</t>
  </si>
  <si>
    <t>Kế hoạch vốn cân đối ngân sách huyện điều hành, nguồn thu tiền sử dụng đất, nguồn sự nghiệp kinh tế năm 2024</t>
  </si>
  <si>
    <t>Biểu chi tiết phân bổ nguồn sự nghiệp kinh tế khối xã, thị trấn năm 2024</t>
  </si>
  <si>
    <t>Tổng hợp dự toán chi ngân sách xã năm 2024</t>
  </si>
  <si>
    <t>Cân đối ngân sách địa phương năm 2024</t>
  </si>
  <si>
    <t>Dự toán thu ngân sách nhà nước theo lĩnh vực năm 2024</t>
  </si>
  <si>
    <t>Dự toán chi ngân sách địa phương theo cơ cấu chi năm 2024</t>
  </si>
  <si>
    <t>Cân đối nguồn thu, chi dự toán ngân sách cấp huyện và ngân sách cấp xã năm 2024</t>
  </si>
  <si>
    <t>Dự toán thu ngân sách nhà nước trên địa bàn từng xã năm 2024</t>
  </si>
  <si>
    <t>Dự toán thu ngân sách nhà nước trên địa bàn từng xã theo lĩnh vực năm 2024</t>
  </si>
  <si>
    <t>Dự toán chi ngân sách địa phương, chi ngân sách cấp huyện và chi ngân sách cấp xã theo cơ cấu chi năm 2024</t>
  </si>
  <si>
    <t>Dự toán thu ngân sách cấp huyện theo lĩnh vực năm 2024</t>
  </si>
  <si>
    <t>Dự toán chi ngân sách cấp huyện cho từng cơ quan, tổ chức theo lĩnh vực năm 2024</t>
  </si>
  <si>
    <t>Dự toán chi đầu tư phát triển của ngân sách cấp huyện cho từng cơ quan, tổ chức theo lĩnh vực năm 2024</t>
  </si>
  <si>
    <t>Biểu phân bổ chi tiết kế hoạch đầu tư công năm 2023 vốn ngân sách địa phương cấp huyện điều hành năm 2024</t>
  </si>
  <si>
    <t>Dự toán chi thường xuyên của ngân sách cấp huyện cho từng cơ quan, tổ chức theo lĩnh vực năm 2024</t>
  </si>
  <si>
    <t>Dự toán chi chương trình mục tiêu quốc gia ngân sách huyện năm 2024</t>
  </si>
  <si>
    <t>Dự toán phân bổ chương trình mục tiêu quốc gia nông thôn mới năm 2024</t>
  </si>
  <si>
    <t>Dự toán phân bổ chương trình mục tiêu quốc giảm nghèo bèn vững năm 2024</t>
  </si>
  <si>
    <t>Dự toán phân bổ chương trình mục tiêu quốc Chương trình MTQG phát triển kinh tế - xã hội vùng đồng vào dân tộc thiểu số và miền núi năm 2024</t>
  </si>
  <si>
    <t>Dự toán thu, chi ngân sách địa phương và bổ sung cân đối từ ngân sách cấp trên cho ngân sách cấp dưới  năm 2024</t>
  </si>
  <si>
    <t>Dự toán  chi ngân sách địa phương từng xã năm 2024</t>
  </si>
  <si>
    <t>Dự toán bổ sung có mục tiêu từ ngân sách cấp trên cho ngân sách cấp dưới năm 2024</t>
  </si>
  <si>
    <t>Dự toán bổ sung có mục tiêu từ ngân sách cấp huyện cho ngân sách cấp xã thực hiện các chương trình mục tiêu quốc gia năm 2024</t>
  </si>
  <si>
    <t>Dự toán phân bổ vốn sự nghiệp thuộc chương trình mục tiêu quốc gia xây dựng nông thôn mới năm 2024</t>
  </si>
  <si>
    <t>Dự toán phân bổ vốn sự nghiệp thuộc chương trình mục tiêu quốc gia giảm nghèo bền vững năm 2024</t>
  </si>
  <si>
    <t>Dự toán phân bổ vốn sự nghiệp thuộc chương trình mục tiêu quốc gia phát triển kinh tế - xã hội vùng đồng và dân tộc thiểu số và miền núi năm 2024</t>
  </si>
  <si>
    <t>Phụ lục số 02</t>
  </si>
  <si>
    <t>Biểu phân bổ kinh phí thực hiện chương trình phát triển lâm nghiệp bền vững năm 2024</t>
  </si>
  <si>
    <t>Phụ lục số 01</t>
  </si>
  <si>
    <t>Phụ lục số 03</t>
  </si>
  <si>
    <t>Phụ lục số 04</t>
  </si>
  <si>
    <t>Biểu dự kiến phân bổ kinh phí sự nghiệp thuộc chương trình mục tiêu quốc gia xây dựng nông thôn mới năm 2024</t>
  </si>
  <si>
    <t>Biểu dự kiến phân bổ kinh phí sự nghiệp thuộc chương trình mục tiêu quốc gia  giảm nghèo bền vững năm 2024</t>
  </si>
  <si>
    <t>Biểu dự kiến phân bổ kinh phí sự nghiệp thuộc chương trình mục tiêu quốc gia phát triển kinh tế - xã hội vùng đồng và dân tộc thiểu số và miền núi năm 2028</t>
  </si>
  <si>
    <t>Dự toán (đã trừ 10% CCTL)</t>
  </si>
  <si>
    <t>DỰ TOÁN CHƯA PHÂN BỔ</t>
  </si>
  <si>
    <t xml:space="preserve">Trung tâm Dịch vụ Nông nghiệp </t>
  </si>
  <si>
    <t>Khối quản lý nhà nước (Bao gồm cả hợp theo Nghị định NĐ 111/2022/NĐ-CP)</t>
  </si>
  <si>
    <t xml:space="preserve"> - Kinh phí hoạt động của Thường trực UBND huyện, các nhiệm vụ đặc thù của cơ quan tổng hợp, tiếp khách đoàn vào thăm và làm việc tại huyện</t>
  </si>
  <si>
    <t xml:space="preserve"> - Hợp đồng  NĐ 111/2022/NĐ-CP</t>
  </si>
  <si>
    <t>3- Hội Liên hiệp Phụ nữ</t>
  </si>
  <si>
    <t xml:space="preserve"> - Hỗ trợ hoạt động của Ban Chỉ đạo Đề án 61</t>
  </si>
  <si>
    <t>Hội có tính chất đặc thù (Hội Chữ thập đỏ)</t>
  </si>
  <si>
    <t>Kinh phí  bảo đảm hoạt động của các lực lượng xử phạt vi phạm hành chính</t>
  </si>
  <si>
    <t>Chương trình MTQG xây dựng nông thôn mới</t>
  </si>
  <si>
    <t>2.1.1</t>
  </si>
  <si>
    <t>2.1.2</t>
  </si>
  <si>
    <t>2.3.1</t>
  </si>
  <si>
    <t>2.3.2</t>
  </si>
  <si>
    <t>Ủy ban Mặt trận Tổ quốc Việt Nam</t>
  </si>
  <si>
    <t xml:space="preserve">Văn phòng HĐND-UBND  </t>
  </si>
  <si>
    <t xml:space="preserve">Hội Liên Hiệp phụ nữ </t>
  </si>
  <si>
    <t xml:space="preserve">Phòng Kinh tế - Hạ tầng </t>
  </si>
  <si>
    <t>Hạt Kiểm lâm</t>
  </si>
  <si>
    <t xml:space="preserve">Phòng Giáo dục &amp; Đào tạo </t>
  </si>
  <si>
    <t xml:space="preserve">Phòng Văn hóa - Thông tin </t>
  </si>
  <si>
    <t>Trung tâm Dịch vụ Nông nghiệp</t>
  </si>
  <si>
    <t xml:space="preserve">Phòng Nội vụ </t>
  </si>
  <si>
    <t xml:space="preserve"> - Hợp đồng NĐ 111/2022/NĐ-CP</t>
  </si>
  <si>
    <t xml:space="preserve"> Kinh phí bảo trợ xã hội NĐ 20/2021/NĐ-CP</t>
  </si>
  <si>
    <t>Hỗ trợ các địa phương thực hiện Chương trình MTQG xây dựng nông thôn mới</t>
  </si>
  <si>
    <t xml:space="preserve">Ban Quản lý dự án ĐTXD </t>
  </si>
  <si>
    <t>UBND Kim Lư</t>
  </si>
  <si>
    <t xml:space="preserve">Chi cân đối </t>
  </si>
  <si>
    <t>Chi bổ sung mục tiêu</t>
  </si>
  <si>
    <t>UBND thị trấn Yến Lạc</t>
  </si>
  <si>
    <t>VỐN SỰ NGHIỆP (Nguồn SN kinh tế)</t>
  </si>
  <si>
    <t xml:space="preserve"> - Kinh phí Lễ hội văn hóa truyền thống "Chợ tình Xuân Dương"</t>
  </si>
  <si>
    <t xml:space="preserve">    + Kinh phí Lễ hội văn hóa truyền thống "Chợ tình Xuân Dương"</t>
  </si>
  <si>
    <t>3.8</t>
  </si>
  <si>
    <t xml:space="preserve">Nguồn trung ương </t>
  </si>
  <si>
    <t xml:space="preserve">Kinh phí đối ứng ChildFund: BQL chương trình phát triển cộng đồng huyện Na Rì </t>
  </si>
  <si>
    <t xml:space="preserve"> +) Nguồn trung ương </t>
  </si>
  <si>
    <t xml:space="preserve">Phòng Tư pháp </t>
  </si>
  <si>
    <t xml:space="preserve">Phòng LĐ-TB&amp;XH </t>
  </si>
  <si>
    <t xml:space="preserve">Phòng NN&amp;PTNT </t>
  </si>
  <si>
    <t>Chi sự nghiệp y tế: Phòng Lao động - TB &amp;XH</t>
  </si>
  <si>
    <t>Chi sự nghiệp đảm bảo xã hội: Phòng Lao động - TB &amp; XH</t>
  </si>
  <si>
    <t>Chi quốc phòng: Ban CHQS huyện</t>
  </si>
  <si>
    <t>Chi an ninh: Công an huyện</t>
  </si>
  <si>
    <t xml:space="preserve"> - Kinh phí hoạt động cấp huyện</t>
  </si>
  <si>
    <t xml:space="preserve">Đo đạc, cấp giấy chứng nhận quyền sử dụng đất </t>
  </si>
  <si>
    <t>Kinh phí hệ thống chiếu sáng đô thị thị trấn Yến Lạc</t>
  </si>
  <si>
    <t>Chi sự nghiệp kinh tế theo định mức</t>
  </si>
  <si>
    <t>Hợp tác xã Kim Lư</t>
  </si>
  <si>
    <t xml:space="preserve">           Bậc mầm non</t>
  </si>
  <si>
    <t xml:space="preserve">           Bậc tiểu học</t>
  </si>
  <si>
    <t xml:space="preserve">           Bậc THCS</t>
  </si>
  <si>
    <t xml:space="preserve">  - Các chế độ chính sách trường PTDT Nội trú</t>
  </si>
  <si>
    <t xml:space="preserve">          Trường PTDT Nội trú</t>
  </si>
  <si>
    <t>Biểu 05aDT</t>
  </si>
  <si>
    <t>Số biên chế thiếu chờ tuyển</t>
  </si>
  <si>
    <t>Biên chế được giao</t>
  </si>
  <si>
    <t xml:space="preserve">+ Các khoản chi hoạt động </t>
  </si>
  <si>
    <t>Bậc Mầm Non</t>
  </si>
  <si>
    <t xml:space="preserve">Bậc Tiểu học </t>
  </si>
  <si>
    <t>Bậc THCS</t>
  </si>
  <si>
    <t>Trường phổ thông dân tộc nội trú</t>
  </si>
  <si>
    <t>Quỹ lương và các khoản đóng góp</t>
  </si>
  <si>
    <t>Chi hoạt động SNGD</t>
  </si>
  <si>
    <t>Biên chế chưa tuyển</t>
  </si>
  <si>
    <t>Các khoản chế độ chính sách</t>
  </si>
  <si>
    <t>Các chế độ chính sách trường PTDT Nội trú</t>
  </si>
  <si>
    <t>Hỗ trợ kinh phí chi sự nghiệp giáo dục</t>
  </si>
  <si>
    <t>Phân bổ cho các đơn vị</t>
  </si>
  <si>
    <t>Biên chế</t>
  </si>
  <si>
    <t>Kinh phí giao:</t>
  </si>
  <si>
    <t xml:space="preserve"> + Quỹ tiền lương, các khoản đóng góp và phụ cấp</t>
  </si>
  <si>
    <t xml:space="preserve"> + Kinh phí chờ tuyển</t>
  </si>
  <si>
    <t xml:space="preserve"> + Kinh phí chi hoạt động</t>
  </si>
  <si>
    <t>Bậc Tiểu học</t>
  </si>
  <si>
    <t>+ Kinh phí chờ tuyển</t>
  </si>
  <si>
    <t>Bậc Trung học cơ sở</t>
  </si>
  <si>
    <t xml:space="preserve"> + Kinh phí chờ tuyển (biên chế)</t>
  </si>
  <si>
    <t>Trường PTDT Nội trú Na Rì</t>
  </si>
  <si>
    <t>+ Kinh phí chi hoạt động</t>
  </si>
  <si>
    <t xml:space="preserve"> Các khoản bổ sung có mục tiêu</t>
  </si>
  <si>
    <t>Số biên chế giao theo QĐ 5389/QĐ-UBND ngày 06/11/2023</t>
  </si>
  <si>
    <t>Số biên chế có mặt tại thời điểm ngày 01/11/2023</t>
  </si>
  <si>
    <t>Tổng kinh phí được giao năm 2024</t>
  </si>
  <si>
    <t>Huyện giao (số thực tế được giao)</t>
  </si>
  <si>
    <t>+ Quỹ lương và các khoản đóng góp ( bao gồm cả biên chế chờ tuyển )</t>
  </si>
  <si>
    <t>Chênh lệch giảm 14 biên chế</t>
  </si>
  <si>
    <t xml:space="preserve">Chi hoạt động Bậc mầm non </t>
  </si>
  <si>
    <t xml:space="preserve">Chi hoạt động Bậc Tiểu học </t>
  </si>
  <si>
    <t>Hỗ trợ thực hiện nhiệm vụ</t>
  </si>
  <si>
    <t>PHƯƠNG ÁN PHÂN BỔ DỰ TOÁN CHI NSNN NGUỒN SỰ NGHIỆP GIÁO DỤC NĂM  2024</t>
  </si>
  <si>
    <t>Đơn vị tính: nghìn đồng</t>
  </si>
  <si>
    <t>Định mức phân bổ</t>
  </si>
  <si>
    <t xml:space="preserve"> + Kinh phí chờ tuyển </t>
  </si>
  <si>
    <t>Chính sách đối với Trường PTDT Nội trú Na Rì</t>
  </si>
  <si>
    <t xml:space="preserve">Chênh lệch giảm 14 biên chế so với đầu thời kỳ ổn định ngân sách + chênh lệch quỹ lương phụ cấp </t>
  </si>
  <si>
    <t>Hỗ trợ tiền ăn, tiền ở và mua tủ thuốc dùng chung theo Nghị định số 116/2016/NĐ-CP</t>
  </si>
  <si>
    <t>Chính sách phát triển mầm non (kinh phí hỗ trợ tiền ăn trưa trẻ em 3-5 tuổi, hỗ trợ giáo viên dạy lớp ghép, hỗ trợ kinh phí nấu ăn)</t>
  </si>
  <si>
    <t>Kinh phí theo Nghị quyết số 54/2016/NQ-HĐND tỉnh Bắc Kạn</t>
  </si>
  <si>
    <t>Học bổng, chi phí học tập cho học sinh khuyết tật theo TTLT số 42/2013/TTLT-BGDĐT-BLĐTB&amp;XH</t>
  </si>
  <si>
    <t>Kinh phí thực hiện giáo viên dạy khuyết tật</t>
  </si>
  <si>
    <t>Chính sách học bổng học sinh dân tộc nội trú theo thông tư số 109/2009/TTLT-BTC-BGD</t>
  </si>
  <si>
    <t>Chính sách đối với trường PTDTNT theo thông tư số 109/2009/TTLT-BTC-BGD</t>
  </si>
  <si>
    <t xml:space="preserve">Tham quan học tập kinh nghiệm </t>
  </si>
  <si>
    <t>Sửa chữa thường xuyên</t>
  </si>
  <si>
    <t>Chi các hoạt động đặc thù của ngành giáo dục 
(Phòng Giáo dục và Đào tạo huyện)</t>
  </si>
  <si>
    <t xml:space="preserve">Kinh phí thực hiện xây dựng xã hội học tập theo Nghị quyết số 19/2022/NQ-HĐND của HĐND tỉnh </t>
  </si>
  <si>
    <t xml:space="preserve">Kinh phí đào tạo, bồi dưỡng giáo viên trên địa bàn tỉnh theo Nghị quyết số 16/2022/NQ-HĐND của HĐND tỉnh </t>
  </si>
  <si>
    <t>Qũy lương, phụ cấp, các khoản đóng góp</t>
  </si>
  <si>
    <t xml:space="preserve"> Chính sách học bổng học sinh dân tộc nội trú theo thông tư số 109/2009/TTLT-BTC-BGD</t>
  </si>
  <si>
    <t xml:space="preserve"> Tham quan học tập kinh nghiệm </t>
  </si>
  <si>
    <r>
      <t xml:space="preserve">Kinh phí chi các hoạt động đặc thù của ngành giáo dục </t>
    </r>
    <r>
      <rPr>
        <sz val="11"/>
        <rFont val="Times New Roman"/>
        <family val="1"/>
        <charset val="163"/>
      </rPr>
      <t>(Phòng Giáo dục và Đào tạo huyện)</t>
    </r>
  </si>
  <si>
    <t xml:space="preserve"> Hỗ trợ tiền ăn, tiền ở và mua tủ thuốc dùng chung theo Nghị định số 116/2016/NĐ-CP</t>
  </si>
  <si>
    <t>Chính sách phát triển mầm non ( kinh phí hỗ trợ tiền ăn trưa trẻ em 3-5 tuổi, hỗ trợ giáo viên dạy lớp ghép, hỗ trợ kinh phí nấu ăn)</t>
  </si>
  <si>
    <t xml:space="preserve"> Kinh phí theo Nghị quyết số 54/2016/NQ-HĐND tỉnh Bắc Kạn</t>
  </si>
  <si>
    <t>Chính sách hỗ trợ miễn giảm học phí, chi phí học tập cho học sinh, sinh viên thuộc hộ nghèo, hộ cận nghèo theo Nghị định 81/2021/NĐ-CP</t>
  </si>
  <si>
    <t xml:space="preserve">Kinh phí mua sắm trang thiết bị các trường học </t>
  </si>
  <si>
    <t>Chính sách hỗ trợ giáo viên dạy khuyết tật theo Nghị định 28/2012/NĐ-CP</t>
  </si>
  <si>
    <t>Chi mua sắm, sửa chữa tài sản các trường học 
(không bao gồm trường PTDT Nội trú)</t>
  </si>
  <si>
    <t>Hợp đồng theo 111/2022/NĐ-CP</t>
  </si>
  <si>
    <t>Hợp đồng theo NĐ số 111/2022/NĐ-CP</t>
  </si>
  <si>
    <t xml:space="preserve"> + Kinh phí hợp đồng NĐ số 111/2022/NĐ-CP</t>
  </si>
  <si>
    <t xml:space="preserve"> Hợp đồng NĐ số 111/2022/NĐ-CP</t>
  </si>
  <si>
    <t xml:space="preserve"> + Kinh phí lương hợp đồng NĐ số 111/2022/NĐ-CP</t>
  </si>
  <si>
    <t xml:space="preserve"> + Kinh phí chi hoạt động hợp đồng NĐ số 111/2022/NĐ-CP</t>
  </si>
  <si>
    <t>+ Tổng nhu cầu lương và các khoản đóng góp cho hợp đồng theo NĐ số 111/2022/NĐ-CP</t>
  </si>
  <si>
    <t>+ Kinh phí chi hoạt động NĐ số 111/2022/NĐ-CP</t>
  </si>
  <si>
    <r>
      <t xml:space="preserve"> Kinh phí sửa chữa, bảo dưỡng, mua sắm bổ sung cơ sở vật chất  </t>
    </r>
    <r>
      <rPr>
        <sz val="11"/>
        <rFont val="Times New Roman"/>
        <family val="1"/>
        <charset val="163"/>
      </rPr>
      <t>(Không bao gồm trường PTDT Nội trú)</t>
    </r>
  </si>
  <si>
    <t>Chi ngân sách nhà nước năm 2025</t>
  </si>
  <si>
    <t xml:space="preserve">  - Kinh phí kiểm tra ATTP</t>
  </si>
  <si>
    <t xml:space="preserve"> - Kinh phí phụ cấp kiêm nhiệm chủ tịch, phó chủ tịch Hội Cựu chiến binh Khối 487</t>
  </si>
  <si>
    <t xml:space="preserve"> - Quỹ tiền lương và các khoản đóng góp (biên chế nghỉ thai sản)</t>
  </si>
  <si>
    <t>Phòng Tài chính – Kế hoạch huyện Na Rì</t>
  </si>
  <si>
    <t>Biểu số 2.b</t>
  </si>
  <si>
    <t>TỔNG HỢP NHU CẦU KINH PHÍ THỰC HIỆN NĐ SỐ 24/2023/NĐ - CP NĂM 2024</t>
  </si>
  <si>
    <t>(Dùng cho các sở ban ngành, cơ quan đảng, đoàn thể, UBND huyện, thành phố báo cáo Sở Tài chính)</t>
  </si>
  <si>
    <t>Đơn vị: Triệu đồng</t>
  </si>
  <si>
    <t xml:space="preserve">SốTT
</t>
  </si>
  <si>
    <t>Biên chế được cấp có thẩm quyền giao năm 2024 (1)</t>
  </si>
  <si>
    <t>Số đối tượng hưởng lương có mặt đến 01/7/2024 (2)</t>
  </si>
  <si>
    <t>HỆ SỐ QUỸ LƯƠNG THÁNG 10/2024</t>
  </si>
  <si>
    <t>Nhu cầu kinh phí thực hiện NĐ số 24/2023/NĐ-CP năm 2024</t>
  </si>
  <si>
    <t xml:space="preserve">Tổng cộng hệ số
</t>
  </si>
  <si>
    <t>Hệ số lương ngạch, bậc, chức vụ</t>
  </si>
  <si>
    <t xml:space="preserve">Tổng các khoản phụ cấp
(4) </t>
  </si>
  <si>
    <t>Bao gồm</t>
  </si>
  <si>
    <t xml:space="preserve">Hệ số các khoản đóng góp BHXH BHYT, KPCĐ (7)
</t>
  </si>
  <si>
    <t>Chênh lệch quỹ lương, phụ cấp tăng thêm 1 tháng (Triệu đồng)</t>
  </si>
  <si>
    <t>Hệ số phụ cấp TNVK</t>
  </si>
  <si>
    <t xml:space="preserve">Hệ số phụ cấp thâm niên nghề </t>
  </si>
  <si>
    <t>Hệ số khu vực</t>
  </si>
  <si>
    <t>Hệ số phụ cấp ưu đãi ngành</t>
  </si>
  <si>
    <t xml:space="preserve">Hệ số phụ cấp thu hút </t>
  </si>
  <si>
    <t>Hệ số phụ cấp công tác lâu năm</t>
  </si>
  <si>
    <t>Hệ số phụ cấp công vụ</t>
  </si>
  <si>
    <t>Hệ số phụ cấp công tác đảng, đoàn thể   theo TB só 13 và HD 05(5)</t>
  </si>
  <si>
    <t>Hệ số chế độ bồi dưỡng phục vụ hoạt động cấp ủy theo QĐ 3111</t>
  </si>
  <si>
    <t>Hệ số PC phân loại xã, PC khác</t>
  </si>
  <si>
    <t>Ngành giáo dục, đào tạo</t>
  </si>
  <si>
    <t>Ngành Thanh tra, kiểm lâm</t>
  </si>
  <si>
    <t>Ngành y</t>
  </si>
  <si>
    <t>Ngành GDĐT</t>
  </si>
  <si>
    <t>Ngành GD</t>
  </si>
  <si>
    <t>Ngành Y</t>
  </si>
  <si>
    <t>QLNN, CC xã</t>
  </si>
  <si>
    <t>Kinh tế, khác</t>
  </si>
  <si>
    <t>PC trách nhiệm cấp ủy theo QĐ 169-QĐ/TƯ (6)</t>
  </si>
  <si>
    <t>PC trách nhiệm công tác bảo vệ chính trị nội bộ</t>
  </si>
  <si>
    <t>Khác</t>
  </si>
  <si>
    <t>Theo NĐ 76/2019/NĐ-CP</t>
  </si>
  <si>
    <t>Theo NĐ 05/2023/NĐ-CP</t>
  </si>
  <si>
    <t>5=6+7+32</t>
  </si>
  <si>
    <t>7=8+9+...+31</t>
  </si>
  <si>
    <t>33=5*0,31 trđ</t>
  </si>
  <si>
    <t>34=33*6 tháng</t>
  </si>
  <si>
    <t>Tổng số  (8)</t>
  </si>
  <si>
    <t>CÁC ĐƠN VỊ KHỐI TỈNH</t>
  </si>
  <si>
    <t>Phụ cấp HĐND tỉnh</t>
  </si>
  <si>
    <t>PC cấp uỷ theo QĐ 169-QĐ/TW</t>
  </si>
  <si>
    <t>PC phục vụ hoạt động cấp uỷ theo QĐ số 09-QĐ/VPTW</t>
  </si>
  <si>
    <t>CÁC HUYỆN, THÀNH PHỐ</t>
  </si>
  <si>
    <t>Huyện Na Rì</t>
  </si>
  <si>
    <t>Khu vực HCSN, Đảng, đoàn thể (8)</t>
  </si>
  <si>
    <t>SN giáo dục - đào tạo</t>
  </si>
  <si>
    <t>-Giáo dục:</t>
  </si>
  <si>
    <t xml:space="preserve">1                             </t>
  </si>
  <si>
    <t>Trường  THCS Trần Phú</t>
  </si>
  <si>
    <t xml:space="preserve">2                             </t>
  </si>
  <si>
    <t>Trường  THCS Yến Lạc</t>
  </si>
  <si>
    <t xml:space="preserve">3                             </t>
  </si>
  <si>
    <t>Trường Mầm Non Côn Minh</t>
  </si>
  <si>
    <t xml:space="preserve">4                             </t>
  </si>
  <si>
    <t>Trường Mầm Non Cư Lễ</t>
  </si>
  <si>
    <t xml:space="preserve">5                             </t>
  </si>
  <si>
    <t>Trường Mầm Non Cường Lợi</t>
  </si>
  <si>
    <t xml:space="preserve">6                             </t>
  </si>
  <si>
    <t xml:space="preserve">Trường Mầm Non Đổng Xá </t>
  </si>
  <si>
    <t xml:space="preserve">7                             </t>
  </si>
  <si>
    <t>Trường Mầm Non Dương Sơn</t>
  </si>
  <si>
    <t xml:space="preserve">8                             </t>
  </si>
  <si>
    <t>Trường Mầm Non Kim Hỷ</t>
  </si>
  <si>
    <t xml:space="preserve">9                             </t>
  </si>
  <si>
    <t>Trường Mầm Non Kim Lư</t>
  </si>
  <si>
    <t xml:space="preserve">10                            </t>
  </si>
  <si>
    <t>Trường Mầm Non Liêm Thủy</t>
  </si>
  <si>
    <t xml:space="preserve">11                            </t>
  </si>
  <si>
    <t>Trường Mầm Non Lương Thượng</t>
  </si>
  <si>
    <t xml:space="preserve">12                            </t>
  </si>
  <si>
    <t>Trường Mầm Non Quang Phong</t>
  </si>
  <si>
    <t xml:space="preserve">13                            </t>
  </si>
  <si>
    <t>Trường Mầm Non Sơn Thành</t>
  </si>
  <si>
    <t xml:space="preserve">14                            </t>
  </si>
  <si>
    <t>Trường Mầm Non Trần Phú</t>
  </si>
  <si>
    <t xml:space="preserve">15                            </t>
  </si>
  <si>
    <t>Trường Mầm Non Văn Lang</t>
  </si>
  <si>
    <t xml:space="preserve">16                            </t>
  </si>
  <si>
    <t>Trường Mầm Non Văn Minh</t>
  </si>
  <si>
    <t xml:space="preserve">17                            </t>
  </si>
  <si>
    <t>Trường Mầm non Văn Vũ</t>
  </si>
  <si>
    <t xml:space="preserve">18                            </t>
  </si>
  <si>
    <t xml:space="preserve">Trường Mầm Non Xuân Dương </t>
  </si>
  <si>
    <t xml:space="preserve">19                            </t>
  </si>
  <si>
    <t>Trường Mầm Non Yến Lạc</t>
  </si>
  <si>
    <t xml:space="preserve">20                            </t>
  </si>
  <si>
    <t>Trường Phổ thông dân tộc nội trú huyện Na Rì</t>
  </si>
  <si>
    <t xml:space="preserve">21                            </t>
  </si>
  <si>
    <t>Trường PTDTBT TH&amp;THCS Kim Hỷ (cấp THCS)</t>
  </si>
  <si>
    <t xml:space="preserve">22                            </t>
  </si>
  <si>
    <t>Trường PTDTBT TH&amp;THCS Kim Hỷ(cấp TH)</t>
  </si>
  <si>
    <t xml:space="preserve">23                            </t>
  </si>
  <si>
    <t>Trường PTDTBT THCS Đổng Xá</t>
  </si>
  <si>
    <t xml:space="preserve">24                            </t>
  </si>
  <si>
    <t>Trường PTDTBT THCS Văn Vũ</t>
  </si>
  <si>
    <t xml:space="preserve">25                            </t>
  </si>
  <si>
    <t>Trường PTDTBT Tiểu học Đổng Xá</t>
  </si>
  <si>
    <t xml:space="preserve">26                            </t>
  </si>
  <si>
    <t>Trường PTDTBT Tiểu học Văn Vũ</t>
  </si>
  <si>
    <t xml:space="preserve">27                            </t>
  </si>
  <si>
    <t>Trường TH&amp;THCS Côn Minh (cấp THCS)</t>
  </si>
  <si>
    <t xml:space="preserve">28                            </t>
  </si>
  <si>
    <t>Trường TH&amp;THCS Côn Minh(cấp TH)</t>
  </si>
  <si>
    <t xml:space="preserve">29                            </t>
  </si>
  <si>
    <t>Trường TH&amp;THCS Cư Lễ (cấp THCS)</t>
  </si>
  <si>
    <t xml:space="preserve">30                            </t>
  </si>
  <si>
    <t>Trường TH&amp;THCS Cư Lễ(cấp TH)</t>
  </si>
  <si>
    <t xml:space="preserve">31                            </t>
  </si>
  <si>
    <t>Trường TH&amp;THCS Cường Lợi (cấp THCS)</t>
  </si>
  <si>
    <t xml:space="preserve">32                            </t>
  </si>
  <si>
    <t>Trường TH&amp;THCS Cường Lợi(cấp TH)</t>
  </si>
  <si>
    <t xml:space="preserve">33                            </t>
  </si>
  <si>
    <t>Trường TH&amp;THCS Dương Sơn (cấp THCS)</t>
  </si>
  <si>
    <t xml:space="preserve">34                            </t>
  </si>
  <si>
    <t>Trường TH&amp;THCS Dương Sơn(cấp TH)</t>
  </si>
  <si>
    <t xml:space="preserve">35                            </t>
  </si>
  <si>
    <t>Trường TH&amp;THCS Kim Lư (cấp THCS)</t>
  </si>
  <si>
    <t xml:space="preserve">36                            </t>
  </si>
  <si>
    <t>Trường TH&amp;THCS Kim Lư(cấp TH)</t>
  </si>
  <si>
    <t xml:space="preserve">37                            </t>
  </si>
  <si>
    <t>Trường TH&amp;THCS Lam Sơn (cấp THCS)</t>
  </si>
  <si>
    <t xml:space="preserve">38                            </t>
  </si>
  <si>
    <t>Trường TH&amp;THCS Lam Sơn(cấp TH)</t>
  </si>
  <si>
    <t xml:space="preserve">39                            </t>
  </si>
  <si>
    <t>Trường TH&amp;THCS Liêm Thủy (cấp THCS)</t>
  </si>
  <si>
    <t xml:space="preserve">40                            </t>
  </si>
  <si>
    <t>Trường TH&amp;THCS Liêm Thủy(cấp TH)</t>
  </si>
  <si>
    <t xml:space="preserve">41                            </t>
  </si>
  <si>
    <t>Trường TH&amp;THCS Lương Thành (cấp THCS)</t>
  </si>
  <si>
    <t xml:space="preserve">42                            </t>
  </si>
  <si>
    <t>Trường TH&amp;THCS Lương Thành(cấp TH)</t>
  </si>
  <si>
    <t xml:space="preserve">43                            </t>
  </si>
  <si>
    <t>Trường TH&amp;THCS Lương Thượng (cấp THCS)</t>
  </si>
  <si>
    <t xml:space="preserve">44                            </t>
  </si>
  <si>
    <t>Trường TH&amp;THCS Lương Thượng(cấp TH)</t>
  </si>
  <si>
    <t xml:space="preserve">45                            </t>
  </si>
  <si>
    <t>Trường TH&amp;THCS Quang Phong (cấp THCS)</t>
  </si>
  <si>
    <t xml:space="preserve">46                            </t>
  </si>
  <si>
    <t>Trường TH&amp;THCS Quang Phong(cấp TH)</t>
  </si>
  <si>
    <t xml:space="preserve">47                            </t>
  </si>
  <si>
    <t>Trường TH&amp;THCS Văn Lang(cấp TH)</t>
  </si>
  <si>
    <t xml:space="preserve">48                            </t>
  </si>
  <si>
    <t>Trường TH&amp;THCS Văn Lang(cấp THCS)</t>
  </si>
  <si>
    <t xml:space="preserve">49                            </t>
  </si>
  <si>
    <t>Trường TH&amp;THCS Văn Minh (cấp THCS)</t>
  </si>
  <si>
    <t xml:space="preserve">50                            </t>
  </si>
  <si>
    <t>Trường TH&amp;THCS Văn Minh(cấp TH)</t>
  </si>
  <si>
    <t xml:space="preserve">51                            </t>
  </si>
  <si>
    <t>Trường TH&amp;THCS Xuân Dương (cấp THCS)</t>
  </si>
  <si>
    <t xml:space="preserve">52                            </t>
  </si>
  <si>
    <t>Trường TH&amp;THCS Xuân Dương(cấp TH)</t>
  </si>
  <si>
    <t xml:space="preserve">53                            </t>
  </si>
  <si>
    <t>Trường Tiểu học Trần Phú</t>
  </si>
  <si>
    <t xml:space="preserve">54                            </t>
  </si>
  <si>
    <t>Trường Tiểu học Yến Lạc</t>
  </si>
  <si>
    <t>-Đào tạo</t>
  </si>
  <si>
    <t>Trung tâm chính trị huyện Na Rì</t>
  </si>
  <si>
    <t>Trung tâm Giáo dục TX-GDNN huyện Na Rì</t>
  </si>
  <si>
    <t>3</t>
  </si>
  <si>
    <t>Trung tâm văn hóa, thể thao và truyền thông huyện Na Rì (161)</t>
  </si>
  <si>
    <t>4</t>
  </si>
  <si>
    <t>Trung tâm văn hóa, thể thao và truyền thông huyện Na Rì (191)</t>
  </si>
  <si>
    <t>5</t>
  </si>
  <si>
    <t>Thể dục - thể thao</t>
  </si>
  <si>
    <t>6</t>
  </si>
  <si>
    <t>Đảm bảo xã hội</t>
  </si>
  <si>
    <t>7</t>
  </si>
  <si>
    <t>Sự nghiệp kinh tế, SN khác</t>
  </si>
  <si>
    <t>Trung tâm Dịch vụ nông nghiệp huyện Na RÌ</t>
  </si>
  <si>
    <t>8</t>
  </si>
  <si>
    <t>-Quản lý nhà nước</t>
  </si>
  <si>
    <t>Hội chữ thập đỏ huyện Na Rì</t>
  </si>
  <si>
    <t>Nhà Khách huyện Na Rì</t>
  </si>
  <si>
    <t>Phòng Giáo dục và Đào tạo huyện Na Rì</t>
  </si>
  <si>
    <t>Phòng Kinh tế Hạ tầng huyện Na Rì</t>
  </si>
  <si>
    <t>Phòng Lao động - Thương binh và xã hội huyện Na Rì</t>
  </si>
  <si>
    <t>Phòng Nội vụ huyện Na Rì</t>
  </si>
  <si>
    <t>Phòng Nông nghiệp và PTNT huyện Na Rì</t>
  </si>
  <si>
    <t>Phòng Tài nguyên và Môi trường huyện Na Rì</t>
  </si>
  <si>
    <t>Phòng Tư Pháp huyện Na Rì</t>
  </si>
  <si>
    <t>Phòng Văn hóa và thông tin huyện Na Rì</t>
  </si>
  <si>
    <t>Thanh tra huyện Na Rì</t>
  </si>
  <si>
    <t>Văn phòng HĐND&amp;UBND huyện Na Rì</t>
  </si>
  <si>
    <t>-Đảng</t>
  </si>
  <si>
    <t>Huyện ủy Na Rì</t>
  </si>
  <si>
    <t>-Đoàn thể</t>
  </si>
  <si>
    <t>Đoàn Thanh niên CSHCM</t>
  </si>
  <si>
    <t xml:space="preserve">Hội Nông dân </t>
  </si>
  <si>
    <t>Hội Phụ nữ</t>
  </si>
  <si>
    <t>UBMT tổ quốc</t>
  </si>
  <si>
    <t>Cán bộ, công chức xã</t>
  </si>
  <si>
    <t>Xã loại 1</t>
  </si>
  <si>
    <t>a</t>
  </si>
  <si>
    <t>Phường</t>
  </si>
  <si>
    <t>b</t>
  </si>
  <si>
    <t>Xã, thị trấn</t>
  </si>
  <si>
    <t>Xã loại 2</t>
  </si>
  <si>
    <t>UBND xã Liêm Thuỷ</t>
  </si>
  <si>
    <t>Xã loại 3</t>
  </si>
  <si>
    <t>Hoạt động phí đại biểu HĐND các cấp</t>
  </si>
  <si>
    <t>- Cấp huyện</t>
  </si>
  <si>
    <t>- Cấp xã</t>
  </si>
  <si>
    <t>Phụ cấp trách nhiệm cấp uỷ</t>
  </si>
  <si>
    <t>Uỷ viên Cấp huyện</t>
  </si>
  <si>
    <t>Uỷ viên Cấp xã</t>
  </si>
  <si>
    <t xml:space="preserve">Ghi chú: 
 (1)  (2) (3)  Không bao gồm các đối tượng theo hợp đồng Nghị định số 111/2022/NĐ-CP; hợp đồng  theo Nghị quyết số 09/2017/NQ-HĐND và hợp đồng lao động khác							
 (4) Chỉ tính các khoản phụ cấp do Trung ương quy định, không kể tiền lương làm việc vào ban đêm, làm thêm giờ, phụ cấp theo mức tuyệt đối; bao gồm các loại phụ cấp theo NĐ 61/2006/NĐ-CP, NĐ 64/2009/NĐ-CP; …(thuyết minh đầy đủ theo các biểu mẫu đính kèm).																
 (5) Phụ cấp công tác Đảng chỉ tổng hợp phụ cấp theo Thông báo số 13-TB/TW ngày 28/3/2011 của Bộ Chính trị và hướng dẫn số 05-HD/BTCTW ngày 01/7/2011 của Ban Tổ chức Trung ương
 (6) Phụ cấp cấp ủy của các cơ quan, đơn vị tổng hợp vào cột 28															
 (7) Mức đóng BHXH là 17,5%, BHYT là 3%, BHTN là 1%, KPCĐ là 2%														
 (8) Chỉ tổng hơp nhu cầu kinh phí các đơn vị chưa tự đảm bảo chi thường xuyên; không bao gồm hợp đồng theo NĐ số 111/2022/NĐ-CP; Hợp đồng theo NQ số 09/2017/NQ-HĐND và hợp đồng khác
 Phụ cấp thâm niên nghề, phụ cấp ưu đãi ngành, phụ cấp thu hút, phụ cấp công tác lâu năm: Kèm theo thuyết minh	</t>
  </si>
  <si>
    <t>, ngày ...... tháng ..... năm 2024</t>
  </si>
  <si>
    <t>Trưởng phòng</t>
  </si>
  <si>
    <t>Nông Thị Anh Thơ</t>
  </si>
  <si>
    <t>Trang</t>
  </si>
  <si>
    <t>Kinh phí thực hiện cuốn lịch sử Đảng bộ huyện năm 2025</t>
  </si>
  <si>
    <t>Chỉnh lý tài liệu lưu trữ của cơ quan Huyện uỷ nhiệm ký 2020-2025 (tài liệu đã lập hồ sơ sơ bộ)</t>
  </si>
  <si>
    <t>Kinh phí an toàn giao thông</t>
  </si>
  <si>
    <t>Kinh phí hoạt động của Ban chỉ huy quân sự tự vệ UBND huyện</t>
  </si>
  <si>
    <t>Các khoản hoạt động</t>
  </si>
  <si>
    <t>Quỹ tiền lương và các khoản đóng góp</t>
  </si>
  <si>
    <t>Đo đạc, cấp giấy chứng nhận quyền sử dụng đất (Nguồn thu từ đất)</t>
  </si>
  <si>
    <t xml:space="preserve"> - Kinh phí mua xe ô tô</t>
  </si>
  <si>
    <t xml:space="preserve">Kinh phí giám sát, khảo sát và hoạt động của 02 ban và các tổ HĐND huyện gồm (bồi dưỡng họp giám sát, khảo sát; công tác phí; xây dựng K/H, tổng hợp báo cáo; giám sát, khảo sát ...) </t>
  </si>
  <si>
    <t xml:space="preserve">Kinh phí công tác thanh tra, kiểm tra liên ngành về an toàn thực phẩm trên địa bàn huyện Na Rì năm 2025 </t>
  </si>
  <si>
    <t>Kinh phí Ban chỉ đạo phòng chống thiên tai và tìm kiếm cứu nạn</t>
  </si>
  <si>
    <t xml:space="preserve"> - Quỹ tiền thưởng (Nghị định số 73/2024/NĐ-CP ngày 30/6/2024 của Chính phủ)</t>
  </si>
  <si>
    <t>Phòng giao dịch ngân hàng chính sách xã hội huyện</t>
  </si>
  <si>
    <t>Nguồn vốn cho vay hộ nghèo</t>
  </si>
  <si>
    <t>Kinh phí ủy thác để thực hiện cho vay đối với người chấp hành xong án phạt tù</t>
  </si>
  <si>
    <t>Cải tạo, nâng cấp, mở rộng, xây dựng mới một số hạng mục tuyến đường Kim Hỷ - Vũ Muộn</t>
  </si>
  <si>
    <t>Cải tạo, nâng cấp, mở rộng, xây dựng mới một số hạng mục tuyến đường Cường Lợi - Văn Vũ huyện Na Rì</t>
  </si>
  <si>
    <t>Cải tạo, nâng cấp, mở rộng, xây dựng mới một số hạng mục Bãi rác huyện Na Rì</t>
  </si>
  <si>
    <t>Mua mới, nâng cấp Lò đốt rác, bãi rác huyện Na Rì</t>
  </si>
  <si>
    <t>Sửa chữa Ngầm tràn trên tuyến đường kết nối từ trung tâm huyện Na Rì của tỉnh Bắc Kạn với huyện Bình Gia và huyện Tràng Định của tỉnh Lạng Sơn</t>
  </si>
  <si>
    <t>Thực hiện dịch vụ công ích năm 2025</t>
  </si>
  <si>
    <t>Duy trì, chăm sóc cây xanh đô thị thị trấn Yến Lạc</t>
  </si>
  <si>
    <t>Thực hiện dịch vụ công ích năm 2024</t>
  </si>
  <si>
    <t>Nội dung nhiệm vụ</t>
  </si>
  <si>
    <t>Văn phòng Hội đồng nhân dân - UBND huyện</t>
  </si>
  <si>
    <t>Thường trực HĐND</t>
  </si>
  <si>
    <t>Kinh phí họp HĐND (Dự kiến 02 kỳ họp thường lệ, 08 kỳ họp chuyên đề, đột xuất)</t>
  </si>
  <si>
    <t>Kinh phí hỗ trợ đại biểu HĐND huyện (27 đại biểu x 1trđ)</t>
  </si>
  <si>
    <t>Kinh phí hỗ trợ tổ đại biểu HĐND (06 tổ x 1,5trđ)</t>
  </si>
  <si>
    <t>Tiếp xúc cử tri trước và sau kỳ họp 04 cuộc x 8trđ</t>
  </si>
  <si>
    <t>Kinh phí đặt báo cho đại biểu HĐND (4 quý x 18,7 triệu đồng/quý)</t>
  </si>
  <si>
    <t>Kinh phí tổ chức đoàn đi dự hội nghị giao ban HĐND tỉnh và các huyện 02 cuộc, các hội nghị phát sinh</t>
  </si>
  <si>
    <t>Thường trực UBND</t>
  </si>
  <si>
    <t>Kinh phí mua xe ô tô</t>
  </si>
  <si>
    <t>Hội Liên hiệp Phụ nữ</t>
  </si>
  <si>
    <t>Hội Nông dân</t>
  </si>
  <si>
    <t>Kinh phí thực hiện Ban chỉ đạo 35 (phụ cấp)</t>
  </si>
  <si>
    <t>Kinh phí phụ cấp Báo cáo viên cấp huyện</t>
  </si>
  <si>
    <t>Kinh phí phụ cấp trách nhiệm đội ngũ công tác viên dư luận XH</t>
  </si>
  <si>
    <t>Kinh phí hoạt động của Thường trực Huyện ủy, hoạt động đối ngoại của Thường trực...các nhiệm vụ của các ban thuộc Khối Đảng</t>
  </si>
  <si>
    <t>Kinh phí đảm bảo HĐ của Thường trực HĐND</t>
  </si>
  <si>
    <t>Kinh phí hoạt động của Lãnh đạo UBND huyện thường xuyên đi kiểm tra, đôn đốc tại các xã, thị trấn và tham dự các cuộc họp của UBND, các cuộc họp sơ kết, tổng kết của các sở ngành, các cơ quan đoàn thể của tỉnh, hoạt động đối ngoại của Thường trực….</t>
  </si>
  <si>
    <t>Kinh phí an toàn thực phẩm</t>
  </si>
  <si>
    <t>Kinh phí kiểm tra phòng chống dịch bệnh</t>
  </si>
  <si>
    <t>Thanh tra huyện</t>
  </si>
  <si>
    <t>Kinh phí trang phục thanh tra</t>
  </si>
  <si>
    <t>Kinh phí được trích từ các khoản thu hồi phát hiện qua công tác thanh tra</t>
  </si>
  <si>
    <t xml:space="preserve">Kinh phí trưng tập cộng tác viên Thanh tra </t>
  </si>
  <si>
    <t>Phòng Tư Pháp</t>
  </si>
  <si>
    <t xml:space="preserve">Kinh phí phổ biến giáo dục pháp luật </t>
  </si>
  <si>
    <t xml:space="preserve">Kinh phí xây dựng, thẩm định, kiểm tra, rà soát văn bản quy phạm pháp luật </t>
  </si>
  <si>
    <t>Phòng Nội vụ</t>
  </si>
  <si>
    <t>Kinh phí thực hiện công tác tôn giáo</t>
  </si>
  <si>
    <t>Kinh phí thực hiện công tác cải cách hành chính</t>
  </si>
  <si>
    <t>Phòng Lao động Thương binh &amp; Xã hội</t>
  </si>
  <si>
    <t>Kinh phí trẻ em</t>
  </si>
  <si>
    <t>Kinh phí cho cho công tác bình đẳng giới</t>
  </si>
  <si>
    <t>Phòng Tài chính - Kế hoạch</t>
  </si>
  <si>
    <t>Kinh phí công tác thuê thẩm định giá thẩm định phương án giá đất của HĐ thẩm định giá đất và Tổ giúp việc của HĐ thẩm định giá đất (dự kiến dự án; 15 cuộc họp)</t>
  </si>
  <si>
    <t>Phòng Văn hóa &amp; Thông tin</t>
  </si>
  <si>
    <t>Kinh phí bảo tồn văn hóa phi vật thể</t>
  </si>
  <si>
    <t>Kinh phí cổng thông tin điện tử</t>
  </si>
  <si>
    <t>Phòng Kinh tế &amp; Hạ tầng</t>
  </si>
  <si>
    <t>Kinh phí thi đua khen thưởng</t>
  </si>
  <si>
    <t>Phòng Giáo dục và Đào tạo</t>
  </si>
  <si>
    <t>Trung tâm Văn hóa TT và Truyền thông</t>
  </si>
  <si>
    <t>Đại hội thể dục thể thao cấp huyện</t>
  </si>
  <si>
    <t>Phụ cấp, hoạt động dân quân tự vệ</t>
  </si>
  <si>
    <t xml:space="preserve">Phụ cấp </t>
  </si>
  <si>
    <t xml:space="preserve">Kinh phí hoạt động </t>
  </si>
  <si>
    <t>Kinh phí hoạt động</t>
  </si>
  <si>
    <t>Kinh phí hoạt động của Ban Chỉ đạo thực hiện Đề án 61 huyện</t>
  </si>
  <si>
    <t>Tổ chức  kỷ niệm 95 ngày thành lập Hội Nông dân Việt Nam</t>
  </si>
  <si>
    <t>Tổ chức Hội nghị điển hình tiên tiến Hội Nông dân huyện lần thứ IV giai đoạn 2020-2025</t>
  </si>
  <si>
    <t>Tổ chức Hội nghị Chủ tịch UBND huyện đối thoại với Nông dân và hội nghị trực tuyến đối thoại giữa Chủ tịch UBND tỉnh Bắc Kạn và Thủ tướng Chính phủ với Nông dân (tại điểm cầu của huyện) năm 2025.</t>
  </si>
  <si>
    <t>Thực hiện Quyết định số 217-QĐ/TW ngày 12/12/2013 của Bộ Chính trị về quy chế giám sát và phản biện xã hội của Mặt trận Tổ quốc Việt Nam và các đoàn thể chính trị - xã hội</t>
  </si>
  <si>
    <t>Thực hiện Quyết định số 182/QĐ-TTg ngày 20/02/2024 của Thủ tướng Chính phủ về phê duyệt Đề án “Hội Nông dân Việt Nam tham gia phát triển kinh tế tập thể trong nông nghiệp đến năm 2030”</t>
  </si>
  <si>
    <t>Kinh phí tổ chức Tọa đàm, gặp mặt đại biểu CCB nhân dịp kỷ niệm 50 năm Ngày giải phóng Miền Nam, thống nhất đất nước (30/4/1975- 30/4/2025)</t>
  </si>
  <si>
    <t>Công tác chuyển đổi số</t>
  </si>
  <si>
    <t xml:space="preserve"> - Kinh phí thực hiện cuốn lịch sử Đảng bộ huyện Na Rì qua các kỳ Đại hội</t>
  </si>
  <si>
    <t xml:space="preserve"> - Hoạt động của Hội đồng thẩm định phương án giá đất cụ thể của huyện</t>
  </si>
  <si>
    <t xml:space="preserve"> - Kinh phí thẩm định giá mua sắm tài sản, hàng hóa, dịch vụ và chi phí cho Hội đồng định giá tài sản cấp huyện</t>
  </si>
  <si>
    <t xml:space="preserve"> - Hỗ trợ hoạt động Ban Chỉ đạo KTTT, lĩnh vực đăng ký kinh doanh; Công tác xây dựng dự toán, quyết toán ngân sách, tổng hợp các chính sách an sinh xã hội, khóa sổ cuối năm</t>
  </si>
  <si>
    <t xml:space="preserve"> - Kinh phí chuyển đổi số</t>
  </si>
  <si>
    <t xml:space="preserve"> - Kinh phí kiểm tra phòng chống dịch bệnh</t>
  </si>
  <si>
    <t xml:space="preserve">    + Phụ cấp dân quân (Chính trị viên)</t>
  </si>
  <si>
    <t xml:space="preserve">    + Phụ cấp dân quân (Trung đội trưởng DQTV)</t>
  </si>
  <si>
    <t>Quỹ tiền thưởng (Nghị định số 73/2024/NĐ-CP ngày 30/6/2024 của Chính phủ)</t>
  </si>
  <si>
    <t xml:space="preserve">    + Quỹ tiền thưởng (Nghị định số 73/2024/NĐ-CP ngày 30/6/2024 của Chính phủ)</t>
  </si>
  <si>
    <t xml:space="preserve"> - Kinh phí bảo tồn văn hóa phi vật thể</t>
  </si>
  <si>
    <t xml:space="preserve"> - 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</si>
  <si>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 xml:space="preserve"> - Kinh phí phụ cấp, hoạt động của Ban Chỉ huy Quân sự Tự vệ Huyện ủy</t>
  </si>
  <si>
    <t xml:space="preserve"> - Hỗ trợ tổ chức  kỷ niệm 95 ngày thành lập Hội Nông dân Việt Nam</t>
  </si>
  <si>
    <t xml:space="preserve"> - Hỗ trợ tổ chức Hội nghị điển hình tiên tiến Hội Nông dân huyện lần thứ IV giai đoạn 2020-2025</t>
  </si>
  <si>
    <t xml:space="preserve"> - Hỗ trợ tổ chức Hội nghị Chủ tịch UBND huyện đối thoại với Nông dân và hội nghị trực tuyến đối thoại giữa Chủ tịch UBND tỉnh Bắc Kạn và Thủ tướng Chính phủ với Nông dân (tại điểm cầu của huyện) năm 2025.</t>
  </si>
  <si>
    <t xml:space="preserve">  - Hỗ trợ thực hiện Quyết định số 217-QĐ/TW ngày 12/12/2013 của Bộ Chính trị về quy chế giám sát và phản biện xã hội của Mặt trận Tổ quốc Việt Nam và các đoàn thể chính trị - xã hội</t>
  </si>
  <si>
    <t xml:space="preserve">  - Hỗ trợ thực hiện Quyết định số 182/QĐ-TTg ngày 20/02/2024 của Thủ tướng Chính phủ về phê duyệt Đề án “Hội Nông dân Việt Nam tham gia phát triển kinh tế tập thể trong nông nghiệp đến năm 2030”</t>
  </si>
  <si>
    <t xml:space="preserve"> - Hỗ trợ kinh phí tổ chức Tọa đàm, gặp mặt đại biểu CCB nhân dịp kỷ niệm 50 năm Ngày giải phóng Miền Nam, thống nhất đất nước (30/4/1975- 30/4/2025)</t>
  </si>
  <si>
    <t xml:space="preserve"> -  Kinh phí đại hội nhiệm kỳ 2025-2030</t>
  </si>
  <si>
    <t>3.9</t>
  </si>
  <si>
    <t>Thu gom, vận chuyển, xử lý rác thải sinh hoạt trên địa bàn huyện</t>
  </si>
  <si>
    <t>Thực hiện công tác thanh tra, kiểm tra môi trường, quan trắc môi trường</t>
  </si>
  <si>
    <t>UBND thị trấn Yến lạc</t>
  </si>
  <si>
    <t>Kế hoạch sử dụng đất năm 2026</t>
  </si>
  <si>
    <t>Kinh phí lễ lội Chợ tình Xuân Dương</t>
  </si>
  <si>
    <t>Kinh phí Hội xuân lòng tồng bản Pjo</t>
  </si>
  <si>
    <t>Đoàn thanh niên</t>
  </si>
  <si>
    <t xml:space="preserve"> - Kinh phí Hội xuân lòng tồng bản Pjo</t>
  </si>
  <si>
    <t>Đại hội Cháu ngoan Bác Hồ huyện Na Rì và Hành trình về nguồn, năm học 2024 - 2025 Tại huyện Na Rì và Thủ đô Hà Nội. Tháng 6,7/2025</t>
  </si>
  <si>
    <t xml:space="preserve"> - Đại hội Cháu ngoan Bác Hồ huyện Na Rì và Hành trình về nguồn, năm học 2024 - 2025 Tại huyện Na Rì và Thủ đô Hà Nội</t>
  </si>
  <si>
    <t>Ủy ban Mặt trận TQVN huyện</t>
  </si>
  <si>
    <t xml:space="preserve">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</si>
  <si>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</si>
  <si>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Kinh phí cuộc vận động ‘‘Toàn dân đoàn kết xây dựng nông thôn mới đô thị văn minh’’. (theo Thông tư 121/2017/TT-BTC ngày 15/11/2017 của bộ tài chính) </t>
  </si>
  <si>
    <t>Kinh phí cuộc vận động ‘‘người Việt Nam ưu tiên dùng hàng Việt Nam’’( theo Thông tư số 91/2012/TT-BTC ngày 30/5/2012 của Bộ tài chính quy định việc quản lý và sử dụng kinh phí phục vụ hoạt động của các ban Chỉ đạo cuộc vận động ‘‘ Người Việt Nam ưu tiên dùng hàng Việt Nam’’.</t>
  </si>
  <si>
    <t>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</si>
  <si>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</si>
  <si>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cho Ủy viên Ủy ban MTTQ huyện nhiệm kỳ 2024-2029 không hưởng lương từ Ngân sách Nhà nước tham dự họp Hội nghị Ủy ban MTTQ Việt Nam huyện theo Điều lệ Mặt trận Tổ quốc Việt Nam.</t>
  </si>
  <si>
    <t xml:space="preserve"> - Kinh phí chi đón tiếp, thăm hỏi, chúc mừng đối với một số đối tượng do Ủy ban MTTQ Việt Nam cấp tỉnh, huyện theo chế độ và định mức quy định tại Nghị quyết 12/2024/NQ-HĐND ngày 30/10/2024 của HĐND tỉnh Bắc Kạn</t>
  </si>
  <si>
    <t xml:space="preserve"> - Kinh phí chi Giám sát theo Nghị quyết Liên tịch số 403/2017/NQLT-UBTVQH14-CP-ĐCTUTWMTTQVN ngày 15/6/2017 của Ban Thường vụ Quốc hội - Chính phủ - Đoàn Chủ tịch Ủy ban Trung ương Mặt trận Tổ quốc Việt Nam về Quy định chi tiết các hình thức giám sát, phản biện xã hội của Mặt trận Tổ quốc Việt Nam. </t>
  </si>
  <si>
    <t xml:space="preserve"> - Kinh phí tổ chức thực hiện Đề án 01/ĐA-TTQ - BTT, ngày 02/4/2023 của Ủy ban MTTQ Việt Nam tỉnh Bắc Kạn về nâng cao chất lượng, hiệu quả hoạt động của Ủy ban MTTQ Việt Nam các cấp và Ban công tác Mặt trận ở khu dân cư tỉnh Bắc Kạn</t>
  </si>
  <si>
    <t xml:space="preserve"> - Sinh hoạt phí Ủy viên Ủy ban MTTQ + Phụ cấp hội đồng tư vấn</t>
  </si>
  <si>
    <t xml:space="preserve"> - Kinh phí cuộc vận động ‘‘Toàn dân đoàn kết xây dựng nông thôn mới đô thị văn minh’’</t>
  </si>
  <si>
    <t>3.10</t>
  </si>
  <si>
    <t xml:space="preserve">    + Đại hội thể dục thể thao cấp huyện</t>
  </si>
  <si>
    <t xml:space="preserve">    + Kinh phí Hội xuân lồng tồng bản Pjo</t>
  </si>
  <si>
    <t xml:space="preserve">    + Kinh phí hỗ trợ giáo viên dạy học sinh khuyết tật theo Nghị định 28/2012/NĐ-CP</t>
  </si>
  <si>
    <t>50% tăng thu dự toán năm 2025 so với dự toán năm 2024 trừ đi các khoản không tính tăng thu theo quy định</t>
  </si>
  <si>
    <t xml:space="preserve"> Duy tu, bảo dưỡng thường xuyên các tuyến đường huyện </t>
  </si>
  <si>
    <t>Hội Chữ thập đỏ</t>
  </si>
  <si>
    <t>Kinh phí hiến máu tình nguyện</t>
  </si>
  <si>
    <t>Hỗ trợ hội nghị điển hình tiên tiến + tham dự cấp tỉnh</t>
  </si>
  <si>
    <t>Hỗ trợ các hoạt động tập huấn, tuyên tuyền</t>
  </si>
  <si>
    <t xml:space="preserve"> - Hỗ trợ hội nghị điển hình tiên tiến + tham dự cấp tỉnh</t>
  </si>
  <si>
    <t xml:space="preserve"> - Hỗ trợ các hoạt động tập huấn, tuyên tuyền</t>
  </si>
  <si>
    <t xml:space="preserve"> - Hỗ trợ hoạt động hiến máu tình nguyện</t>
  </si>
  <si>
    <t>3.11</t>
  </si>
  <si>
    <t>3.12</t>
  </si>
  <si>
    <t>3.13</t>
  </si>
  <si>
    <t xml:space="preserve"> - Kinh phí mua máy phô tô phục vụ công tác phô đề kiểm tra, đề thi; mua máy in bằng tốt nghiệp THCS</t>
  </si>
  <si>
    <t>Kinh phí thực hiện chính sách an sinh (NĐ 20)</t>
  </si>
  <si>
    <t>Hỗ trợ kinh phí tổ chức Đại hội đảng các cấp nhiệm kỳ 2025 - 2030</t>
  </si>
  <si>
    <t xml:space="preserve"> - Kinh phí Đại hội đảng bộ huyện</t>
  </si>
  <si>
    <t xml:space="preserve">    + Kinh phí tăng lương (1800-2340)</t>
  </si>
  <si>
    <t>Quy hoạch chi tiết điểm dân cư nông thôn xã Côn Minh, huyện Na Rì, tỉnh Bắc Kạn</t>
  </si>
  <si>
    <t>Quy hoạch chi tiết điểm dân cư nông thôn xã Cường Lợi, huyện Na Rì, tỉnh Bắc Kạn</t>
  </si>
  <si>
    <t>Phân bổ chi tiết</t>
  </si>
  <si>
    <t xml:space="preserve"> NGUỒN THU TIỀN SỬ DỤNG ĐẤT, NGUỒN TỈNH HỖ TRỢ THỰC HIỆN NHIỆM VỤ, NGUỒN VỐN SỰ NGHIỆP KINH TẾ NĂM 2025</t>
  </si>
  <si>
    <t>Sửa chữa Phòng làm việc của Thanh tra và Phòng tiếp công dân huyện</t>
  </si>
  <si>
    <t>Kinh phí sửa chữa hệ thống đường điện, công trình vệ sinh, mái nhà và một số phòng làm việc của Phòng GD&amp;ĐT huyện đã xuống cấp</t>
  </si>
  <si>
    <t>Văn phòng HĐND-UBND huyện</t>
  </si>
  <si>
    <t>Phòng Giáo dục &amp; Đào tạo huyện</t>
  </si>
  <si>
    <t>Ban Quản lý dự án ĐTXD huyện</t>
  </si>
  <si>
    <t>Cải tạo, nâng cấp trụ sở làm việc Ban Quản lý dự án ĐTXD huyện Na Rì</t>
  </si>
  <si>
    <t>Tổ chức tết trồng cây ''Tết trồng cây đời đời nhớ ơn Bác Hồ'' Xuân Ất Tỵ 2025</t>
  </si>
  <si>
    <t>2.11</t>
  </si>
  <si>
    <t>2.12</t>
  </si>
  <si>
    <t>2.13</t>
  </si>
  <si>
    <t>2.14</t>
  </si>
  <si>
    <t>2.15</t>
  </si>
  <si>
    <t>2.16</t>
  </si>
  <si>
    <t>2.17</t>
  </si>
  <si>
    <t>Cải tạo, nâng cấp đường từ cổng Công an huyện qua Trung tâm y tế huyện đến đường tránh QL.3B xã Kim Lư</t>
  </si>
  <si>
    <t>Cải tạo, nâng cấp đường bê tông Nà Lẹng - Nà Pằng, thị trấn Yến Lạc, huyện Na Rì, tỉnh Bắc Kạn</t>
  </si>
  <si>
    <t>Hệ số lương chốt ngày 30/10 trên phần mềm lương; cộng hệ số nâng lương từ T9-T12 chưa có trong bảng lương tháng 10</t>
  </si>
  <si>
    <t xml:space="preserve">   - Lương, phụ cấp</t>
  </si>
  <si>
    <t xml:space="preserve">   - Biên chế chưa tuyển</t>
  </si>
  <si>
    <t>- Nâng lương</t>
  </si>
  <si>
    <t>- Tăng chi bổ sung cho các xã</t>
  </si>
  <si>
    <t>Trong đó: Tiết kiệm 10% để thực hiện CCTL</t>
  </si>
  <si>
    <t>Quỹ tiền thưởng</t>
  </si>
  <si>
    <t>Hỗ trợ hằng tháng người trực tiếp tham gia hoạt động ở thôn, tổ dân phố</t>
  </si>
  <si>
    <t>Chi hội trưởng Chi hội Phụ nữ</t>
  </si>
  <si>
    <t>Chi hội trưởng Chi hội Nông dân</t>
  </si>
  <si>
    <t>Chi hội trưởng Chi hội Cựu chiến binh</t>
  </si>
  <si>
    <t>Bí thư Chi đoàn Thanh niên Cộng sản Hồ Chí Minh</t>
  </si>
  <si>
    <t>Chi hội trưởng Chi hội Người cao tuổi</t>
  </si>
  <si>
    <t>Kinh phí khu dân cư thuộc xã khó khăn (6.triệu đồng/thôn) (thị trấn, Kim Lư, Cường Lợi, Côn Minh 5 triệu đồng/thôn+1 triệu đồng/thôn đbkk)</t>
  </si>
  <si>
    <t xml:space="preserve">     + Nguyên bí thư, chủ tịch (3.500)</t>
  </si>
  <si>
    <t xml:space="preserve">     + PBT,PCT,TTĐ,TKHĐ,X.đội…(3.500)</t>
  </si>
  <si>
    <t xml:space="preserve">     + Các chức danh khác (3.500)</t>
  </si>
  <si>
    <t>Tổ bảo vệ an ninh trật tự ở cơ sở</t>
  </si>
  <si>
    <t>+ Tổ trưởng (100%; 1.250)</t>
  </si>
  <si>
    <t>+ Tổ trưởng kiêm (60%; 750)</t>
  </si>
  <si>
    <t>+ Tổ phó (100%; 1.100)</t>
  </si>
  <si>
    <t>+ Tổ phó kiêm (60%; 660)</t>
  </si>
  <si>
    <t>+ Tổ viên (100%; 1.000)</t>
  </si>
  <si>
    <t>+ Tổ viên kiêm (60%; 600)</t>
  </si>
  <si>
    <t xml:space="preserve"> * Luật Dân quân tự vệ </t>
  </si>
  <si>
    <t xml:space="preserve">    + Phó Chỉ huy trưởng Quân sự</t>
  </si>
  <si>
    <t xml:space="preserve"> - Trợ cấp tiền ăn theo NQ 19/2020/NQ-HĐND</t>
  </si>
  <si>
    <t>* Phó Chỉ huy trưởng Quân sự</t>
  </si>
  <si>
    <t>Lĩnh vực QLNN</t>
  </si>
  <si>
    <t>Hỗ trợ thực hiện các lễ hội</t>
  </si>
  <si>
    <t>Hỗ trợ đại hội Đảng bộ xã</t>
  </si>
  <si>
    <t>Hỗ trợ Chi bộ cơ sở trực thuộc Đảng bộ xã, thị trấn (Quyết định số 99-QĐ/TW)</t>
  </si>
  <si>
    <t>Kinh phí hỗ trợ Đại hội TDTT cấp xã</t>
  </si>
  <si>
    <t>Hoạt động</t>
  </si>
  <si>
    <t>Đại biểu HĐND</t>
  </si>
  <si>
    <t>2.7</t>
  </si>
  <si>
    <t>An ninh</t>
  </si>
  <si>
    <t>Quốc phòng</t>
  </si>
  <si>
    <t xml:space="preserve">Chi thường xuyên khác </t>
  </si>
  <si>
    <t>Sự nghiệp Giáo dục và đào tạo</t>
  </si>
  <si>
    <t xml:space="preserve"> + </t>
  </si>
  <si>
    <t>Kinh phí thực hiện chính sách an sinh (NĐ 20/2021/NĐ-CP)</t>
  </si>
  <si>
    <t xml:space="preserve"> - Kinh phí được trích từ các khoản thu hồi phát hiện qua công tác thanh tra (Thông tư số 327/2016/TT-BTC ngày 26/12/2016 - Dự ước năm hiện hành là 81,68 triệu đồng). Dự toán năm 2025 là (81,68 trđ x 30% = 24,5trđ). Cấp bù kinh phí trích năm 2024 (24,5trđ- 3,3 trđ đã cấp năm 2024=21,2trđ)</t>
  </si>
  <si>
    <t xml:space="preserve"> - Kinh phí Chi bộ</t>
  </si>
  <si>
    <t xml:space="preserve">   + Hỗ trợ kinh phí đại Chi bộ</t>
  </si>
  <si>
    <t xml:space="preserve"> - Kinh phí đại hội Chi bộ</t>
  </si>
  <si>
    <t>Cải tạo, sửa chữa Trung tâm Chính trị huyện Na Rì</t>
  </si>
  <si>
    <r>
      <t>Đối ứng thực hiện dự án "Ứng dựng khoa học và công nghệ xây dựng mô hình thâm canh và nhân giống hồng không hạt Na Rì LT-1 tại huyện Na Rì tỉnh Bắc Kạn"</t>
    </r>
    <r>
      <rPr>
        <sz val="12"/>
        <color theme="1"/>
        <rFont val="Times New Roman"/>
        <family val="1"/>
      </rPr>
      <t xml:space="preserve"> (Quyết định số 441/QĐ-UBND ngày 31/3/2021; Quyết định số 1023/QĐ-UBND ngày 12/6/2023 của UBND tỉnh Bắc Kạn)</t>
    </r>
  </si>
  <si>
    <r>
      <t xml:space="preserve">Đối ứng thực hiện dự án "Ứng dựng khoa học và công nghệ xây dựng mô hình thâm canh và nhân giống hồng không hạt Na Rì LT-1 tại huyện Na Rì tỉnh Bắc Kạn" </t>
    </r>
    <r>
      <rPr>
        <sz val="12"/>
        <color theme="1"/>
        <rFont val="Times New Roman"/>
        <family val="1"/>
      </rPr>
      <t>(Quyết định số 441/QĐ-UBND ngày 31/3/2021; Quyết định số 1023/QĐ-UBND ngày 12/6/2023 của UBND tỉnh Bắc Kạn) - Hợp tác xã Kim Lư</t>
    </r>
  </si>
  <si>
    <t>Thị Trấn Yến Lạc</t>
  </si>
  <si>
    <t>Sự nghiệp văn hóa thông tin, TDTT</t>
  </si>
  <si>
    <t xml:space="preserve">    DỰ TOÁN CHI NGÂN SÁCH XÃ NĂM 2025</t>
  </si>
  <si>
    <t xml:space="preserve">Kinh phí thăm hỏi người có uy tín trong đồng bào dân tộc thiểu số </t>
  </si>
  <si>
    <t>Sự nghiệp văn hóa thông tin, thể dục thể thao</t>
  </si>
  <si>
    <t xml:space="preserve"> UBND xã Dương Sơn</t>
  </si>
  <si>
    <t xml:space="preserve"> UBND xã Văn Minh</t>
  </si>
  <si>
    <t xml:space="preserve"> UBND xã Cường Lợi</t>
  </si>
  <si>
    <t xml:space="preserve"> UBND xã Xuân Dương</t>
  </si>
  <si>
    <t xml:space="preserve"> UBND xã Văn Lang</t>
  </si>
  <si>
    <t xml:space="preserve"> UBND xã Kim Lư</t>
  </si>
  <si>
    <t xml:space="preserve"> UBND xã Quang Phong</t>
  </si>
  <si>
    <t xml:space="preserve"> UBND xã Sơn Thành</t>
  </si>
  <si>
    <t xml:space="preserve"> UBND xã Văn Vũ </t>
  </si>
  <si>
    <t xml:space="preserve"> UBND xã Lương Thượng</t>
  </si>
  <si>
    <t xml:space="preserve"> UBND xã Cư Lễ</t>
  </si>
  <si>
    <t>2.4.1</t>
  </si>
  <si>
    <t xml:space="preserve">Chính sách theo quy định tại Nghị quyết số 01/2021/NQ-HĐND ngày 05/3/2021 của HĐND tỉnh </t>
  </si>
  <si>
    <t>Kinh phí chi phục vụ hoạt động công tác Bảo vệ bí mật nhà nước</t>
  </si>
  <si>
    <t>Kinh phí hỗ trợ tổ chức kỷ niệm 80 năm ngày truyền thống CAND</t>
  </si>
  <si>
    <t xml:space="preserve">Kinh phí thực hiện Chỉ thị 06/2008/CT-TTg ngày 01/02/2008 của Thủ tướng Chính phủ </t>
  </si>
  <si>
    <t>Kinh phí phục vụ đại hội đảng</t>
  </si>
  <si>
    <t>Kinh phí tổ chức hội thi nghiệp vụ chữa cháy và cứu nạn, cứu hộ 'Tổ liên gia an toàn PCCC" +  luyện tập và thi tại tỉnh</t>
  </si>
  <si>
    <t>Thực hiện nhiệm vụ chuyên môn (Hỗ trợ hoạt động về an ninh trật tự, đấu tranh phòng chống tội phạm, phong trào bảo vệ ANTQ, quản lý cư trú và các hoạt động khác trong năm)</t>
  </si>
  <si>
    <t xml:space="preserve"> Kinh phí tập huấn cho dân quân tự vệ</t>
  </si>
  <si>
    <t xml:space="preserve"> Kinh phí phục vụ Tết Nguyên đán</t>
  </si>
  <si>
    <t xml:space="preserve"> Kinh phí tuyển chọn và gọi công dân nhập ngũ</t>
  </si>
  <si>
    <t xml:space="preserve"> Kinh phí ra quân huấn luyện</t>
  </si>
  <si>
    <t xml:space="preserve"> Kinh phí huấn luyện trung đội cơ động kiểm tra 6 tháng đầu năm</t>
  </si>
  <si>
    <t xml:space="preserve"> Kinh phí huấn luyện chỉ huy cơ quan 1 bên 2 cấp trên bản đồ</t>
  </si>
  <si>
    <t xml:space="preserve"> Kinh phí tập huấn cứu nạn</t>
  </si>
  <si>
    <t xml:space="preserve"> Kinh phí huấn luyện tạp trung đoàn 750</t>
  </si>
  <si>
    <t>Kinh phí tổ chức huấn luyện, diễn tập nâng cao khả năng sẵn sàng chiến đấu, xử lý tình huống của các lực lượng tham gia công tác phòng không nhân dân</t>
  </si>
  <si>
    <t xml:space="preserve">Kinh phí thi cán bộ giảng dạy chính trị cấp tỉnh </t>
  </si>
  <si>
    <t xml:space="preserve"> Kinh phí phục vụ  ngày 02/9</t>
  </si>
  <si>
    <t xml:space="preserve"> Kinh phí phục vụ ngày 30/4- 01/5</t>
  </si>
  <si>
    <t xml:space="preserve">Diễn tập xã </t>
  </si>
  <si>
    <t>Kinh phí 22/12</t>
  </si>
  <si>
    <t>Kinh phí mở lớp KTQP và An đối tượng 4</t>
  </si>
  <si>
    <t>Kinh phí hội thao</t>
  </si>
  <si>
    <t>Kinh phí điện nước,….</t>
  </si>
  <si>
    <t>Kinh phí trông coi nhà bia</t>
  </si>
  <si>
    <t>Kinh phí huấn luyện DQTV</t>
  </si>
  <si>
    <t xml:space="preserve">Xã </t>
  </si>
  <si>
    <t>Huyện</t>
  </si>
  <si>
    <r>
      <t xml:space="preserve">    + Kinh phí hoạt động của HĐND huyện, 02 Ban và các tổ đại biểu HĐND huyện </t>
    </r>
    <r>
      <rPr>
        <i/>
        <sz val="12"/>
        <color theme="1"/>
        <rFont val="Times New Roman"/>
        <family val="1"/>
      </rPr>
      <t xml:space="preserve">(bao gồm kinh phí giám sát, khảo sát, đặt báo, nghiên cứu thực tế…) </t>
    </r>
  </si>
  <si>
    <t xml:space="preserve"> - Kinh phí tuyển dụng viên chức</t>
  </si>
  <si>
    <t xml:space="preserve"> - Kinh phí đại hội thi đua yêu nước</t>
  </si>
  <si>
    <r>
      <t xml:space="preserve"> - Chi thực hiện Ban chỉ đạo 35</t>
    </r>
    <r>
      <rPr>
        <sz val="12"/>
        <color theme="1"/>
        <rFont val="Times New Roman"/>
        <family val="1"/>
      </rPr>
      <t xml:space="preserve"> (phụ cấp)</t>
    </r>
  </si>
  <si>
    <r>
      <t xml:space="preserve">Tòa án huyện: </t>
    </r>
    <r>
      <rPr>
        <sz val="12"/>
        <color theme="1"/>
        <rFont val="Times New Roman"/>
        <family val="1"/>
      </rPr>
      <t>Hỗ trợ tổ chức phiên tòa trực tuyến, công tác hội thẩm, xét xử lưu động</t>
    </r>
  </si>
  <si>
    <r>
      <t xml:space="preserve">Kho bạc nhà nước huyện: </t>
    </r>
    <r>
      <rPr>
        <sz val="12"/>
        <color theme="1"/>
        <rFont val="Times New Roman"/>
        <family val="1"/>
      </rPr>
      <t>Hỗ trợ công tác quyết toán</t>
    </r>
  </si>
  <si>
    <r>
      <t xml:space="preserve">Chi Cục thị hành án dân sự huyện: </t>
    </r>
    <r>
      <rPr>
        <sz val="12"/>
        <color theme="1"/>
        <rFont val="Times New Roman"/>
        <family val="1"/>
      </rPr>
      <t>Kinh phí hoạt động của BCĐ, hỗ trợ công tác nghiệp vụ THA DS</t>
    </r>
  </si>
  <si>
    <r>
      <rPr>
        <b/>
        <sz val="12"/>
        <color theme="1"/>
        <rFont val="Times New Roman"/>
        <family val="1"/>
      </rPr>
      <t>Ban Quản lý Dự án Đầu tư xây dựng huyện</t>
    </r>
    <r>
      <rPr>
        <sz val="12"/>
        <color theme="1"/>
        <rFont val="Times New Roman"/>
        <family val="1"/>
      </rPr>
      <t xml:space="preserve"> - Kinh phí đại hội Chi bộ</t>
    </r>
  </si>
  <si>
    <r>
      <rPr>
        <b/>
        <sz val="12"/>
        <color theme="1"/>
        <rFont val="Times New Roman"/>
        <family val="1"/>
      </rPr>
      <t>Ban Quản lý dự trữ thiên nhiên Kim Hỷ huyện</t>
    </r>
    <r>
      <rPr>
        <sz val="12"/>
        <color theme="1"/>
        <rFont val="Times New Roman"/>
        <family val="1"/>
      </rPr>
      <t xml:space="preserve"> - Kinh phí đại hội Chi bộ</t>
    </r>
  </si>
  <si>
    <r>
      <rPr>
        <b/>
        <sz val="12"/>
        <color theme="1"/>
        <rFont val="Times New Roman"/>
        <family val="1"/>
      </rPr>
      <t>Hạt Kiểm lâm huyện</t>
    </r>
    <r>
      <rPr>
        <sz val="12"/>
        <color theme="1"/>
        <rFont val="Times New Roman"/>
        <family val="1"/>
      </rPr>
      <t xml:space="preserve"> - Kinh phí đại hội Chi bộ</t>
    </r>
  </si>
  <si>
    <t xml:space="preserve"> - Hỗ trợ nhiệm vụ ngành thanh tra (trưng tập cộng tác viên thanh tra)</t>
  </si>
  <si>
    <t xml:space="preserve">Sự nghiệp môi trường - Phòng Tài nguyên &amp; Môi trường </t>
  </si>
  <si>
    <r>
      <t xml:space="preserve"> - Kinh phí sửa chữa thường xuyên xe ô tô; Sửa chữa thường xuyên TSCĐ </t>
    </r>
    <r>
      <rPr>
        <sz val="12"/>
        <color theme="1"/>
        <rFont val="Times New Roman"/>
        <family val="1"/>
      </rPr>
      <t>(máy điều hòa, máy phô tô, máy in, máy tính, đường điện, cấp thoát nước, nhà cửa ...)</t>
    </r>
  </si>
  <si>
    <t xml:space="preserve"> - Kinh phí cuộc vận động ‘‘người Việt Nam ưu tiên dùng hàng Việt Nam’’(theo Thông tư số 91/2012/TT-BTC ngày 30/5/2012 của Bộ tài chính quy định việc quản lý và sử dụng kinh phí phục vụ hoạt động của các ban Chỉ đạo cuộc vận động ‘‘ Người Việt Nam ưu tiên dùng hàng Việt Nam’’.</t>
  </si>
  <si>
    <t>3.14</t>
  </si>
  <si>
    <t xml:space="preserve">Nhà khách </t>
  </si>
  <si>
    <t>UBND xã, thị trấn</t>
  </si>
  <si>
    <t xml:space="preserve"> Vốn sự nghiệp</t>
  </si>
  <si>
    <t>Tiết kiệm 10% chi thường xuyên tăng thêm dự toán 2025 so với năm 2024</t>
  </si>
  <si>
    <t>CHI TIẾT DỰ TOÁN THU NGÂN SÁCH NHÀ NƯỚC XÃ, THỊ TRẤN NĂM 2025</t>
  </si>
  <si>
    <t>THUYẾT MINH DỰ TOÁN CHI NGÂN SÁCH GIAO CHI TIẾT THEO NHIỆM VỤ CỦA CÁC CƠ QUAN, ĐƠN VỊ CẤP HUYỆN NĂM 2025</t>
  </si>
  <si>
    <t>Kinh phí Hội xuân lồng tồng bản Pjo</t>
  </si>
  <si>
    <t>Kinh phí đại hội đảng (công tác tuyền truyền đâị hội đảng bộ huyện)</t>
  </si>
  <si>
    <t>LĨNH VỰC QUẢN LÝ NHÀ NƯỚC</t>
  </si>
  <si>
    <t>SỰ NGHIỆP KINH TẾ</t>
  </si>
  <si>
    <t>Sửa chữa thường xuyên xe ô tô; Sửa chữa thường xuyên TSCĐ (máy điều hòa, máy phô tô, máy in, máy tính, đường điện, cấp thoát nước, nhà cửa ...)</t>
  </si>
  <si>
    <t xml:space="preserve">Kinh phí học tập kinh nghiệm </t>
  </si>
  <si>
    <t>Kinh phí đại hội thi đua yêu nước</t>
  </si>
  <si>
    <t>Kinh phí thẩm định giá mua sắm tài sản, hàng hóa, dịch vụ và chi phí cho Hội đồng định giá tài sản cấp huyện</t>
  </si>
  <si>
    <t>Kinh phí hoạt động, bảo dưỡng mạng TABMIS</t>
  </si>
  <si>
    <t>Hỗ trợ hoạt động Ban Chỉ đạo KTTT, lĩnh vực đăng ký kinh doanh; Công tác xây dựng dự toán, quyết toán ngân sách, tổng hợp các chính sách an sinh xã hội, khóa sổ cuối năm</t>
  </si>
  <si>
    <t>Kinh phí công tác gia đình (Tổ chức hướng dẫn hoạt động của Mô hình phòng, chống bạo lực gia đình; ra mắt Mô hình PCBLGĐ và Tập huấn nâng cao nhận thức về phòng, chống bạo lực gia đình); hoạt động phong trào toàn dân đoàn kết xây dựng đời sống văn hóa khu dân cư; đội kiểm tra liên ngành</t>
  </si>
  <si>
    <t>Kinh phí Lễ hội văn hóa truyền thống "Chợ tình Xuân Dương"</t>
  </si>
  <si>
    <t>Hỗ trợ kinh phí  kích cầu hàng tiêu dùng, quảng bá giới thiệu sản phẩm, đánh giá đề tài sáng kiến kinh nghiệm.</t>
  </si>
  <si>
    <t>Hỗ trợ tiền sử dụng sản phẩm, dịch vụ công ích thủy lợi năm 2025 (đợt 1)</t>
  </si>
  <si>
    <t>Kinh phí Lễ hội văn hóa truyền thống "Chợ tình Xuân Dương"; Lễ hội "Lồng tồng Bản Pjoo" xã Sơn Thành; “Hội Xuân Khuổi Nộc” xã Lương Thượng; Lễ hội “Cầu mùa của dân tộc Dao” thôn Nà Thác, xã Đổng Xá</t>
  </si>
  <si>
    <t>Hỗ trợ kinh phí Đại hội Đảng bộ xã, thị trấn, nhiệm kỳ 2025-2030</t>
  </si>
  <si>
    <t xml:space="preserve">Hỗ trợ kinh phí Đại hội Chi bộ cơ sở trực thuộc Đảng bộ xã, thị trấn </t>
  </si>
  <si>
    <t>Kinh phí hỗ trợ Đại hội thể dục thể thao cấp xã (đại hội điểm)</t>
  </si>
  <si>
    <t>Kinh phí tổ chức ''Tết trồng cây đời đời nhớ ơn Bác Hồ'' Xuân Ất Tỵ 2025</t>
  </si>
  <si>
    <t>BIỂU CHI TIẾT PHÂN BỔ NGUỒN VỐN SỰ NGHIỆP KINH TẾ KHỐI XÃ, THỊ TRẤN NĂM 2025</t>
  </si>
  <si>
    <t>3.15</t>
  </si>
  <si>
    <t>3.16</t>
  </si>
  <si>
    <t>3.17</t>
  </si>
  <si>
    <t>8.1</t>
  </si>
  <si>
    <t>8.2</t>
  </si>
  <si>
    <t>8.3</t>
  </si>
  <si>
    <t>8.4</t>
  </si>
  <si>
    <t>8.5</t>
  </si>
  <si>
    <t>8.6</t>
  </si>
  <si>
    <t>Tiết kiệm 10% chi thường xuyên tăng thêm dự toán 2025 so với năm 2024 (nguồn cải cách tiền lương)</t>
  </si>
  <si>
    <t xml:space="preserve"> - Hỗ trợ thực hiện Đề án, chương trình hoạt động các tác hội</t>
  </si>
  <si>
    <t xml:space="preserve">    + Kinh phí đại hội đảng (công tác tuyền truyền đại hội đảng bộ huyện)</t>
  </si>
  <si>
    <t xml:space="preserve">   + Quỹ tiền thưởng (Nghị định số 73/2024/NĐ-CP ngày 30/6/2024 của Chính phủ)</t>
  </si>
  <si>
    <t xml:space="preserve">   + Các khoản hoạt động</t>
  </si>
  <si>
    <t xml:space="preserve">   + Quỹ tiền lương và các khoản đóng góp biên chế chưa tuyển</t>
  </si>
  <si>
    <t xml:space="preserve">   + Quỹ tiền lương và các khoản đóng góp</t>
  </si>
  <si>
    <t xml:space="preserve"> DỰ TOÁN THU NGÂN SÁCH NĂM 2025</t>
  </si>
  <si>
    <t xml:space="preserve">KẾ HOẠCH THU DỊCH VỤ CỦA ĐƠN VỊ SỰ NGHIỆP CÔNG NĂM 2025 </t>
  </si>
  <si>
    <t>(KHÔNG BAO GỒM NGUỒN NSNN)</t>
  </si>
  <si>
    <t>ĐVT: nghìn đồng</t>
  </si>
  <si>
    <t>Tên đơn vị</t>
  </si>
  <si>
    <t>Trong đó</t>
  </si>
  <si>
    <t>Số 
phải nộp
 ngân sách</t>
  </si>
  <si>
    <t>Số trích để lại đơn vị theo chế độ</t>
  </si>
  <si>
    <t>Tiết kiệm làm lương trên số trích để lại đơn vị</t>
  </si>
  <si>
    <t>Giao dự toán chi từ nguồn thu để lại đơn vị</t>
  </si>
  <si>
    <t>Thu học phí</t>
  </si>
  <si>
    <t>Thu sự nghiệp</t>
  </si>
  <si>
    <t>Sự nghiệp giáo dục</t>
  </si>
  <si>
    <t>Đã nhập 02/12</t>
  </si>
  <si>
    <t>Nhập ngày 2/12</t>
  </si>
  <si>
    <t>Đã nhập 02/12/2024</t>
  </si>
  <si>
    <t>Đã nhập</t>
  </si>
  <si>
    <t xml:space="preserve">Bậc THCS </t>
  </si>
  <si>
    <t>Trường TH&amp;THCS Côn Minh</t>
  </si>
  <si>
    <t>Trường TH&amp;THCS Cư Lễ</t>
  </si>
  <si>
    <t>Trường TH&amp;THCS Lam Sơn</t>
  </si>
  <si>
    <t>Trường TH&amp;THCS Kim Lư</t>
  </si>
  <si>
    <t>Trường TH&amp;THCS Cường Lợi</t>
  </si>
  <si>
    <t>Trường TH&amp;THCS Lương Thượng</t>
  </si>
  <si>
    <t>Phí kiểm soát giết mổ động vật</t>
  </si>
  <si>
    <t>Phí thẩm định quản lý chất lượng an toàn thực phẩm trong lĩnh vực nông nghiệp</t>
  </si>
  <si>
    <t>Phí bảo vệ môi trường đối với nước thải, khí thải</t>
  </si>
  <si>
    <t>Phí thẩm định dự án đầu tư</t>
  </si>
  <si>
    <t xml:space="preserve">Thu học phí </t>
  </si>
  <si>
    <t>Chi Giáo dục và đào tạo</t>
  </si>
  <si>
    <t>Thu phí Động nàng tiên</t>
  </si>
  <si>
    <t>Kinh phí chi trả tiền điện hệ thống chiếu sáng đô thị thị trấn Yến Lạc</t>
  </si>
  <si>
    <t>8.5.1</t>
  </si>
  <si>
    <t>8.5.2</t>
  </si>
  <si>
    <t>8.5.3</t>
  </si>
  <si>
    <t>8.7</t>
  </si>
  <si>
    <t>8.8</t>
  </si>
  <si>
    <t xml:space="preserve">Trong đó: 10% tăng thu tiền sử dụng đất </t>
  </si>
  <si>
    <t>Trường Mầm non Liêm Thủy</t>
  </si>
  <si>
    <t xml:space="preserve">Trường Mầm non Đổng Xá </t>
  </si>
  <si>
    <t xml:space="preserve">Trường Mầm non Xuân Dương </t>
  </si>
  <si>
    <t>Trường Mầm non Dương Sơn</t>
  </si>
  <si>
    <t>Trường Mầm non Côn Minh</t>
  </si>
  <si>
    <t>Trường Mầm non Quang Phong</t>
  </si>
  <si>
    <t>Trường Mầm non Trần Phú</t>
  </si>
  <si>
    <t>Trường Mầm non Cư Lễ</t>
  </si>
  <si>
    <t>Trường Mầm non Yến Lạc</t>
  </si>
  <si>
    <t>Trường Mầm non Kim Lư</t>
  </si>
  <si>
    <t>Trường Mầm non Cường Lợi</t>
  </si>
  <si>
    <t xml:space="preserve">Trường Mầm non Văn Vũ </t>
  </si>
  <si>
    <t>Trường Mầm non Văn Minh</t>
  </si>
  <si>
    <t>Trường Mầm non Sơn Thành</t>
  </si>
  <si>
    <t>Trường Mầm non Văn Lang</t>
  </si>
  <si>
    <t>Trường Mầm non Lương Thượng</t>
  </si>
  <si>
    <t>Trường Mầm non Kim Hỷ</t>
  </si>
  <si>
    <t>Trường THCS Trần Phú</t>
  </si>
  <si>
    <t>Trường THCS Yến Lạc</t>
  </si>
  <si>
    <t>Bậc mầm non</t>
  </si>
  <si>
    <t xml:space="preserve">Phòng Nông nghiệp &amp;PTNT </t>
  </si>
  <si>
    <t xml:space="preserve">Phòng Tài nguyên - Môi trường </t>
  </si>
  <si>
    <t xml:space="preserve">Phòng Kinh tế và Hạ tầng </t>
  </si>
  <si>
    <t xml:space="preserve">Trung tâm Giáo dục nghề nghiệp-GDTX </t>
  </si>
  <si>
    <t>Trung tâm Văn hóa Thể thao &amp; TT</t>
  </si>
  <si>
    <t xml:space="preserve">  - Kinh phí Ban Chỉ huy phòng chống thiên tai, TKCN</t>
  </si>
  <si>
    <t>Biểu 08DT</t>
  </si>
  <si>
    <r>
      <t>Trung tâm Y tế huyện -</t>
    </r>
    <r>
      <rPr>
        <sz val="12"/>
        <color theme="1"/>
        <rFont val="Times New Roman"/>
        <family val="1"/>
      </rPr>
      <t xml:space="preserve"> Kinh phí Đại hội đảng </t>
    </r>
  </si>
  <si>
    <t>Cải tạo, nâng cấp Trung tâm Chính trị huyện Na Rì</t>
  </si>
  <si>
    <t>Cải tạo, nâng cấp xây dựng mới một số hạng mục Bãi rác huyện Na Rì</t>
  </si>
  <si>
    <t>Kinh phí Cải tạo, nâng cấp công trình</t>
  </si>
  <si>
    <t>Cải tạo, nâng cấp Sân vận động thị trấn Yến Lạc huyện Na Rì</t>
  </si>
  <si>
    <t xml:space="preserve"> Cải tạo, nâng cấp đường bê tông Nà Lẹng - Nà Pằng, thị trấn Yến Lạc, huyện Na Rì, tỉnh Bắc Kạn</t>
  </si>
  <si>
    <t>8.5.4</t>
  </si>
  <si>
    <t>8.5.5</t>
  </si>
  <si>
    <t>Cải tạo, nâng cấp trụ sở làm việc Phòng Giáo dục &amp; Đào tạo huyện</t>
  </si>
  <si>
    <t xml:space="preserve">Cải tạo, nâng cấp trụ sở làm việc </t>
  </si>
  <si>
    <t>1.5.7</t>
  </si>
  <si>
    <t>1.5.8</t>
  </si>
  <si>
    <t>Trung tâm Chính trị huyện</t>
  </si>
  <si>
    <t>Phòng Giáo dục và Đào tạo huyện</t>
  </si>
  <si>
    <t>Cải tạo, nâng cấp trụ sở làm việc Phòng Giáo dục và Đào tạo huyện Na Rì</t>
  </si>
  <si>
    <t>Cải tạo, nâng cấp nhà làm việc nhà  Ban Quản lý DA ĐTXD  huyện Na Rì</t>
  </si>
  <si>
    <t>Cải tạo, nâng cấp nhà làm việc Trung tâm Chính trị huyện Na Rì</t>
  </si>
  <si>
    <t xml:space="preserve">(Kèm theo Nghị quyết  số      /NQ-HĐND ngày       /12/2024 của Hội đồng nhân dân huyện Na Rì) </t>
  </si>
  <si>
    <t xml:space="preserve">  TỔNG HỢP DỰ TOÁN NĂM 2025</t>
  </si>
  <si>
    <t>TỔNG HỢP CHI NGÂN SÁCH NHÀ NƯỚC NĂM 2025</t>
  </si>
  <si>
    <t>Đường Pác Cáp - Khuổi Kháp (2 km)</t>
  </si>
  <si>
    <t>Đường Quốc lộ 279 - Phiêng Hẩu (5 km)</t>
  </si>
  <si>
    <t>Đường Nà Chia- Khuổi Tàn (7 km)</t>
  </si>
  <si>
    <t>Đường Nà Hẻo - Nặm Slặc (5 km)</t>
  </si>
  <si>
    <t>Đường Pò Duốc- Khuổi Mụ (2 km)</t>
  </si>
  <si>
    <t>Đường Nà Ca - Thôm Bả (2 km)</t>
  </si>
  <si>
    <t>Đường Nà Ca - Vũ Loan cũ (9,7 km)</t>
  </si>
  <si>
    <t>Đường UBND xã - Bản Cải (3 km)</t>
  </si>
  <si>
    <t>Đường Ngã ba Nà Vờ - Nà Bó (2 km)</t>
  </si>
  <si>
    <t>Đường Từ đường nhựa - Cạm Lải Lũng Deng (3 km)</t>
  </si>
  <si>
    <t>Đường Cạm Quang- Lùng Vai (1,3 km)</t>
  </si>
  <si>
    <t>Đường QL3B - thôn Nà Mới (4,5 km)</t>
  </si>
  <si>
    <t xml:space="preserve"> Đường liên thôn Pản Xả- Vằng Khít (2 km)</t>
  </si>
  <si>
    <t>Đường liên thôn Áng Hin (7 km)</t>
  </si>
  <si>
    <t>Đường Nà Dài- Khuổi Cuồng (2 km)</t>
  </si>
  <si>
    <t>Đường UBND xã - Pác Thôm (5 km)</t>
  </si>
  <si>
    <t>Đường UBND xã - Nà Rặng- Nà Chia (5 km)</t>
  </si>
  <si>
    <t>Đường QL.279 - Khuổi Po (6 km)</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</si>
</sst>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6" formatCode="&quot;$&quot;#,##0_);[Red]\(&quot;$&quot;#,##0\)"/>
    <numFmt numFmtId="41" formatCode="_(* #,##0_);_(* \(#,##0\);_(* &quot;-&quot;_);_(@_)"/>
    <numFmt numFmtId="43" formatCode="_(* #,##0.00_);_(* \(#,##0.00\);_(* &quot;-&quot;??_);_(@_)"/>
    <numFmt numFmtId="164" formatCode="_-* #,##0\ _₫_-;\-* #,##0\ _₫_-;_-* &quot;-&quot;\ _₫_-;_-@_-"/>
    <numFmt numFmtId="165" formatCode="_-* #,##0.00\ _₫_-;\-* #,##0.00\ _₫_-;_-* &quot;-&quot;??\ _₫_-;_-@_-"/>
    <numFmt numFmtId="166" formatCode="_(* #,##0.0_);_(* \(#,##0.0\);_(* &quot;-&quot;??_);_(@_)"/>
    <numFmt numFmtId="167" formatCode="_(* #,##0_);_(* \(#,##0\);_(* &quot;-&quot;??_);_(@_)"/>
    <numFmt numFmtId="168" formatCode="_(* #,##0.000_);_(* \(#,##0.000\);_(* &quot;-&quot;??_);_(@_)"/>
    <numFmt numFmtId="169" formatCode="_-&quot;$&quot;* #,##0_-;\-&quot;$&quot;* #,##0_-;_-&quot;$&quot;* &quot;-&quot;_-;_-@_-"/>
    <numFmt numFmtId="170" formatCode="_-* #,##0_-;\-* #,##0_-;_-* &quot;-&quot;_-;_-@_-"/>
    <numFmt numFmtId="171" formatCode="_-&quot;$&quot;* #,##0.00_-;\-&quot;$&quot;* #,##0.00_-;_-&quot;$&quot;* &quot;-&quot;??_-;_-@_-"/>
    <numFmt numFmtId="172" formatCode="_-* #,##0.00_-;\-* #,##0.00_-;_-* &quot;-&quot;??_-;_-@_-"/>
    <numFmt numFmtId="173" formatCode="&quot;\&quot;#,##0;[Red]&quot;\&quot;\-#,##0"/>
    <numFmt numFmtId="174" formatCode="&quot;\&quot;#,##0.00;[Red]&quot;\&quot;\-#,##0.00"/>
    <numFmt numFmtId="175" formatCode="\$#,##0\ ;\(\$#,##0\)"/>
    <numFmt numFmtId="176" formatCode="&quot;\&quot;#,##0;[Red]&quot;\&quot;&quot;\&quot;\-#,##0"/>
    <numFmt numFmtId="177" formatCode="&quot;\&quot;#,##0.00;[Red]&quot;\&quot;&quot;\&quot;&quot;\&quot;&quot;\&quot;&quot;\&quot;&quot;\&quot;\-#,##0.00"/>
    <numFmt numFmtId="178" formatCode="&quot;VND&quot;#,##0_);[Red]\(&quot;VND&quot;#,##0\)"/>
    <numFmt numFmtId="179" formatCode="#,###;[Red]\-#,###"/>
    <numFmt numFmtId="180" formatCode="_(* #,##0.00_);_(* \(#,##0.00\);_(* &quot;-&quot;_);_(@_)"/>
    <numFmt numFmtId="181" formatCode="_(* #,##0.0_);_(* \(#,##0.0\);_(* &quot;-&quot;?_);_(@_)"/>
    <numFmt numFmtId="182" formatCode="#,##0.000"/>
    <numFmt numFmtId="183" formatCode="_-* #,##0\ _₫_-;\-* #,##0\ _₫_-;_-* &quot;-&quot;??\ _₫_-;_-@_-"/>
    <numFmt numFmtId="184" formatCode="_-* #,##0.0\ _₫_-;\-* #,##0.0\ _₫_-;_-* &quot;-&quot;??\ _₫_-;_-@_-"/>
    <numFmt numFmtId="185" formatCode="_(* #,##0.000_);_(* \(#,##0.000\);_(* &quot;-&quot;?_);_(@_)"/>
    <numFmt numFmtId="186" formatCode="0.0000"/>
    <numFmt numFmtId="187" formatCode="_(* #,##0.0000_);_(* \(#,##0.0000\);_(* &quot;-&quot;??_);_(@_)"/>
    <numFmt numFmtId="188" formatCode="_(* #,##0.0000_);_(* \(#,##0.0000\);_(* &quot;-&quot;????_);_(@_)"/>
    <numFmt numFmtId="189" formatCode="_(* #,##0_);_(* \(#,##0\);_(* &quot;-&quot;????_);_(@_)"/>
    <numFmt numFmtId="190" formatCode="_-* #,##0\ _þ_-;\-* #,##0\ _þ_-;_-* &quot;-&quot;??\ _þ_-;_-@_-"/>
    <numFmt numFmtId="191" formatCode="_-* #,##0.0\ _þ_-;\-* #,##0.0\ _þ_-;_-* &quot;-&quot;??\ _þ_-;_-@_-"/>
    <numFmt numFmtId="192" formatCode="#,##0.0"/>
    <numFmt numFmtId="193" formatCode="_(* #,##0.000000000_);_(* \(#,##0.000000000\);_(* &quot;-&quot;_);_(@_)"/>
    <numFmt numFmtId="194" formatCode="###\ ###\ ###"/>
    <numFmt numFmtId="195" formatCode="0.000"/>
  </numFmts>
  <fonts count="135">
    <font>
      <sz val="12"/>
      <name val=".VnTime"/>
    </font>
    <font>
      <sz val="12"/>
      <name val=".VnTime"/>
      <family val="2"/>
    </font>
    <font>
      <sz val="12"/>
      <name val=".VnTime"/>
      <family val="2"/>
    </font>
    <font>
      <sz val="10"/>
      <name val="Arial"/>
      <family val="2"/>
    </font>
    <font>
      <b/>
      <sz val="12"/>
      <name val="Arial"/>
      <family val="2"/>
    </font>
    <font>
      <sz val="12"/>
      <name val="Arial"/>
      <family val="2"/>
    </font>
    <font>
      <sz val="10"/>
      <name val="VN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sz val="8"/>
      <name val=".VnTime"/>
      <family val="2"/>
    </font>
    <font>
      <sz val="11"/>
      <name val=".VnArial Narrow"/>
      <family val="2"/>
    </font>
    <font>
      <sz val="12"/>
      <name val=".VnArial Narrow"/>
      <family val="2"/>
    </font>
    <font>
      <b/>
      <sz val="12"/>
      <name val="Times New Roman"/>
      <family val="1"/>
    </font>
    <font>
      <sz val="12"/>
      <name val=".VnArial Narrow"/>
      <family val="2"/>
    </font>
    <font>
      <sz val="11"/>
      <name val=".VnArial Narrow"/>
      <family val="2"/>
    </font>
    <font>
      <b/>
      <sz val="11"/>
      <name val="Times New Roman"/>
      <family val="1"/>
    </font>
    <font>
      <sz val="10"/>
      <name val="Arial"/>
      <family val="2"/>
    </font>
    <font>
      <i/>
      <sz val="12"/>
      <name val="Times New Roman"/>
      <family val="1"/>
    </font>
    <font>
      <b/>
      <sz val="10"/>
      <name val="Times New Roman"/>
      <family val="1"/>
    </font>
    <font>
      <i/>
      <sz val="10"/>
      <name val="Times New Roman"/>
      <family val="1"/>
    </font>
    <font>
      <sz val="10"/>
      <name val="Times New Roman"/>
      <family val="1"/>
    </font>
    <font>
      <sz val="9"/>
      <color indexed="81"/>
      <name val="Tahoma"/>
      <family val="2"/>
    </font>
    <font>
      <b/>
      <sz val="9"/>
      <color indexed="81"/>
      <name val="Tahoma"/>
      <family val="2"/>
    </font>
    <font>
      <sz val="8"/>
      <name val=".VnTime"/>
      <family val="2"/>
    </font>
    <font>
      <b/>
      <sz val="14"/>
      <name val="Times New Roman"/>
      <family val="1"/>
    </font>
    <font>
      <sz val="11"/>
      <name val="Times New Roman"/>
      <family val="1"/>
    </font>
    <font>
      <sz val="11"/>
      <color theme="1"/>
      <name val="Calibri"/>
      <family val="2"/>
      <scheme val="minor"/>
    </font>
    <font>
      <sz val="11"/>
      <color theme="1"/>
      <name val="Times New Roman"/>
      <family val="1"/>
    </font>
    <font>
      <sz val="11"/>
      <color theme="1"/>
      <name val="Calibri"/>
      <family val="2"/>
      <charset val="163"/>
      <scheme val="minor"/>
    </font>
    <font>
      <b/>
      <sz val="11"/>
      <color theme="1"/>
      <name val="Times New Roman"/>
      <family val="1"/>
    </font>
    <font>
      <sz val="11"/>
      <name val=".VnTime"/>
      <family val="2"/>
    </font>
    <font>
      <b/>
      <sz val="12"/>
      <name val="Times New Roman"/>
      <family val="1"/>
      <charset val="163"/>
    </font>
    <font>
      <sz val="12"/>
      <name val="Times New Roman"/>
      <family val="1"/>
      <charset val="163"/>
    </font>
    <font>
      <b/>
      <i/>
      <sz val="11"/>
      <color theme="1"/>
      <name val="Times New Roman"/>
      <family val="1"/>
    </font>
    <font>
      <sz val="11"/>
      <name val="Times New Roman"/>
      <family val="1"/>
      <charset val="163"/>
    </font>
    <font>
      <b/>
      <sz val="11"/>
      <name val="Times New Roman"/>
      <family val="1"/>
      <charset val="163"/>
    </font>
    <font>
      <b/>
      <sz val="12"/>
      <color indexed="8"/>
      <name val="Times New Roman"/>
      <family val="1"/>
      <charset val="163"/>
    </font>
    <font>
      <sz val="10"/>
      <color indexed="8"/>
      <name val="Times New Roman"/>
      <family val="1"/>
      <charset val="163"/>
    </font>
    <font>
      <b/>
      <sz val="10"/>
      <color indexed="8"/>
      <name val="Times New Roman"/>
      <family val="1"/>
    </font>
    <font>
      <sz val="11"/>
      <color indexed="8"/>
      <name val="Times New Roman"/>
      <family val="1"/>
      <charset val="163"/>
    </font>
    <font>
      <sz val="12"/>
      <color rgb="FFFF0000"/>
      <name val="Times New Roman"/>
      <family val="1"/>
    </font>
    <font>
      <sz val="10"/>
      <color theme="1"/>
      <name val="Times New Roman"/>
      <family val="1"/>
    </font>
    <font>
      <sz val="12"/>
      <color theme="1"/>
      <name val="Times New Roman"/>
      <family val="1"/>
    </font>
    <font>
      <sz val="11"/>
      <color theme="1"/>
      <name val="Times New Roman"/>
      <family val="2"/>
    </font>
    <font>
      <b/>
      <sz val="8"/>
      <name val="Times New Roman"/>
      <family val="1"/>
    </font>
    <font>
      <b/>
      <sz val="12"/>
      <color theme="1"/>
      <name val="Times New Roman"/>
      <family val="1"/>
    </font>
    <font>
      <sz val="12"/>
      <color theme="1"/>
      <name val=".VnTime"/>
      <family val="2"/>
    </font>
    <font>
      <sz val="10"/>
      <name val=".VnTime"/>
      <family val="2"/>
    </font>
    <font>
      <i/>
      <sz val="12"/>
      <color theme="1"/>
      <name val="Times New Roman"/>
      <family val="1"/>
    </font>
    <font>
      <b/>
      <i/>
      <sz val="11"/>
      <name val="Times New Roman"/>
      <family val="1"/>
    </font>
    <font>
      <b/>
      <sz val="13"/>
      <name val="Times New Roman"/>
      <family val="1"/>
    </font>
    <font>
      <b/>
      <sz val="6"/>
      <name val="Times New Roman"/>
      <family val="1"/>
    </font>
    <font>
      <b/>
      <sz val="9"/>
      <name val="Times New Roman"/>
      <family val="1"/>
    </font>
    <font>
      <sz val="8"/>
      <name val="Times New Roman"/>
      <family val="1"/>
    </font>
    <font>
      <sz val="7"/>
      <name val="Times New Roman"/>
      <family val="1"/>
    </font>
    <font>
      <sz val="7"/>
      <color indexed="10"/>
      <name val="Times New Roman"/>
      <family val="1"/>
    </font>
    <font>
      <sz val="9"/>
      <name val="Times New Roman"/>
      <family val="1"/>
    </font>
    <font>
      <b/>
      <sz val="18"/>
      <color indexed="10"/>
      <name val="Times New Roman"/>
      <family val="1"/>
    </font>
    <font>
      <b/>
      <sz val="9"/>
      <color indexed="10"/>
      <name val="Times New Roman"/>
      <family val="1"/>
    </font>
    <font>
      <b/>
      <i/>
      <sz val="18"/>
      <color indexed="10"/>
      <name val="Times New Roman"/>
      <family val="1"/>
    </font>
    <font>
      <b/>
      <sz val="8"/>
      <color indexed="10"/>
      <name val="Times New Roman"/>
      <family val="1"/>
    </font>
    <font>
      <sz val="8"/>
      <color indexed="10"/>
      <name val="Times New Roman"/>
      <family val="1"/>
    </font>
    <font>
      <b/>
      <sz val="7"/>
      <color indexed="10"/>
      <name val="Times New Roman"/>
      <family val="1"/>
    </font>
    <font>
      <sz val="11"/>
      <color indexed="10"/>
      <name val="Times New Roman"/>
      <family val="1"/>
    </font>
    <font>
      <i/>
      <sz val="12"/>
      <name val="Times New Roman"/>
      <family val="1"/>
      <charset val="163"/>
    </font>
    <font>
      <b/>
      <i/>
      <sz val="11"/>
      <name val="Times New Roman"/>
      <family val="1"/>
      <charset val="163"/>
    </font>
    <font>
      <i/>
      <sz val="11"/>
      <name val="Times New Roman"/>
      <family val="1"/>
    </font>
    <font>
      <b/>
      <sz val="16"/>
      <name val="Times New Roman"/>
      <family val="1"/>
      <charset val="163"/>
    </font>
    <font>
      <b/>
      <sz val="10"/>
      <name val="Times New Roman"/>
      <family val="1"/>
      <charset val="163"/>
    </font>
    <font>
      <sz val="14"/>
      <name val="Times New Roman"/>
      <family val="1"/>
      <charset val="163"/>
    </font>
    <font>
      <b/>
      <sz val="14"/>
      <name val="Times New Roman"/>
      <family val="1"/>
      <charset val="163"/>
    </font>
    <font>
      <sz val="11"/>
      <color rgb="FFFF0000"/>
      <name val="Times New Roman"/>
      <family val="1"/>
      <charset val="163"/>
    </font>
    <font>
      <sz val="11"/>
      <color theme="1"/>
      <name val="Times New Roman"/>
      <family val="1"/>
      <charset val="163"/>
    </font>
    <font>
      <b/>
      <sz val="12"/>
      <color rgb="FFFF0000"/>
      <name val="Times New Roman"/>
      <family val="1"/>
      <charset val="163"/>
    </font>
    <font>
      <sz val="12"/>
      <color theme="1"/>
      <name val="Times New Roman"/>
      <family val="1"/>
      <charset val="163"/>
    </font>
    <font>
      <b/>
      <sz val="8"/>
      <name val="Times New Roman"/>
      <family val="1"/>
      <charset val="163"/>
    </font>
    <font>
      <b/>
      <sz val="12"/>
      <color rgb="FFFF0000"/>
      <name val="Times New Roman"/>
      <family val="1"/>
    </font>
    <font>
      <b/>
      <sz val="12"/>
      <color theme="1"/>
      <name val=".VnTime"/>
      <family val="2"/>
    </font>
    <font>
      <i/>
      <sz val="12"/>
      <color theme="1"/>
      <name val=".VnTime"/>
      <family val="2"/>
    </font>
    <font>
      <b/>
      <sz val="9"/>
      <color rgb="FF000000"/>
      <name val="Times New Roman"/>
      <family val="1"/>
    </font>
    <font>
      <b/>
      <sz val="12"/>
      <color rgb="FF000000"/>
      <name val="Times New Roman"/>
      <family val="1"/>
    </font>
    <font>
      <i/>
      <sz val="12"/>
      <color rgb="FF000000"/>
      <name val="Times New Roman"/>
      <family val="1"/>
    </font>
    <font>
      <b/>
      <i/>
      <sz val="7"/>
      <color rgb="FF000000"/>
      <name val="Times New Roman"/>
      <family val="1"/>
    </font>
    <font>
      <sz val="7"/>
      <color rgb="FF000000"/>
      <name val="Times New Roman"/>
      <family val="1"/>
    </font>
    <font>
      <sz val="6"/>
      <color rgb="FF000000"/>
      <name val="Times New Roman"/>
      <family val="1"/>
    </font>
    <font>
      <sz val="12"/>
      <color rgb="FF000000"/>
      <name val="Calibri"/>
      <family val="2"/>
    </font>
    <font>
      <sz val="12"/>
      <color rgb="FF000000"/>
      <name val="Times New Roman"/>
      <family val="1"/>
    </font>
    <font>
      <b/>
      <sz val="6"/>
      <color rgb="FF000000"/>
      <name val="Times New Roman"/>
      <family val="1"/>
    </font>
    <font>
      <b/>
      <i/>
      <sz val="6"/>
      <color rgb="FF000000"/>
      <name val="Times New Roman"/>
      <family val="1"/>
    </font>
    <font>
      <sz val="8"/>
      <color rgb="FF000000"/>
      <name val="Times New Roman"/>
      <family val="1"/>
    </font>
    <font>
      <i/>
      <sz val="9"/>
      <color rgb="FF000000"/>
      <name val="Times New Roman"/>
      <family val="1"/>
    </font>
    <font>
      <sz val="9"/>
      <color rgb="FF000000"/>
      <name val="Times New Roman"/>
      <family val="1"/>
    </font>
    <font>
      <b/>
      <i/>
      <sz val="12"/>
      <color theme="1"/>
      <name val="Times New Roman"/>
      <family val="1"/>
    </font>
    <font>
      <i/>
      <sz val="11"/>
      <color theme="1"/>
      <name val="Times New Roman"/>
      <family val="1"/>
    </font>
    <font>
      <sz val="12"/>
      <color theme="1"/>
      <name val="Times New Roman"/>
      <family val="2"/>
    </font>
    <font>
      <b/>
      <sz val="12"/>
      <color theme="1"/>
      <name val="Times New Roman"/>
      <family val="1"/>
      <charset val="163"/>
    </font>
    <font>
      <b/>
      <sz val="14"/>
      <color theme="1"/>
      <name val="Times New Roman"/>
      <family val="1"/>
    </font>
    <font>
      <sz val="14"/>
      <color theme="1"/>
      <name val="Times New Roman"/>
      <family val="1"/>
    </font>
    <font>
      <b/>
      <sz val="11"/>
      <color theme="1"/>
      <name val="Times New Roman"/>
      <family val="1"/>
      <charset val="163"/>
    </font>
    <font>
      <i/>
      <sz val="11"/>
      <color theme="1"/>
      <name val="Times New Roman"/>
      <family val="1"/>
      <charset val="163"/>
    </font>
    <font>
      <i/>
      <sz val="12"/>
      <color theme="1"/>
      <name val="Times New Roman"/>
      <family val="2"/>
    </font>
    <font>
      <b/>
      <sz val="10"/>
      <color theme="1"/>
      <name val="Times New Roman"/>
      <family val="1"/>
    </font>
    <font>
      <sz val="10"/>
      <color theme="1"/>
      <name val=".VnTime"/>
      <family val="2"/>
    </font>
    <font>
      <b/>
      <sz val="16"/>
      <color theme="1"/>
      <name val="Times New Roman"/>
      <family val="1"/>
    </font>
    <font>
      <i/>
      <sz val="13"/>
      <color theme="1"/>
      <name val="Times New Roman"/>
      <family val="1"/>
    </font>
    <font>
      <i/>
      <sz val="10"/>
      <color theme="1"/>
      <name val="Times New Roman"/>
      <family val="1"/>
    </font>
    <font>
      <sz val="8"/>
      <color theme="1"/>
      <name val="Times New Roman"/>
      <family val="1"/>
    </font>
    <font>
      <i/>
      <sz val="8"/>
      <color theme="1"/>
      <name val="Times New Roman"/>
      <family val="1"/>
    </font>
    <font>
      <i/>
      <sz val="12"/>
      <color rgb="FFFF0000"/>
      <name val="Times New Roman"/>
      <family val="1"/>
    </font>
    <font>
      <b/>
      <sz val="14"/>
      <color theme="1"/>
      <name val=".VnTimeH"/>
      <family val="2"/>
    </font>
    <font>
      <b/>
      <sz val="13"/>
      <color theme="1"/>
      <name val="Times New Roman"/>
      <family val="1"/>
    </font>
    <font>
      <b/>
      <sz val="13"/>
      <color theme="1"/>
      <name val=".VnTimeH"/>
      <family val="2"/>
    </font>
    <font>
      <i/>
      <sz val="10"/>
      <color theme="1"/>
      <name val=".VnTime"/>
      <family val="2"/>
    </font>
    <font>
      <b/>
      <i/>
      <sz val="12"/>
      <color rgb="FFFF0000"/>
      <name val="Times New Roman"/>
      <family val="1"/>
    </font>
    <font>
      <b/>
      <sz val="11"/>
      <name val=".VnTime"/>
      <family val="2"/>
    </font>
    <font>
      <b/>
      <sz val="9"/>
      <color theme="1"/>
      <name val="Times New Roman"/>
      <family val="1"/>
    </font>
    <font>
      <sz val="14"/>
      <name val="Times New Roman"/>
      <family val="1"/>
    </font>
    <font>
      <i/>
      <sz val="14"/>
      <name val="Times New Roman"/>
      <family val="1"/>
    </font>
    <font>
      <b/>
      <sz val="12"/>
      <color theme="0"/>
      <name val="Times New Roman"/>
      <family val="1"/>
    </font>
    <font>
      <sz val="12"/>
      <color theme="0"/>
      <name val="Times New Roman"/>
      <family val="1"/>
    </font>
    <font>
      <b/>
      <sz val="11"/>
      <color theme="0"/>
      <name val="Times New Roman"/>
      <family val="1"/>
    </font>
    <font>
      <i/>
      <sz val="11"/>
      <color theme="0"/>
      <name val="Times New Roman"/>
      <family val="1"/>
    </font>
    <font>
      <sz val="11"/>
      <color theme="0"/>
      <name val="Times New Roman"/>
      <family val="1"/>
    </font>
    <font>
      <b/>
      <sz val="10"/>
      <color theme="0"/>
      <name val="Times New Roman"/>
      <family val="1"/>
    </font>
    <font>
      <sz val="10"/>
      <color theme="0"/>
      <name val="Times New Roman"/>
      <family val="1"/>
    </font>
    <font>
      <b/>
      <i/>
      <sz val="11"/>
      <color theme="0"/>
      <name val="Times New Roman"/>
      <family val="1"/>
    </font>
    <font>
      <b/>
      <i/>
      <sz val="10"/>
      <color theme="1"/>
      <name val="Times New Roman"/>
      <family val="1"/>
    </font>
    <font>
      <b/>
      <i/>
      <sz val="12"/>
      <color theme="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rgb="FF92D050"/>
        <bgColor indexed="64"/>
      </patternFill>
    </fill>
    <fill>
      <patternFill patternType="solid">
        <fgColor theme="0"/>
        <bgColor rgb="FF00FF00"/>
      </patternFill>
    </fill>
    <fill>
      <patternFill patternType="solid">
        <fgColor theme="0"/>
        <bgColor theme="0"/>
      </patternFill>
    </fill>
    <fill>
      <patternFill patternType="solid">
        <fgColor theme="0"/>
        <bgColor rgb="FFFFFF00"/>
      </patternFill>
    </fill>
    <fill>
      <patternFill patternType="solid">
        <fgColor theme="0"/>
        <bgColor rgb="FFFFCC00"/>
      </patternFill>
    </fill>
    <fill>
      <patternFill patternType="solid">
        <fgColor rgb="FFFF0000"/>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hair">
        <color rgb="FF000000"/>
      </top>
      <bottom style="hair">
        <color indexed="64"/>
      </bottom>
      <diagonal/>
    </border>
    <border>
      <left/>
      <right style="thin">
        <color rgb="FF000000"/>
      </right>
      <top/>
      <bottom style="hair">
        <color rgb="FF000000"/>
      </bottom>
      <diagonal/>
    </border>
    <border>
      <left style="thin">
        <color rgb="FF000000"/>
      </left>
      <right/>
      <top/>
      <bottom/>
      <diagonal/>
    </border>
  </borders>
  <cellStyleXfs count="69">
    <xf numFmtId="0" fontId="0" fillId="0" borderId="0"/>
    <xf numFmtId="43" fontId="1"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7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 fontId="3"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5" fillId="0" borderId="0" applyNumberFormat="0" applyFont="0" applyFill="0" applyAlignment="0"/>
    <xf numFmtId="178" fontId="6" fillId="0" borderId="0"/>
    <xf numFmtId="0" fontId="3" fillId="0" borderId="0"/>
    <xf numFmtId="0" fontId="15" fillId="0" borderId="0"/>
    <xf numFmtId="0" fontId="23" fillId="0" borderId="0"/>
    <xf numFmtId="0" fontId="15" fillId="0" borderId="0"/>
    <xf numFmtId="0" fontId="3" fillId="0" borderId="0"/>
    <xf numFmtId="0" fontId="3" fillId="0" borderId="0"/>
    <xf numFmtId="0" fontId="2" fillId="0" borderId="0"/>
    <xf numFmtId="0" fontId="18" fillId="0" borderId="0"/>
    <xf numFmtId="0" fontId="17" fillId="0" borderId="0"/>
    <xf numFmtId="0" fontId="21" fillId="0" borderId="0"/>
    <xf numFmtId="0" fontId="1" fillId="0" borderId="0"/>
    <xf numFmtId="9" fontId="2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5" fillId="0" borderId="0">
      <alignment vertical="center"/>
    </xf>
    <xf numFmtId="40" fontId="7" fillId="0" borderId="0" applyFont="0" applyFill="0" applyBorder="0" applyAlignment="0" applyProtection="0"/>
    <xf numFmtId="38"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8" fillId="0" borderId="0" applyFont="0" applyFill="0" applyBorder="0" applyAlignment="0" applyProtection="0"/>
    <xf numFmtId="0" fontId="9" fillId="0" borderId="0"/>
    <xf numFmtId="176" fontId="3" fillId="0" borderId="0" applyFont="0" applyFill="0" applyBorder="0" applyAlignment="0" applyProtection="0"/>
    <xf numFmtId="177" fontId="3" fillId="0" borderId="0" applyFont="0" applyFill="0" applyBorder="0" applyAlignment="0" applyProtection="0"/>
    <xf numFmtId="174" fontId="11" fillId="0" borderId="0" applyFont="0" applyFill="0" applyBorder="0" applyAlignment="0" applyProtection="0"/>
    <xf numFmtId="173" fontId="11" fillId="0" borderId="0" applyFont="0" applyFill="0" applyBorder="0" applyAlignment="0" applyProtection="0"/>
    <xf numFmtId="0" fontId="12" fillId="0" borderId="0"/>
    <xf numFmtId="0" fontId="5" fillId="0" borderId="0"/>
    <xf numFmtId="170" fontId="10" fillId="0" borderId="0" applyFont="0" applyFill="0" applyBorder="0" applyAlignment="0" applyProtection="0"/>
    <xf numFmtId="172" fontId="10" fillId="0" borderId="0" applyFont="0" applyFill="0" applyBorder="0" applyAlignment="0" applyProtection="0"/>
    <xf numFmtId="169" fontId="10" fillId="0" borderId="0" applyFont="0" applyFill="0" applyBorder="0" applyAlignment="0" applyProtection="0"/>
    <xf numFmtId="6" fontId="13" fillId="0" borderId="0" applyFont="0" applyFill="0" applyBorder="0" applyAlignment="0" applyProtection="0"/>
    <xf numFmtId="171" fontId="10" fillId="0" borderId="0" applyFont="0" applyFill="0" applyBorder="0" applyAlignment="0" applyProtection="0"/>
    <xf numFmtId="0" fontId="33" fillId="0" borderId="0"/>
    <xf numFmtId="0" fontId="35" fillId="0" borderId="0"/>
    <xf numFmtId="0" fontId="2"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9" fontId="18" fillId="0" borderId="0" applyFont="0" applyFill="0" applyBorder="0" applyAlignment="0" applyProtection="0"/>
    <xf numFmtId="0" fontId="39" fillId="0" borderId="0"/>
    <xf numFmtId="0" fontId="1" fillId="0" borderId="0"/>
    <xf numFmtId="0" fontId="1" fillId="0" borderId="0"/>
    <xf numFmtId="0" fontId="3" fillId="0" borderId="0"/>
    <xf numFmtId="0" fontId="50" fillId="0" borderId="0"/>
    <xf numFmtId="43" fontId="50" fillId="0" borderId="0" applyFont="0" applyFill="0" applyBorder="0" applyAlignment="0" applyProtection="0"/>
    <xf numFmtId="165" fontId="35" fillId="0" borderId="0" applyFont="0" applyFill="0" applyBorder="0" applyAlignment="0" applyProtection="0"/>
    <xf numFmtId="0" fontId="101" fillId="0" borderId="0"/>
    <xf numFmtId="0" fontId="101" fillId="0" borderId="0"/>
  </cellStyleXfs>
  <cellXfs count="1299">
    <xf numFmtId="0" fontId="0" fillId="0" borderId="0" xfId="0"/>
    <xf numFmtId="0" fontId="27" fillId="2" borderId="0" xfId="0" applyFont="1" applyFill="1"/>
    <xf numFmtId="0" fontId="15" fillId="2" borderId="0" xfId="0" applyFont="1" applyFill="1"/>
    <xf numFmtId="0" fontId="24" fillId="2" borderId="0" xfId="0" applyFont="1" applyFill="1"/>
    <xf numFmtId="0" fontId="25" fillId="2" borderId="4" xfId="0" applyFont="1" applyFill="1" applyBorder="1" applyAlignment="1">
      <alignment horizontal="center" vertical="center" wrapText="1"/>
    </xf>
    <xf numFmtId="167" fontId="19" fillId="2" borderId="0" xfId="0" applyNumberFormat="1" applyFont="1" applyFill="1"/>
    <xf numFmtId="0" fontId="19" fillId="2" borderId="0" xfId="0" applyFont="1" applyFill="1"/>
    <xf numFmtId="0" fontId="15" fillId="2" borderId="3" xfId="0" applyFont="1" applyFill="1" applyBorder="1"/>
    <xf numFmtId="167" fontId="15" fillId="2" borderId="0" xfId="0" applyNumberFormat="1" applyFont="1" applyFill="1"/>
    <xf numFmtId="0" fontId="27" fillId="2" borderId="3" xfId="0" applyFont="1" applyFill="1" applyBorder="1"/>
    <xf numFmtId="167" fontId="22" fillId="2" borderId="3" xfId="1" applyNumberFormat="1" applyFont="1" applyFill="1" applyBorder="1" applyAlignment="1">
      <alignment horizontal="center" vertical="center" wrapText="1"/>
    </xf>
    <xf numFmtId="167" fontId="27" fillId="2" borderId="3" xfId="1" applyNumberFormat="1" applyFont="1" applyFill="1" applyBorder="1"/>
    <xf numFmtId="0" fontId="25" fillId="2" borderId="0" xfId="0" applyFont="1" applyFill="1"/>
    <xf numFmtId="167" fontId="15" fillId="2" borderId="3" xfId="1" applyNumberFormat="1" applyFont="1" applyFill="1" applyBorder="1"/>
    <xf numFmtId="0" fontId="19" fillId="2" borderId="4" xfId="0" applyFont="1" applyFill="1" applyBorder="1"/>
    <xf numFmtId="0" fontId="19" fillId="2" borderId="0" xfId="0" applyFont="1" applyFill="1" applyAlignment="1"/>
    <xf numFmtId="167" fontId="32" fillId="2" borderId="3" xfId="1" applyNumberFormat="1" applyFont="1" applyFill="1" applyBorder="1" applyAlignment="1">
      <alignment horizontal="center" vertical="center" wrapText="1"/>
    </xf>
    <xf numFmtId="0" fontId="25" fillId="2" borderId="3" xfId="0" applyFont="1" applyFill="1" applyBorder="1" applyAlignment="1">
      <alignment horizontal="center"/>
    </xf>
    <xf numFmtId="0" fontId="19" fillId="2" borderId="3" xfId="0" applyFont="1" applyFill="1" applyBorder="1" applyAlignment="1">
      <alignment horizontal="center"/>
    </xf>
    <xf numFmtId="0" fontId="19" fillId="2" borderId="7" xfId="0" applyFont="1" applyFill="1" applyBorder="1" applyAlignment="1">
      <alignment horizontal="center"/>
    </xf>
    <xf numFmtId="41" fontId="19" fillId="2" borderId="3" xfId="2" applyFont="1" applyFill="1" applyBorder="1"/>
    <xf numFmtId="167" fontId="19" fillId="2" borderId="3" xfId="1" applyNumberFormat="1" applyFont="1" applyFill="1" applyBorder="1"/>
    <xf numFmtId="0" fontId="15" fillId="2" borderId="3" xfId="0" applyFont="1" applyFill="1" applyBorder="1" applyAlignment="1">
      <alignment horizontal="center"/>
    </xf>
    <xf numFmtId="167" fontId="19" fillId="2" borderId="7" xfId="1" applyNumberFormat="1" applyFont="1" applyFill="1" applyBorder="1"/>
    <xf numFmtId="167" fontId="19" fillId="2" borderId="4" xfId="1" applyNumberFormat="1" applyFont="1" applyFill="1" applyBorder="1"/>
    <xf numFmtId="41" fontId="15" fillId="2" borderId="0" xfId="2" applyFont="1" applyFill="1" applyAlignment="1">
      <alignment vertical="center" wrapText="1"/>
    </xf>
    <xf numFmtId="0" fontId="15" fillId="2" borderId="0" xfId="0" applyFont="1" applyFill="1" applyAlignment="1">
      <alignment vertical="center" wrapText="1"/>
    </xf>
    <xf numFmtId="167" fontId="15" fillId="2" borderId="0" xfId="0" applyNumberFormat="1" applyFont="1" applyFill="1" applyAlignment="1">
      <alignment vertical="center" wrapText="1"/>
    </xf>
    <xf numFmtId="41" fontId="15" fillId="2" borderId="0" xfId="0" applyNumberFormat="1" applyFont="1" applyFill="1"/>
    <xf numFmtId="0" fontId="27" fillId="2" borderId="3" xfId="0" applyFont="1" applyFill="1" applyBorder="1" applyAlignment="1">
      <alignment horizontal="center"/>
    </xf>
    <xf numFmtId="167" fontId="25" fillId="2" borderId="3" xfId="1" applyNumberFormat="1" applyFont="1" applyFill="1" applyBorder="1"/>
    <xf numFmtId="0" fontId="41" fillId="2" borderId="3" xfId="0" applyFont="1" applyFill="1" applyBorder="1" applyAlignment="1">
      <alignment horizontal="justify" wrapText="1"/>
    </xf>
    <xf numFmtId="0" fontId="44" fillId="0" borderId="0" xfId="0" applyFont="1"/>
    <xf numFmtId="0" fontId="45" fillId="0" borderId="4" xfId="0" applyFont="1" applyBorder="1" applyAlignment="1">
      <alignment horizontal="center" vertical="center" wrapText="1"/>
    </xf>
    <xf numFmtId="0" fontId="45" fillId="0" borderId="0" xfId="0" applyFont="1"/>
    <xf numFmtId="0" fontId="44" fillId="0" borderId="8" xfId="0" applyFont="1" applyBorder="1" applyAlignment="1">
      <alignment horizontal="center"/>
    </xf>
    <xf numFmtId="0" fontId="44" fillId="0" borderId="3" xfId="0" applyFont="1" applyBorder="1" applyAlignment="1">
      <alignment horizontal="center"/>
    </xf>
    <xf numFmtId="0" fontId="44" fillId="0" borderId="6" xfId="0" applyFont="1" applyBorder="1" applyAlignment="1">
      <alignment horizontal="center"/>
    </xf>
    <xf numFmtId="0" fontId="44" fillId="0" borderId="4" xfId="0" applyFont="1" applyBorder="1" applyAlignment="1">
      <alignment horizontal="center"/>
    </xf>
    <xf numFmtId="0" fontId="46" fillId="0" borderId="8" xfId="0" applyFont="1" applyBorder="1" applyAlignment="1">
      <alignment horizontal="center"/>
    </xf>
    <xf numFmtId="0" fontId="46" fillId="0" borderId="0" xfId="0" applyFont="1"/>
    <xf numFmtId="0" fontId="46" fillId="0" borderId="3" xfId="0" applyFont="1" applyBorder="1" applyAlignment="1">
      <alignment horizontal="center"/>
    </xf>
    <xf numFmtId="0" fontId="44" fillId="0" borderId="7" xfId="0" applyFont="1" applyBorder="1" applyAlignment="1">
      <alignment horizontal="center"/>
    </xf>
    <xf numFmtId="0" fontId="44" fillId="0" borderId="0" xfId="0" applyFont="1" applyAlignment="1">
      <alignment horizontal="center"/>
    </xf>
    <xf numFmtId="0" fontId="15" fillId="0" borderId="0" xfId="0" applyFont="1"/>
    <xf numFmtId="167" fontId="15" fillId="0" borderId="0" xfId="1" applyNumberFormat="1" applyFont="1"/>
    <xf numFmtId="0" fontId="19" fillId="0" borderId="0" xfId="0" applyFont="1" applyAlignment="1">
      <alignment horizontal="center"/>
    </xf>
    <xf numFmtId="0" fontId="19" fillId="0" borderId="0" xfId="0" applyFont="1"/>
    <xf numFmtId="0" fontId="15" fillId="0" borderId="4" xfId="0" applyFont="1" applyBorder="1"/>
    <xf numFmtId="0" fontId="15" fillId="0" borderId="4" xfId="0" applyFont="1" applyBorder="1" applyAlignment="1"/>
    <xf numFmtId="0" fontId="19" fillId="0" borderId="4" xfId="0" applyFont="1" applyBorder="1"/>
    <xf numFmtId="43" fontId="19" fillId="0" borderId="4" xfId="1" applyFont="1" applyBorder="1" applyAlignment="1"/>
    <xf numFmtId="167" fontId="19" fillId="0" borderId="4" xfId="1" applyNumberFormat="1" applyFont="1" applyBorder="1" applyAlignment="1"/>
    <xf numFmtId="43" fontId="15" fillId="0" borderId="4" xfId="1" applyFont="1" applyBorder="1"/>
    <xf numFmtId="167" fontId="15" fillId="0" borderId="4" xfId="1" applyNumberFormat="1" applyFont="1" applyBorder="1"/>
    <xf numFmtId="43" fontId="19" fillId="0" borderId="4" xfId="1" applyFont="1" applyBorder="1"/>
    <xf numFmtId="167" fontId="19" fillId="0" borderId="4" xfId="1" applyNumberFormat="1" applyFont="1" applyBorder="1"/>
    <xf numFmtId="167" fontId="19" fillId="3" borderId="4" xfId="1" applyNumberFormat="1" applyFont="1" applyFill="1" applyBorder="1" applyAlignment="1"/>
    <xf numFmtId="0" fontId="19" fillId="3" borderId="4" xfId="0" applyFont="1" applyFill="1" applyBorder="1"/>
    <xf numFmtId="43" fontId="19" fillId="3" borderId="4" xfId="1" applyFont="1" applyFill="1" applyBorder="1" applyAlignment="1"/>
    <xf numFmtId="0" fontId="19" fillId="3" borderId="0" xfId="0" applyFont="1" applyFill="1"/>
    <xf numFmtId="0" fontId="19" fillId="0" borderId="9" xfId="0" applyFont="1" applyBorder="1" applyAlignment="1"/>
    <xf numFmtId="0" fontId="19" fillId="0" borderId="9" xfId="0" applyFont="1" applyBorder="1" applyAlignment="1">
      <alignment horizontal="center"/>
    </xf>
    <xf numFmtId="0" fontId="47" fillId="0" borderId="9" xfId="0" applyFont="1" applyBorder="1" applyAlignment="1"/>
    <xf numFmtId="0" fontId="25" fillId="0" borderId="4" xfId="0" applyFont="1" applyBorder="1" applyAlignment="1">
      <alignment horizontal="center" vertical="center" wrapText="1"/>
    </xf>
    <xf numFmtId="0" fontId="60" fillId="0" borderId="4" xfId="0" applyFont="1" applyBorder="1" applyAlignment="1">
      <alignment horizontal="center" vertical="center" wrapText="1"/>
    </xf>
    <xf numFmtId="0" fontId="61" fillId="0" borderId="4" xfId="0" applyFont="1" applyBorder="1" applyAlignment="1">
      <alignment horizontal="center" vertical="center" wrapText="1"/>
    </xf>
    <xf numFmtId="167" fontId="61" fillId="0" borderId="4" xfId="1" applyNumberFormat="1" applyFont="1" applyBorder="1" applyAlignment="1">
      <alignment vertical="center" wrapText="1"/>
    </xf>
    <xf numFmtId="167" fontId="60" fillId="0" borderId="4" xfId="1" applyNumberFormat="1" applyFont="1" applyBorder="1" applyAlignment="1">
      <alignment horizontal="left" vertical="center" wrapText="1"/>
    </xf>
    <xf numFmtId="167" fontId="61" fillId="0" borderId="4" xfId="1" applyNumberFormat="1" applyFont="1" applyBorder="1" applyAlignment="1">
      <alignment horizontal="center" vertical="center" wrapText="1"/>
    </xf>
    <xf numFmtId="43" fontId="62" fillId="0" borderId="4" xfId="1" applyFont="1" applyBorder="1" applyAlignment="1">
      <alignment horizontal="center" vertical="center" wrapText="1"/>
    </xf>
    <xf numFmtId="43" fontId="61" fillId="0" borderId="4" xfId="1" applyFont="1" applyBorder="1" applyAlignment="1">
      <alignment horizontal="center" vertical="center" wrapText="1"/>
    </xf>
    <xf numFmtId="187" fontId="61" fillId="0" borderId="4" xfId="1" applyNumberFormat="1" applyFont="1" applyBorder="1" applyAlignment="1">
      <alignment horizontal="center" vertical="center" wrapText="1"/>
    </xf>
    <xf numFmtId="167" fontId="59" fillId="0" borderId="4" xfId="1" applyNumberFormat="1" applyFont="1" applyBorder="1" applyAlignment="1">
      <alignment horizontal="center" vertical="top" wrapText="1"/>
    </xf>
    <xf numFmtId="167" fontId="0" fillId="0" borderId="0" xfId="1" applyNumberFormat="1" applyFont="1"/>
    <xf numFmtId="167" fontId="61" fillId="0" borderId="4" xfId="1" applyNumberFormat="1" applyFont="1" applyBorder="1"/>
    <xf numFmtId="167" fontId="51" fillId="0" borderId="4" xfId="1" applyNumberFormat="1" applyFont="1" applyBorder="1" applyAlignment="1">
      <alignment horizontal="center" wrapText="1"/>
    </xf>
    <xf numFmtId="167" fontId="63" fillId="0" borderId="4" xfId="1" applyNumberFormat="1" applyFont="1" applyBorder="1" applyAlignment="1">
      <alignment horizontal="center" vertical="center" wrapText="1"/>
    </xf>
    <xf numFmtId="167" fontId="61" fillId="0" borderId="0" xfId="1" applyNumberFormat="1" applyFont="1" applyBorder="1"/>
    <xf numFmtId="167" fontId="51" fillId="0" borderId="0" xfId="1" applyNumberFormat="1" applyFont="1" applyBorder="1" applyAlignment="1">
      <alignment horizontal="center" wrapText="1"/>
    </xf>
    <xf numFmtId="167" fontId="60" fillId="0" borderId="0" xfId="1" applyNumberFormat="1" applyFont="1" applyBorder="1" applyAlignment="1">
      <alignment horizontal="center" wrapText="1"/>
    </xf>
    <xf numFmtId="43" fontId="61" fillId="0" borderId="0" xfId="1" applyFont="1" applyBorder="1" applyAlignment="1">
      <alignment horizontal="center" wrapText="1"/>
    </xf>
    <xf numFmtId="187" fontId="61" fillId="0" borderId="0" xfId="1" applyNumberFormat="1" applyFont="1" applyBorder="1" applyAlignment="1">
      <alignment horizontal="center" wrapText="1"/>
    </xf>
    <xf numFmtId="43" fontId="61" fillId="0" borderId="0" xfId="1" applyNumberFormat="1" applyFont="1" applyBorder="1" applyAlignment="1">
      <alignment horizontal="center" wrapText="1"/>
    </xf>
    <xf numFmtId="167" fontId="61" fillId="0" borderId="0" xfId="1" applyNumberFormat="1" applyFont="1" applyBorder="1" applyAlignment="1">
      <alignment horizontal="center" wrapText="1"/>
    </xf>
    <xf numFmtId="167" fontId="63" fillId="0" borderId="0" xfId="1" applyNumberFormat="1" applyFont="1"/>
    <xf numFmtId="167" fontId="63" fillId="0" borderId="0" xfId="1" applyNumberFormat="1" applyFont="1" applyBorder="1" applyAlignment="1">
      <alignment horizontal="center" vertical="center" wrapText="1"/>
    </xf>
    <xf numFmtId="168" fontId="62" fillId="0" borderId="0" xfId="0" applyNumberFormat="1" applyFont="1"/>
    <xf numFmtId="0" fontId="64" fillId="0" borderId="0" xfId="0" applyFont="1"/>
    <xf numFmtId="0" fontId="65" fillId="0" borderId="0" xfId="0" applyFont="1" applyAlignment="1"/>
    <xf numFmtId="0" fontId="64" fillId="0" borderId="0" xfId="0" applyFont="1" applyAlignment="1"/>
    <xf numFmtId="187" fontId="62" fillId="0" borderId="0" xfId="1" applyNumberFormat="1" applyFont="1" applyAlignment="1"/>
    <xf numFmtId="0" fontId="66" fillId="0" borderId="0" xfId="0" applyFont="1" applyAlignment="1"/>
    <xf numFmtId="0" fontId="55" fillId="0" borderId="0" xfId="0" applyFont="1" applyAlignment="1"/>
    <xf numFmtId="167" fontId="67" fillId="0" borderId="0" xfId="1" applyNumberFormat="1" applyFont="1" applyAlignment="1"/>
    <xf numFmtId="167" fontId="54" fillId="0" borderId="0" xfId="1" applyNumberFormat="1" applyFont="1"/>
    <xf numFmtId="186" fontId="15" fillId="0" borderId="0" xfId="0" applyNumberFormat="1" applyFont="1"/>
    <xf numFmtId="43" fontId="63" fillId="0" borderId="0" xfId="0" applyNumberFormat="1" applyFont="1"/>
    <xf numFmtId="0" fontId="19" fillId="0" borderId="0" xfId="0" applyFont="1" applyAlignment="1"/>
    <xf numFmtId="189" fontId="54" fillId="0" borderId="0" xfId="0" applyNumberFormat="1" applyFont="1"/>
    <xf numFmtId="0" fontId="63" fillId="0" borderId="0" xfId="0" applyFont="1"/>
    <xf numFmtId="189" fontId="0" fillId="0" borderId="0" xfId="0" applyNumberFormat="1"/>
    <xf numFmtId="0" fontId="15" fillId="0" borderId="0" xfId="0" applyFont="1" applyAlignment="1">
      <alignment horizontal="center"/>
    </xf>
    <xf numFmtId="167" fontId="15" fillId="0" borderId="0" xfId="1" applyNumberFormat="1" applyFont="1" applyAlignment="1">
      <alignment horizontal="center"/>
    </xf>
    <xf numFmtId="41" fontId="15" fillId="0" borderId="0" xfId="0" applyNumberFormat="1" applyFont="1" applyAlignment="1">
      <alignment horizontal="center"/>
    </xf>
    <xf numFmtId="167" fontId="15" fillId="0" borderId="0" xfId="0" applyNumberFormat="1" applyFont="1" applyAlignment="1">
      <alignment horizontal="center"/>
    </xf>
    <xf numFmtId="167" fontId="15" fillId="0" borderId="0" xfId="0" applyNumberFormat="1" applyFont="1"/>
    <xf numFmtId="167" fontId="60" fillId="0" borderId="4" xfId="1" applyNumberFormat="1" applyFont="1" applyBorder="1" applyAlignment="1">
      <alignment vertical="center" wrapText="1"/>
    </xf>
    <xf numFmtId="167" fontId="61" fillId="0" borderId="4" xfId="0" applyNumberFormat="1" applyFont="1" applyBorder="1" applyAlignment="1">
      <alignment horizontal="center" vertical="center" wrapText="1"/>
    </xf>
    <xf numFmtId="167" fontId="68" fillId="0" borderId="4" xfId="1" applyNumberFormat="1" applyFont="1" applyBorder="1" applyAlignment="1">
      <alignment horizontal="left" vertical="center" wrapText="1"/>
    </xf>
    <xf numFmtId="167" fontId="62" fillId="0" borderId="4" xfId="1" applyNumberFormat="1" applyFont="1" applyBorder="1" applyAlignment="1">
      <alignment horizontal="center" vertical="center" wrapText="1"/>
    </xf>
    <xf numFmtId="187" fontId="62" fillId="0" borderId="4" xfId="1" applyNumberFormat="1" applyFont="1" applyBorder="1" applyAlignment="1">
      <alignment horizontal="center" vertical="center" wrapText="1"/>
    </xf>
    <xf numFmtId="167" fontId="63" fillId="0" borderId="4" xfId="1" applyNumberFormat="1" applyFont="1" applyBorder="1"/>
    <xf numFmtId="168" fontId="61" fillId="0" borderId="4" xfId="1" applyNumberFormat="1" applyFont="1" applyBorder="1" applyAlignment="1">
      <alignment horizontal="center" vertical="center" wrapText="1"/>
    </xf>
    <xf numFmtId="43" fontId="61" fillId="0" borderId="4" xfId="1" applyNumberFormat="1" applyFont="1" applyBorder="1" applyAlignment="1">
      <alignment horizontal="center" vertical="center" wrapText="1"/>
    </xf>
    <xf numFmtId="187" fontId="69" fillId="0" borderId="4" xfId="1" applyNumberFormat="1" applyFont="1" applyBorder="1" applyAlignment="1">
      <alignment horizontal="center" vertical="center" wrapText="1"/>
    </xf>
    <xf numFmtId="167" fontId="60" fillId="0" borderId="4" xfId="1" applyNumberFormat="1" applyFont="1" applyBorder="1" applyAlignment="1">
      <alignment horizontal="center" wrapText="1"/>
    </xf>
    <xf numFmtId="43" fontId="61" fillId="0" borderId="4" xfId="1" applyFont="1" applyBorder="1" applyAlignment="1">
      <alignment horizontal="center" wrapText="1"/>
    </xf>
    <xf numFmtId="187" fontId="61" fillId="0" borderId="4" xfId="1" applyNumberFormat="1" applyFont="1" applyBorder="1" applyAlignment="1">
      <alignment horizontal="center" wrapText="1"/>
    </xf>
    <xf numFmtId="43" fontId="61" fillId="0" borderId="4" xfId="1" applyNumberFormat="1" applyFont="1" applyBorder="1" applyAlignment="1">
      <alignment horizontal="center" wrapText="1"/>
    </xf>
    <xf numFmtId="167" fontId="61" fillId="0" borderId="4" xfId="1" applyNumberFormat="1" applyFont="1" applyBorder="1" applyAlignment="1">
      <alignment horizontal="center" wrapText="1"/>
    </xf>
    <xf numFmtId="167" fontId="32" fillId="0" borderId="4" xfId="1" applyNumberFormat="1" applyFont="1" applyBorder="1" applyAlignment="1">
      <alignment vertical="center" wrapText="1"/>
    </xf>
    <xf numFmtId="167" fontId="32" fillId="0" borderId="4" xfId="1" applyNumberFormat="1" applyFont="1" applyBorder="1" applyAlignment="1">
      <alignment horizontal="left" vertical="center" wrapText="1"/>
    </xf>
    <xf numFmtId="167" fontId="32" fillId="0" borderId="4" xfId="1" applyNumberFormat="1" applyFont="1" applyBorder="1" applyAlignment="1">
      <alignment horizontal="center" vertical="center" wrapText="1"/>
    </xf>
    <xf numFmtId="43" fontId="70" fillId="0" borderId="4" xfId="1" applyFont="1" applyBorder="1" applyAlignment="1">
      <alignment horizontal="center" vertical="center" wrapText="1"/>
    </xf>
    <xf numFmtId="43" fontId="32" fillId="0" borderId="4" xfId="1" applyFont="1" applyBorder="1" applyAlignment="1">
      <alignment horizontal="center" vertical="center" wrapText="1"/>
    </xf>
    <xf numFmtId="187" fontId="32" fillId="0" borderId="4" xfId="1" applyNumberFormat="1" applyFont="1" applyBorder="1" applyAlignment="1">
      <alignment horizontal="center" vertical="center" wrapText="1"/>
    </xf>
    <xf numFmtId="167" fontId="32" fillId="0" borderId="4" xfId="0" applyNumberFormat="1" applyFont="1" applyBorder="1" applyAlignment="1">
      <alignment horizontal="center" vertical="center" wrapText="1"/>
    </xf>
    <xf numFmtId="167" fontId="22" fillId="0" borderId="4" xfId="1" applyNumberFormat="1" applyFont="1" applyBorder="1" applyAlignment="1">
      <alignment horizontal="center" vertical="top" wrapText="1"/>
    </xf>
    <xf numFmtId="167" fontId="37" fillId="0" borderId="0" xfId="1" applyNumberFormat="1" applyFont="1"/>
    <xf numFmtId="0" fontId="37" fillId="0" borderId="0" xfId="0" applyFont="1"/>
    <xf numFmtId="167" fontId="32" fillId="0" borderId="4" xfId="1" applyNumberFormat="1" applyFont="1" applyBorder="1"/>
    <xf numFmtId="167" fontId="22" fillId="0" borderId="4" xfId="1" applyNumberFormat="1" applyFont="1" applyBorder="1" applyAlignment="1">
      <alignment horizontal="center" wrapText="1"/>
    </xf>
    <xf numFmtId="43" fontId="22" fillId="0" borderId="4" xfId="1" applyFont="1" applyBorder="1" applyAlignment="1">
      <alignment horizontal="center" wrapText="1"/>
    </xf>
    <xf numFmtId="187" fontId="22" fillId="0" borderId="4" xfId="1" applyNumberFormat="1" applyFont="1" applyBorder="1" applyAlignment="1">
      <alignment horizontal="center" wrapText="1"/>
    </xf>
    <xf numFmtId="168" fontId="22" fillId="3" borderId="4" xfId="1" applyNumberFormat="1" applyFont="1" applyFill="1" applyBorder="1" applyAlignment="1">
      <alignment horizontal="center" wrapText="1"/>
    </xf>
    <xf numFmtId="0" fontId="58" fillId="0" borderId="4"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43" fontId="32" fillId="0" borderId="4" xfId="1" applyNumberFormat="1" applyFont="1" applyBorder="1" applyAlignment="1">
      <alignment horizontal="center" vertical="center" wrapText="1"/>
    </xf>
    <xf numFmtId="43" fontId="25" fillId="0" borderId="4" xfId="0" applyNumberFormat="1" applyFont="1" applyBorder="1" applyAlignment="1">
      <alignment horizontal="center" vertical="center" wrapText="1"/>
    </xf>
    <xf numFmtId="0" fontId="26" fillId="2" borderId="0" xfId="0" applyFont="1" applyFill="1"/>
    <xf numFmtId="41" fontId="19" fillId="2" borderId="7" xfId="2" applyFont="1" applyFill="1" applyBorder="1"/>
    <xf numFmtId="0" fontId="53" fillId="2" borderId="0" xfId="0" applyFont="1" applyFill="1"/>
    <xf numFmtId="0" fontId="39" fillId="2" borderId="0" xfId="0" applyFont="1" applyFill="1" applyAlignment="1">
      <alignment horizontal="center"/>
    </xf>
    <xf numFmtId="41" fontId="15" fillId="2" borderId="3" xfId="2" applyFont="1" applyFill="1" applyBorder="1"/>
    <xf numFmtId="0" fontId="22" fillId="2" borderId="3" xfId="55" applyFont="1" applyFill="1" applyBorder="1" applyAlignment="1">
      <alignment horizontal="center" vertical="center" wrapText="1"/>
    </xf>
    <xf numFmtId="181" fontId="73" fillId="2" borderId="7" xfId="0" applyNumberFormat="1" applyFont="1" applyFill="1" applyBorder="1" applyAlignment="1">
      <alignment horizontal="left" vertical="center" wrapText="1"/>
    </xf>
    <xf numFmtId="0" fontId="72" fillId="2" borderId="3" xfId="55" applyFont="1" applyFill="1" applyBorder="1" applyAlignment="1">
      <alignment horizontal="center" vertical="center" wrapText="1"/>
    </xf>
    <xf numFmtId="0" fontId="73" fillId="2" borderId="7" xfId="0" applyFont="1" applyFill="1" applyBorder="1" applyAlignment="1">
      <alignment horizontal="center" vertical="center" wrapText="1"/>
    </xf>
    <xf numFmtId="0" fontId="43" fillId="0" borderId="0" xfId="0" applyFont="1" applyAlignment="1">
      <alignment horizontal="center" vertical="center" wrapText="1"/>
    </xf>
    <xf numFmtId="41" fontId="25" fillId="2" borderId="3" xfId="2" applyFont="1" applyFill="1" applyBorder="1"/>
    <xf numFmtId="0" fontId="25" fillId="2" borderId="5" xfId="0" applyFont="1" applyFill="1" applyBorder="1" applyAlignment="1">
      <alignment horizontal="center"/>
    </xf>
    <xf numFmtId="167" fontId="25" fillId="2" borderId="5" xfId="1" applyNumberFormat="1" applyFont="1" applyFill="1" applyBorder="1"/>
    <xf numFmtId="167" fontId="25" fillId="2" borderId="0" xfId="0" applyNumberFormat="1" applyFont="1" applyFill="1"/>
    <xf numFmtId="166" fontId="27" fillId="2" borderId="3" xfId="1" applyNumberFormat="1" applyFont="1" applyFill="1" applyBorder="1"/>
    <xf numFmtId="167" fontId="27" fillId="2" borderId="0" xfId="0" applyNumberFormat="1" applyFont="1" applyFill="1"/>
    <xf numFmtId="0" fontId="15" fillId="2" borderId="0" xfId="0" applyFont="1" applyFill="1" applyAlignment="1">
      <alignment horizontal="center"/>
    </xf>
    <xf numFmtId="168" fontId="15" fillId="2" borderId="3" xfId="56" applyNumberFormat="1" applyFont="1" applyFill="1" applyBorder="1" applyAlignment="1">
      <alignment horizontal="justify" vertical="center"/>
    </xf>
    <xf numFmtId="0" fontId="31" fillId="2" borderId="3" xfId="0" applyFont="1" applyFill="1" applyBorder="1" applyAlignment="1">
      <alignment horizontal="center"/>
    </xf>
    <xf numFmtId="0" fontId="19" fillId="2" borderId="3" xfId="0" applyFont="1" applyFill="1" applyBorder="1" applyAlignment="1"/>
    <xf numFmtId="190" fontId="19" fillId="2" borderId="3" xfId="1" applyNumberFormat="1" applyFont="1" applyFill="1" applyBorder="1" applyAlignment="1"/>
    <xf numFmtId="41" fontId="78" fillId="2" borderId="3" xfId="2" applyNumberFormat="1" applyFont="1" applyFill="1" applyBorder="1" applyAlignment="1">
      <alignment horizontal="right"/>
    </xf>
    <xf numFmtId="179" fontId="41" fillId="2" borderId="3" xfId="27" applyNumberFormat="1" applyFont="1" applyFill="1" applyBorder="1" applyAlignment="1">
      <alignment horizontal="justify" wrapText="1"/>
    </xf>
    <xf numFmtId="41" fontId="41" fillId="2" borderId="3" xfId="2" applyNumberFormat="1" applyFont="1" applyFill="1" applyBorder="1" applyAlignment="1">
      <alignment horizontal="right"/>
    </xf>
    <xf numFmtId="0" fontId="42" fillId="2" borderId="3" xfId="62" applyFont="1" applyFill="1" applyBorder="1" applyAlignment="1">
      <alignment horizontal="justify" wrapText="1"/>
    </xf>
    <xf numFmtId="41" fontId="42" fillId="2" borderId="3" xfId="2" applyNumberFormat="1" applyFont="1" applyFill="1" applyBorder="1" applyAlignment="1">
      <alignment horizontal="right"/>
    </xf>
    <xf numFmtId="41" fontId="79" fillId="2" borderId="3" xfId="2" applyNumberFormat="1" applyFont="1" applyFill="1" applyBorder="1" applyAlignment="1">
      <alignment horizontal="right"/>
    </xf>
    <xf numFmtId="0" fontId="39" fillId="2" borderId="0" xfId="0" applyFont="1" applyFill="1" applyAlignment="1"/>
    <xf numFmtId="0" fontId="39" fillId="2" borderId="0" xfId="60" applyFont="1" applyFill="1" applyAlignment="1">
      <alignment horizontal="center"/>
    </xf>
    <xf numFmtId="0" fontId="39" fillId="2" borderId="0" xfId="60" applyFont="1" applyFill="1" applyAlignment="1"/>
    <xf numFmtId="0" fontId="75" fillId="2" borderId="4" xfId="0" applyFont="1" applyFill="1" applyBorder="1" applyAlignment="1">
      <alignment horizontal="center" vertical="center"/>
    </xf>
    <xf numFmtId="0" fontId="39" fillId="2" borderId="0" xfId="0" applyFont="1" applyFill="1" applyAlignment="1">
      <alignment vertical="center"/>
    </xf>
    <xf numFmtId="0" fontId="38" fillId="2" borderId="5" xfId="0" applyFont="1" applyFill="1" applyBorder="1" applyAlignment="1">
      <alignment horizontal="center"/>
    </xf>
    <xf numFmtId="0" fontId="38" fillId="2" borderId="5" xfId="0" applyFont="1" applyFill="1" applyBorder="1" applyAlignment="1">
      <alignment horizontal="left"/>
    </xf>
    <xf numFmtId="0" fontId="38" fillId="2" borderId="5" xfId="0" applyFont="1" applyFill="1" applyBorder="1" applyAlignment="1">
      <alignment horizontal="center" wrapText="1"/>
    </xf>
    <xf numFmtId="190" fontId="38" fillId="2" borderId="5" xfId="0" applyNumberFormat="1" applyFont="1" applyFill="1" applyBorder="1" applyAlignment="1">
      <alignment horizontal="right" wrapText="1"/>
    </xf>
    <xf numFmtId="0" fontId="76" fillId="2" borderId="3" xfId="0" applyFont="1" applyFill="1" applyBorder="1" applyAlignment="1">
      <alignment horizontal="center"/>
    </xf>
    <xf numFmtId="0" fontId="38" fillId="2" borderId="3" xfId="0" applyFont="1" applyFill="1" applyBorder="1" applyAlignment="1">
      <alignment horizontal="left"/>
    </xf>
    <xf numFmtId="0" fontId="38" fillId="2" borderId="3" xfId="0" applyFont="1" applyFill="1" applyBorder="1" applyAlignment="1">
      <alignment horizontal="center" wrapText="1"/>
    </xf>
    <xf numFmtId="190" fontId="38" fillId="2" borderId="3" xfId="0" applyNumberFormat="1" applyFont="1" applyFill="1" applyBorder="1" applyAlignment="1">
      <alignment horizontal="right" wrapText="1"/>
    </xf>
    <xf numFmtId="190" fontId="19" fillId="2" borderId="0" xfId="0" applyNumberFormat="1" applyFont="1" applyFill="1" applyAlignment="1"/>
    <xf numFmtId="0" fontId="39" fillId="2" borderId="3" xfId="0" quotePrefix="1" applyFont="1" applyFill="1" applyBorder="1" applyAlignment="1">
      <alignment horizontal="left" wrapText="1"/>
    </xf>
    <xf numFmtId="0" fontId="75" fillId="2" borderId="3" xfId="0" applyFont="1" applyFill="1" applyBorder="1" applyAlignment="1">
      <alignment horizontal="center" wrapText="1"/>
    </xf>
    <xf numFmtId="190" fontId="39" fillId="2" borderId="3" xfId="1" applyNumberFormat="1" applyFont="1" applyFill="1" applyBorder="1" applyAlignment="1">
      <alignment horizontal="right" wrapText="1"/>
    </xf>
    <xf numFmtId="0" fontId="39" fillId="2" borderId="3" xfId="0" quotePrefix="1" applyFont="1" applyFill="1" applyBorder="1" applyAlignment="1">
      <alignment horizontal="left"/>
    </xf>
    <xf numFmtId="190" fontId="38" fillId="2" borderId="3" xfId="1" applyNumberFormat="1" applyFont="1" applyFill="1" applyBorder="1" applyAlignment="1">
      <alignment horizontal="right" wrapText="1"/>
    </xf>
    <xf numFmtId="0" fontId="39" fillId="2" borderId="3" xfId="0" applyFont="1" applyFill="1" applyBorder="1" applyAlignment="1">
      <alignment horizontal="left"/>
    </xf>
    <xf numFmtId="0" fontId="27" fillId="2" borderId="3" xfId="0" applyFont="1" applyFill="1" applyBorder="1" applyAlignment="1">
      <alignment horizontal="center" wrapText="1"/>
    </xf>
    <xf numFmtId="0" fontId="76" fillId="2" borderId="3" xfId="0" applyFont="1" applyFill="1" applyBorder="1" applyAlignment="1">
      <alignment horizontal="right"/>
    </xf>
    <xf numFmtId="0" fontId="77" fillId="2" borderId="3" xfId="0" applyFont="1" applyFill="1" applyBorder="1" applyAlignment="1">
      <alignment horizontal="right"/>
    </xf>
    <xf numFmtId="0" fontId="39" fillId="2" borderId="3" xfId="0" quotePrefix="1" applyFont="1" applyFill="1" applyBorder="1" applyAlignment="1">
      <alignment horizontal="center"/>
    </xf>
    <xf numFmtId="0" fontId="39" fillId="2" borderId="3" xfId="0" quotePrefix="1" applyFont="1" applyFill="1" applyBorder="1" applyAlignment="1">
      <alignment horizontal="justify" wrapText="1"/>
    </xf>
    <xf numFmtId="0" fontId="39" fillId="2" borderId="3" xfId="0" quotePrefix="1" applyFont="1" applyFill="1" applyBorder="1" applyAlignment="1">
      <alignment wrapText="1"/>
    </xf>
    <xf numFmtId="0" fontId="39" fillId="2" borderId="3" xfId="0" quotePrefix="1" applyFont="1" applyFill="1" applyBorder="1" applyAlignment="1"/>
    <xf numFmtId="0" fontId="38" fillId="2" borderId="3" xfId="0" applyFont="1" applyFill="1" applyBorder="1" applyAlignment="1">
      <alignment horizontal="center"/>
    </xf>
    <xf numFmtId="0" fontId="38" fillId="2" borderId="3" xfId="0" applyFont="1" applyFill="1" applyBorder="1" applyAlignment="1">
      <alignment horizontal="justify" wrapText="1"/>
    </xf>
    <xf numFmtId="190" fontId="38" fillId="2" borderId="3" xfId="1" applyNumberFormat="1" applyFont="1" applyFill="1" applyBorder="1" applyAlignment="1"/>
    <xf numFmtId="0" fontId="39" fillId="2" borderId="3" xfId="0" applyFont="1" applyFill="1" applyBorder="1" applyAlignment="1"/>
    <xf numFmtId="0" fontId="39" fillId="2" borderId="3" xfId="0" applyFont="1" applyFill="1" applyBorder="1" applyAlignment="1">
      <alignment horizontal="center"/>
    </xf>
    <xf numFmtId="0" fontId="38" fillId="2" borderId="3" xfId="0" applyFont="1" applyFill="1" applyBorder="1" applyAlignment="1">
      <alignment horizontal="right" wrapText="1"/>
    </xf>
    <xf numFmtId="190" fontId="39" fillId="2" borderId="0" xfId="0" applyNumberFormat="1" applyFont="1" applyFill="1" applyAlignment="1"/>
    <xf numFmtId="0" fontId="77" fillId="2" borderId="3" xfId="0" applyFont="1" applyFill="1" applyBorder="1" applyAlignment="1">
      <alignment horizontal="center"/>
    </xf>
    <xf numFmtId="0" fontId="38" fillId="2" borderId="3" xfId="0" applyFont="1" applyFill="1" applyBorder="1" applyAlignment="1"/>
    <xf numFmtId="49" fontId="39" fillId="2" borderId="3" xfId="0" applyNumberFormat="1" applyFont="1" applyFill="1" applyBorder="1" applyAlignment="1">
      <alignment horizontal="right"/>
    </xf>
    <xf numFmtId="3" fontId="39" fillId="2" borderId="3" xfId="0" applyNumberFormat="1" applyFont="1" applyFill="1" applyBorder="1" applyAlignment="1"/>
    <xf numFmtId="0" fontId="39" fillId="2" borderId="3" xfId="0" quotePrefix="1" applyNumberFormat="1" applyFont="1" applyFill="1" applyBorder="1" applyAlignment="1">
      <alignment wrapText="1"/>
    </xf>
    <xf numFmtId="190" fontId="39" fillId="2" borderId="3" xfId="1" applyNumberFormat="1" applyFont="1" applyFill="1" applyBorder="1" applyAlignment="1">
      <alignment horizontal="right"/>
    </xf>
    <xf numFmtId="191" fontId="39" fillId="2" borderId="3" xfId="1" applyNumberFormat="1" applyFont="1" applyFill="1" applyBorder="1" applyAlignment="1">
      <alignment horizontal="right" wrapText="1"/>
    </xf>
    <xf numFmtId="3" fontId="39" fillId="2" borderId="3" xfId="1" applyNumberFormat="1" applyFont="1" applyFill="1" applyBorder="1" applyAlignment="1">
      <alignment horizontal="right"/>
    </xf>
    <xf numFmtId="43" fontId="81" fillId="2" borderId="3" xfId="1" applyFont="1" applyFill="1" applyBorder="1" applyAlignment="1">
      <alignment horizontal="right" vertical="center" wrapText="1"/>
    </xf>
    <xf numFmtId="190" fontId="39" fillId="2" borderId="3" xfId="1" applyNumberFormat="1" applyFont="1" applyFill="1" applyBorder="1" applyAlignment="1"/>
    <xf numFmtId="192" fontId="39" fillId="2" borderId="3" xfId="1" applyNumberFormat="1" applyFont="1" applyFill="1" applyBorder="1" applyAlignment="1"/>
    <xf numFmtId="0" fontId="39" fillId="2" borderId="3" xfId="0" applyFont="1" applyFill="1" applyBorder="1" applyAlignment="1">
      <alignment wrapText="1"/>
    </xf>
    <xf numFmtId="0" fontId="19" fillId="2" borderId="3" xfId="0" quotePrefix="1" applyFont="1" applyFill="1" applyBorder="1" applyAlignment="1"/>
    <xf numFmtId="190" fontId="19" fillId="2" borderId="3" xfId="1" applyNumberFormat="1" applyFont="1" applyFill="1" applyBorder="1" applyAlignment="1">
      <alignment horizontal="right" wrapText="1"/>
    </xf>
    <xf numFmtId="0" fontId="38" fillId="2" borderId="3" xfId="0" applyFont="1" applyFill="1" applyBorder="1" applyAlignment="1">
      <alignment wrapText="1"/>
    </xf>
    <xf numFmtId="0" fontId="38" fillId="2" borderId="7" xfId="0" applyFont="1" applyFill="1" applyBorder="1" applyAlignment="1">
      <alignment horizontal="center"/>
    </xf>
    <xf numFmtId="0" fontId="38" fillId="2" borderId="7" xfId="0" applyFont="1" applyFill="1" applyBorder="1" applyAlignment="1">
      <alignment horizontal="left" wrapText="1"/>
    </xf>
    <xf numFmtId="0" fontId="38" fillId="2" borderId="7" xfId="0" applyFont="1" applyFill="1" applyBorder="1" applyAlignment="1"/>
    <xf numFmtId="190" fontId="38" fillId="2" borderId="7" xfId="1" applyNumberFormat="1" applyFont="1" applyFill="1" applyBorder="1" applyAlignment="1">
      <alignment horizontal="right" wrapText="1"/>
    </xf>
    <xf numFmtId="0" fontId="31" fillId="2" borderId="3" xfId="0" applyFont="1" applyFill="1" applyBorder="1" applyAlignment="1">
      <alignment horizontal="right"/>
    </xf>
    <xf numFmtId="0" fontId="82" fillId="2" borderId="4" xfId="0" applyFont="1" applyFill="1" applyBorder="1" applyAlignment="1">
      <alignment horizontal="center" vertical="center" wrapText="1"/>
    </xf>
    <xf numFmtId="0" fontId="39" fillId="2" borderId="3" xfId="0" applyFont="1" applyFill="1" applyBorder="1" applyAlignment="1">
      <alignment horizontal="justify" wrapText="1"/>
    </xf>
    <xf numFmtId="0" fontId="52" fillId="2" borderId="3" xfId="28" applyFont="1" applyFill="1" applyBorder="1" applyAlignment="1">
      <alignment horizontal="center" vertical="center"/>
    </xf>
    <xf numFmtId="0" fontId="52" fillId="2" borderId="3" xfId="28" applyFont="1" applyFill="1" applyBorder="1" applyAlignment="1">
      <alignment horizontal="justify" vertical="center" wrapText="1"/>
    </xf>
    <xf numFmtId="167" fontId="52" fillId="2" borderId="3" xfId="56" applyNumberFormat="1" applyFont="1" applyFill="1" applyBorder="1" applyAlignment="1">
      <alignment horizontal="justify" vertical="center"/>
    </xf>
    <xf numFmtId="41" fontId="52" fillId="2" borderId="3" xfId="2" applyFont="1" applyFill="1" applyBorder="1" applyAlignment="1">
      <alignment horizontal="justify" vertical="center"/>
    </xf>
    <xf numFmtId="166" fontId="52" fillId="2" borderId="3" xfId="56" applyNumberFormat="1" applyFont="1" applyFill="1" applyBorder="1" applyAlignment="1">
      <alignment horizontal="justify" vertical="center"/>
    </xf>
    <xf numFmtId="167" fontId="52" fillId="2" borderId="3" xfId="1" applyNumberFormat="1" applyFont="1" applyFill="1" applyBorder="1" applyAlignment="1">
      <alignment horizontal="right" vertical="center"/>
    </xf>
    <xf numFmtId="167" fontId="52" fillId="2" borderId="3" xfId="56" applyNumberFormat="1" applyFont="1" applyFill="1" applyBorder="1" applyAlignment="1">
      <alignment horizontal="right" vertical="center"/>
    </xf>
    <xf numFmtId="0" fontId="84" fillId="2" borderId="0" xfId="0" applyFont="1" applyFill="1"/>
    <xf numFmtId="0" fontId="49" fillId="2" borderId="3" xfId="28" applyFont="1" applyFill="1" applyBorder="1" applyAlignment="1">
      <alignment horizontal="center" vertical="center"/>
    </xf>
    <xf numFmtId="0" fontId="49" fillId="2" borderId="3" xfId="28" applyFont="1" applyFill="1" applyBorder="1" applyAlignment="1">
      <alignment horizontal="justify" vertical="center"/>
    </xf>
    <xf numFmtId="167" fontId="49" fillId="2" borderId="3" xfId="56" applyNumberFormat="1" applyFont="1" applyFill="1" applyBorder="1" applyAlignment="1">
      <alignment horizontal="justify" vertical="center"/>
    </xf>
    <xf numFmtId="41" fontId="49" fillId="2" borderId="3" xfId="2" applyFont="1" applyFill="1" applyBorder="1" applyAlignment="1">
      <alignment horizontal="justify" vertical="center"/>
    </xf>
    <xf numFmtId="168" fontId="49" fillId="2" borderId="3" xfId="56" applyNumberFormat="1" applyFont="1" applyFill="1" applyBorder="1" applyAlignment="1">
      <alignment horizontal="justify" vertical="center"/>
    </xf>
    <xf numFmtId="167" fontId="49" fillId="2" borderId="3" xfId="1" applyNumberFormat="1" applyFont="1" applyFill="1" applyBorder="1" applyAlignment="1">
      <alignment horizontal="right" vertical="center"/>
    </xf>
    <xf numFmtId="41" fontId="49" fillId="2" borderId="3" xfId="2" applyFont="1" applyFill="1" applyBorder="1" applyAlignment="1">
      <alignment horizontal="right" vertical="center"/>
    </xf>
    <xf numFmtId="0" fontId="49" fillId="2" borderId="3" xfId="28" applyFont="1" applyFill="1" applyBorder="1" applyAlignment="1">
      <alignment horizontal="justify" vertical="center" wrapText="1"/>
    </xf>
    <xf numFmtId="41" fontId="52" fillId="2" borderId="3" xfId="2" applyFont="1" applyFill="1" applyBorder="1" applyAlignment="1">
      <alignment horizontal="right" vertical="center"/>
    </xf>
    <xf numFmtId="43" fontId="49" fillId="2" borderId="3" xfId="56" applyNumberFormat="1" applyFont="1" applyFill="1" applyBorder="1" applyAlignment="1">
      <alignment horizontal="justify" vertical="center"/>
    </xf>
    <xf numFmtId="166" fontId="49" fillId="2" borderId="3" xfId="56" applyNumberFormat="1" applyFont="1" applyFill="1" applyBorder="1" applyAlignment="1">
      <alignment horizontal="justify" vertical="center"/>
    </xf>
    <xf numFmtId="0" fontId="55" fillId="2" borderId="3" xfId="28" applyFont="1" applyFill="1" applyBorder="1" applyAlignment="1">
      <alignment horizontal="center" vertical="center"/>
    </xf>
    <xf numFmtId="0" fontId="55" fillId="2" borderId="3" xfId="28" applyFont="1" applyFill="1" applyBorder="1" applyAlignment="1">
      <alignment horizontal="justify" vertical="center" wrapText="1"/>
    </xf>
    <xf numFmtId="167" fontId="55" fillId="2" borderId="3" xfId="56" applyNumberFormat="1" applyFont="1" applyFill="1" applyBorder="1" applyAlignment="1">
      <alignment horizontal="justify" vertical="center"/>
    </xf>
    <xf numFmtId="41" fontId="55" fillId="2" borderId="3" xfId="2" applyFont="1" applyFill="1" applyBorder="1" applyAlignment="1">
      <alignment horizontal="justify" vertical="center"/>
    </xf>
    <xf numFmtId="167" fontId="55" fillId="2" borderId="3" xfId="1" applyNumberFormat="1" applyFont="1" applyFill="1" applyBorder="1" applyAlignment="1">
      <alignment horizontal="right" vertical="center"/>
    </xf>
    <xf numFmtId="0" fontId="85" fillId="2" borderId="0" xfId="0" applyFont="1" applyFill="1"/>
    <xf numFmtId="167" fontId="84" fillId="2" borderId="0" xfId="1" applyNumberFormat="1" applyFont="1" applyFill="1"/>
    <xf numFmtId="179" fontId="52" fillId="2" borderId="3" xfId="27" applyNumberFormat="1" applyFont="1" applyFill="1" applyBorder="1" applyAlignment="1">
      <alignment horizontal="left" vertical="center" wrapText="1"/>
    </xf>
    <xf numFmtId="0" fontId="49" fillId="4" borderId="3" xfId="0" applyFont="1" applyFill="1" applyBorder="1" applyAlignment="1">
      <alignment horizontal="justify" vertical="center" wrapText="1"/>
    </xf>
    <xf numFmtId="180" fontId="49" fillId="2" borderId="3" xfId="2" applyNumberFormat="1" applyFont="1" applyFill="1" applyBorder="1" applyAlignment="1">
      <alignment horizontal="right" vertical="center"/>
    </xf>
    <xf numFmtId="41" fontId="49" fillId="2" borderId="3" xfId="2" applyNumberFormat="1" applyFont="1" applyFill="1" applyBorder="1" applyAlignment="1">
      <alignment horizontal="right" vertical="center"/>
    </xf>
    <xf numFmtId="167" fontId="84" fillId="2" borderId="0" xfId="0" applyNumberFormat="1" applyFont="1" applyFill="1"/>
    <xf numFmtId="167" fontId="53" fillId="2" borderId="0" xfId="1" applyNumberFormat="1" applyFont="1" applyFill="1"/>
    <xf numFmtId="167" fontId="52" fillId="2" borderId="3" xfId="2" applyNumberFormat="1" applyFont="1" applyFill="1" applyBorder="1" applyAlignment="1">
      <alignment horizontal="justify" vertical="center"/>
    </xf>
    <xf numFmtId="0" fontId="90" fillId="0" borderId="18" xfId="0" applyNumberFormat="1" applyFont="1" applyFill="1" applyBorder="1" applyAlignment="1">
      <alignment horizontal="center" vertical="center" wrapText="1" shrinkToFit="1"/>
    </xf>
    <xf numFmtId="0" fontId="90" fillId="0" borderId="21" xfId="0" applyNumberFormat="1" applyFont="1" applyFill="1" applyBorder="1" applyAlignment="1">
      <alignment horizontal="center" vertical="center" wrapText="1" shrinkToFit="1"/>
    </xf>
    <xf numFmtId="0" fontId="91" fillId="0" borderId="21" xfId="0" applyNumberFormat="1" applyFont="1" applyFill="1" applyBorder="1" applyAlignment="1">
      <alignment horizontal="center" vertical="center" wrapText="1" shrinkToFit="1"/>
    </xf>
    <xf numFmtId="0" fontId="92" fillId="0" borderId="0" xfId="0" applyFont="1"/>
    <xf numFmtId="49" fontId="87" fillId="0" borderId="21" xfId="0" applyNumberFormat="1" applyFont="1" applyFill="1" applyBorder="1" applyAlignment="1">
      <alignment horizontal="center" vertical="center" wrapText="1" shrinkToFit="1"/>
    </xf>
    <xf numFmtId="3" fontId="87" fillId="0" borderId="21" xfId="0" applyNumberFormat="1" applyFont="1" applyFill="1" applyBorder="1" applyAlignment="1">
      <alignment horizontal="center" vertical="center" wrapText="1" shrinkToFit="1"/>
    </xf>
    <xf numFmtId="4" fontId="87" fillId="0" borderId="21" xfId="0" applyNumberFormat="1" applyFont="1" applyFill="1" applyBorder="1" applyAlignment="1">
      <alignment horizontal="right" vertical="center" wrapText="1" shrinkToFit="1"/>
    </xf>
    <xf numFmtId="49" fontId="87" fillId="0" borderId="21" xfId="0" applyNumberFormat="1" applyFont="1" applyFill="1" applyBorder="1" applyAlignment="1">
      <alignment horizontal="left" vertical="center" wrapText="1" shrinkToFit="1"/>
    </xf>
    <xf numFmtId="0" fontId="87"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center" vertical="center" wrapText="1" shrinkToFit="1"/>
    </xf>
    <xf numFmtId="49" fontId="93" fillId="0" borderId="21" xfId="0" applyNumberFormat="1" applyFont="1" applyFill="1" applyBorder="1" applyAlignment="1">
      <alignment horizontal="left" vertical="center" wrapText="1" shrinkToFit="1"/>
    </xf>
    <xf numFmtId="3" fontId="93" fillId="0" borderId="21" xfId="0" applyNumberFormat="1" applyFont="1" applyFill="1" applyBorder="1" applyAlignment="1">
      <alignment horizontal="center" vertical="center" wrapText="1" shrinkToFit="1"/>
    </xf>
    <xf numFmtId="4" fontId="93" fillId="0" borderId="21" xfId="0" applyNumberFormat="1" applyFont="1" applyFill="1" applyBorder="1" applyAlignment="1">
      <alignment horizontal="right" vertical="center" wrapText="1" shrinkToFit="1"/>
    </xf>
    <xf numFmtId="49" fontId="94" fillId="0" borderId="21" xfId="0" applyNumberFormat="1" applyFont="1" applyFill="1" applyBorder="1" applyAlignment="1">
      <alignment horizontal="center" vertical="center" wrapText="1" shrinkToFit="1"/>
    </xf>
    <xf numFmtId="49" fontId="94" fillId="0" borderId="21" xfId="0" applyNumberFormat="1" applyFont="1" applyFill="1" applyBorder="1" applyAlignment="1">
      <alignment horizontal="left" vertical="center" wrapText="1" shrinkToFit="1"/>
    </xf>
    <xf numFmtId="3" fontId="94" fillId="0" borderId="21" xfId="0" applyNumberFormat="1" applyFont="1" applyFill="1" applyBorder="1" applyAlignment="1">
      <alignment horizontal="center" vertical="center" wrapText="1" shrinkToFit="1"/>
    </xf>
    <xf numFmtId="4" fontId="94" fillId="0" borderId="21" xfId="0" applyNumberFormat="1" applyFont="1" applyFill="1" applyBorder="1" applyAlignment="1">
      <alignment horizontal="right" vertical="center" wrapText="1" shrinkToFit="1"/>
    </xf>
    <xf numFmtId="49" fontId="95" fillId="0" borderId="21" xfId="0" applyNumberFormat="1" applyFont="1" applyFill="1" applyBorder="1" applyAlignment="1">
      <alignment horizontal="center" vertical="center" wrapText="1" shrinkToFit="1"/>
    </xf>
    <xf numFmtId="49" fontId="95" fillId="0" borderId="21" xfId="0" applyNumberFormat="1" applyFont="1" applyFill="1" applyBorder="1" applyAlignment="1">
      <alignment horizontal="left" vertical="center" wrapText="1" shrinkToFit="1"/>
    </xf>
    <xf numFmtId="3" fontId="95" fillId="0" borderId="21" xfId="0" applyNumberFormat="1" applyFont="1" applyFill="1" applyBorder="1" applyAlignment="1">
      <alignment horizontal="center" vertical="center" wrapText="1" shrinkToFit="1"/>
    </xf>
    <xf numFmtId="4" fontId="95" fillId="0" borderId="21" xfId="0" applyNumberFormat="1" applyFont="1" applyFill="1" applyBorder="1" applyAlignment="1">
      <alignment horizontal="right" vertical="center" wrapText="1" shrinkToFit="1"/>
    </xf>
    <xf numFmtId="49" fontId="91" fillId="0" borderId="21" xfId="0" applyNumberFormat="1" applyFont="1" applyFill="1" applyBorder="1" applyAlignment="1">
      <alignment horizontal="center" vertical="center" wrapText="1" shrinkToFit="1"/>
    </xf>
    <xf numFmtId="49" fontId="91" fillId="0" borderId="21" xfId="0" applyNumberFormat="1" applyFont="1" applyFill="1" applyBorder="1" applyAlignment="1">
      <alignment horizontal="left" vertical="center" wrapText="1" shrinkToFit="1"/>
    </xf>
    <xf numFmtId="3" fontId="91" fillId="0" borderId="21" xfId="0" applyNumberFormat="1" applyFont="1" applyFill="1" applyBorder="1" applyAlignment="1">
      <alignment horizontal="center" vertical="center" wrapText="1" shrinkToFit="1"/>
    </xf>
    <xf numFmtId="4" fontId="91" fillId="0" borderId="21" xfId="0" applyNumberFormat="1" applyFont="1" applyFill="1" applyBorder="1" applyAlignment="1">
      <alignment horizontal="right" vertical="center" wrapText="1" shrinkToFit="1"/>
    </xf>
    <xf numFmtId="49" fontId="98" fillId="0" borderId="0" xfId="0" applyNumberFormat="1" applyFont="1" applyFill="1" applyBorder="1" applyAlignment="1">
      <alignment horizontal="left" vertical="top" wrapText="1" shrinkToFit="1"/>
    </xf>
    <xf numFmtId="0" fontId="49" fillId="2" borderId="3" xfId="0" applyFont="1" applyFill="1" applyBorder="1" applyAlignment="1">
      <alignment horizontal="justify" vertical="center" wrapText="1"/>
    </xf>
    <xf numFmtId="0" fontId="36" fillId="2" borderId="3" xfId="0" applyFont="1" applyFill="1" applyBorder="1" applyAlignment="1">
      <alignment horizontal="center" vertical="center" wrapText="1"/>
    </xf>
    <xf numFmtId="0" fontId="36" fillId="2" borderId="3" xfId="0" applyFont="1" applyFill="1" applyBorder="1" applyAlignment="1">
      <alignment horizontal="left" vertical="center" wrapText="1"/>
    </xf>
    <xf numFmtId="0" fontId="34" fillId="2" borderId="3" xfId="0" applyFont="1" applyFill="1" applyBorder="1" applyAlignment="1">
      <alignment horizontal="center" vertical="center" wrapText="1"/>
    </xf>
    <xf numFmtId="0" fontId="22" fillId="2" borderId="3" xfId="0" applyFont="1" applyFill="1" applyBorder="1" applyAlignment="1">
      <alignment horizontal="left" vertical="center" wrapText="1"/>
    </xf>
    <xf numFmtId="0" fontId="22" fillId="2" borderId="3" xfId="0" applyFont="1" applyFill="1" applyBorder="1"/>
    <xf numFmtId="0" fontId="34" fillId="2" borderId="3" xfId="0" applyFont="1" applyFill="1" applyBorder="1" applyAlignment="1">
      <alignment horizontal="left" vertical="center" wrapText="1"/>
    </xf>
    <xf numFmtId="0" fontId="52" fillId="2" borderId="4" xfId="0" applyFont="1" applyFill="1" applyBorder="1" applyAlignment="1">
      <alignment horizontal="center" vertical="center"/>
    </xf>
    <xf numFmtId="0" fontId="52" fillId="2" borderId="4" xfId="0" applyNumberFormat="1" applyFont="1" applyFill="1" applyBorder="1" applyAlignment="1">
      <alignment horizontal="center" vertical="center" wrapText="1"/>
    </xf>
    <xf numFmtId="167" fontId="52" fillId="2" borderId="4" xfId="1" applyNumberFormat="1" applyFont="1" applyFill="1" applyBorder="1" applyAlignment="1">
      <alignment horizontal="right" vertical="center"/>
    </xf>
    <xf numFmtId="0" fontId="49" fillId="2" borderId="0" xfId="0" applyFont="1" applyFill="1" applyAlignment="1">
      <alignment vertical="center"/>
    </xf>
    <xf numFmtId="0" fontId="81" fillId="2" borderId="3" xfId="0" applyFont="1" applyFill="1" applyBorder="1" applyAlignment="1">
      <alignment horizontal="justify" vertical="center" wrapText="1"/>
    </xf>
    <xf numFmtId="0" fontId="102" fillId="2" borderId="3" xfId="0" applyFont="1" applyFill="1" applyBorder="1" applyAlignment="1">
      <alignment horizontal="center" vertical="center" wrapText="1"/>
    </xf>
    <xf numFmtId="0" fontId="102" fillId="2" borderId="3" xfId="0" applyFont="1" applyFill="1" applyBorder="1" applyAlignment="1">
      <alignment horizontal="justify" vertical="center" wrapText="1"/>
    </xf>
    <xf numFmtId="183" fontId="102" fillId="2" borderId="3" xfId="6" applyNumberFormat="1" applyFont="1" applyFill="1" applyBorder="1" applyAlignment="1">
      <alignment horizontal="right" vertical="center" wrapText="1"/>
    </xf>
    <xf numFmtId="167" fontId="102" fillId="2" borderId="3" xfId="6" applyNumberFormat="1" applyFont="1" applyFill="1" applyBorder="1" applyAlignment="1">
      <alignment horizontal="right" vertical="center" wrapText="1"/>
    </xf>
    <xf numFmtId="181" fontId="81" fillId="2" borderId="3" xfId="0" applyNumberFormat="1" applyFont="1" applyFill="1" applyBorder="1" applyAlignment="1">
      <alignment vertical="center"/>
    </xf>
    <xf numFmtId="167" fontId="102" fillId="2" borderId="3" xfId="1" applyNumberFormat="1" applyFont="1" applyFill="1" applyBorder="1"/>
    <xf numFmtId="0" fontId="81" fillId="2" borderId="0" xfId="0" applyFont="1" applyFill="1"/>
    <xf numFmtId="167" fontId="81" fillId="2" borderId="0" xfId="1" applyNumberFormat="1" applyFont="1" applyFill="1"/>
    <xf numFmtId="183" fontId="81" fillId="2" borderId="3" xfId="6" applyNumberFormat="1" applyFont="1" applyFill="1" applyBorder="1" applyAlignment="1">
      <alignment horizontal="right" vertical="center" wrapText="1"/>
    </xf>
    <xf numFmtId="167" fontId="81" fillId="2" borderId="3" xfId="6" applyNumberFormat="1" applyFont="1" applyFill="1" applyBorder="1" applyAlignment="1">
      <alignment horizontal="right" vertical="center" wrapText="1"/>
    </xf>
    <xf numFmtId="167" fontId="81" fillId="2" borderId="3" xfId="1" applyNumberFormat="1" applyFont="1" applyFill="1" applyBorder="1"/>
    <xf numFmtId="0" fontId="102" fillId="2" borderId="0" xfId="0" applyFont="1" applyFill="1"/>
    <xf numFmtId="167" fontId="102" fillId="2" borderId="0" xfId="1" applyNumberFormat="1" applyFont="1" applyFill="1"/>
    <xf numFmtId="181" fontId="81" fillId="2" borderId="3" xfId="0" applyNumberFormat="1" applyFont="1" applyFill="1" applyBorder="1" applyAlignment="1">
      <alignment horizontal="center" vertical="center" wrapText="1"/>
    </xf>
    <xf numFmtId="0" fontId="49" fillId="2" borderId="3" xfId="0" applyFont="1" applyFill="1" applyBorder="1" applyAlignment="1">
      <alignment horizontal="center" vertical="center" wrapText="1"/>
    </xf>
    <xf numFmtId="167" fontId="49" fillId="2" borderId="3" xfId="1" applyNumberFormat="1" applyFont="1" applyFill="1" applyBorder="1" applyAlignment="1">
      <alignment horizontal="right" vertical="center" wrapText="1"/>
    </xf>
    <xf numFmtId="0" fontId="49" fillId="2" borderId="0" xfId="0" applyFont="1" applyFill="1"/>
    <xf numFmtId="0" fontId="55" fillId="2" borderId="3" xfId="0" applyFont="1" applyFill="1" applyBorder="1" applyAlignment="1">
      <alignment horizontal="center" vertical="center" wrapText="1"/>
    </xf>
    <xf numFmtId="0" fontId="55" fillId="2" borderId="3" xfId="0" applyFont="1" applyFill="1" applyBorder="1" applyAlignment="1">
      <alignment horizontal="justify" vertical="center" wrapText="1"/>
    </xf>
    <xf numFmtId="167" fontId="55" fillId="2" borderId="3" xfId="1" applyNumberFormat="1" applyFont="1" applyFill="1" applyBorder="1" applyAlignment="1">
      <alignment horizontal="right" vertical="center" wrapText="1"/>
    </xf>
    <xf numFmtId="183" fontId="55" fillId="2" borderId="3" xfId="56" applyNumberFormat="1" applyFont="1" applyFill="1" applyBorder="1" applyAlignment="1">
      <alignment horizontal="justify" vertical="center" wrapText="1"/>
    </xf>
    <xf numFmtId="167" fontId="55" fillId="2" borderId="3" xfId="56" applyNumberFormat="1" applyFont="1" applyFill="1" applyBorder="1" applyAlignment="1">
      <alignment horizontal="right" vertical="center"/>
    </xf>
    <xf numFmtId="0" fontId="55" fillId="2" borderId="0" xfId="0" applyFont="1" applyFill="1"/>
    <xf numFmtId="183" fontId="55" fillId="2" borderId="3" xfId="56" applyNumberFormat="1" applyFont="1" applyFill="1" applyBorder="1" applyAlignment="1">
      <alignment horizontal="right" vertical="center" wrapText="1"/>
    </xf>
    <xf numFmtId="183" fontId="49" fillId="2" borderId="3" xfId="56" applyNumberFormat="1" applyFont="1" applyFill="1" applyBorder="1" applyAlignment="1">
      <alignment horizontal="justify" vertical="center" wrapText="1"/>
    </xf>
    <xf numFmtId="183" fontId="49" fillId="2" borderId="3" xfId="56" applyNumberFormat="1" applyFont="1" applyFill="1" applyBorder="1" applyAlignment="1">
      <alignment horizontal="right" vertical="center" wrapText="1"/>
    </xf>
    <xf numFmtId="167" fontId="81" fillId="2" borderId="3" xfId="1" applyNumberFormat="1" applyFont="1" applyFill="1" applyBorder="1" applyAlignment="1">
      <alignment horizontal="center" vertical="center" wrapText="1"/>
    </xf>
    <xf numFmtId="0" fontId="52" fillId="0" borderId="0" xfId="0" applyFont="1" applyAlignment="1">
      <alignment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xf>
    <xf numFmtId="0" fontId="52" fillId="0" borderId="4" xfId="0" applyFont="1" applyBorder="1" applyAlignment="1">
      <alignment vertical="center" wrapText="1"/>
    </xf>
    <xf numFmtId="3" fontId="52" fillId="0" borderId="4" xfId="0" applyNumberFormat="1" applyFont="1" applyBorder="1" applyAlignment="1">
      <alignment vertical="center"/>
    </xf>
    <xf numFmtId="3" fontId="49" fillId="0" borderId="0" xfId="0" applyNumberFormat="1" applyFont="1" applyAlignment="1">
      <alignment vertical="center"/>
    </xf>
    <xf numFmtId="0" fontId="52" fillId="0" borderId="12" xfId="0" applyFont="1" applyBorder="1" applyAlignment="1">
      <alignment vertical="center" wrapText="1"/>
    </xf>
    <xf numFmtId="3" fontId="52" fillId="0" borderId="12" xfId="0" applyNumberFormat="1" applyFont="1" applyBorder="1" applyAlignment="1">
      <alignment vertical="center"/>
    </xf>
    <xf numFmtId="0" fontId="49" fillId="0" borderId="3" xfId="0" applyFont="1" applyBorder="1" applyAlignment="1">
      <alignment horizontal="justify" vertical="center" wrapText="1"/>
    </xf>
    <xf numFmtId="3" fontId="49" fillId="0" borderId="3" xfId="1" applyNumberFormat="1" applyFont="1" applyFill="1" applyBorder="1" applyAlignment="1">
      <alignment horizontal="right" vertical="center"/>
    </xf>
    <xf numFmtId="0" fontId="49" fillId="2" borderId="3" xfId="19" applyFont="1" applyFill="1" applyBorder="1" applyAlignment="1">
      <alignment horizontal="justify" vertical="center" wrapText="1"/>
    </xf>
    <xf numFmtId="3" fontId="49" fillId="2" borderId="3" xfId="0" applyNumberFormat="1" applyFont="1" applyFill="1" applyBorder="1" applyAlignment="1">
      <alignment horizontal="right" vertical="center"/>
    </xf>
    <xf numFmtId="3" fontId="49" fillId="0" borderId="3" xfId="0" applyNumberFormat="1" applyFont="1" applyBorder="1" applyAlignment="1">
      <alignment vertical="center"/>
    </xf>
    <xf numFmtId="0" fontId="52" fillId="0" borderId="4" xfId="0" applyFont="1" applyBorder="1" applyAlignment="1">
      <alignment horizontal="left" vertical="center" wrapText="1"/>
    </xf>
    <xf numFmtId="0" fontId="49" fillId="0" borderId="4" xfId="0" applyFont="1" applyBorder="1" applyAlignment="1">
      <alignment horizontal="justify" vertical="center" wrapText="1"/>
    </xf>
    <xf numFmtId="3" fontId="52" fillId="0" borderId="4" xfId="0" applyNumberFormat="1" applyFont="1" applyBorder="1" applyAlignment="1">
      <alignment vertical="center" wrapText="1"/>
    </xf>
    <xf numFmtId="3" fontId="49" fillId="0" borderId="3" xfId="1" applyNumberFormat="1" applyFont="1" applyFill="1" applyBorder="1" applyAlignment="1">
      <alignment vertical="center"/>
    </xf>
    <xf numFmtId="3" fontId="49" fillId="0" borderId="3" xfId="0" applyNumberFormat="1" applyFont="1" applyBorder="1" applyAlignment="1">
      <alignment vertical="center" wrapText="1"/>
    </xf>
    <xf numFmtId="0" fontId="83" fillId="0" borderId="4" xfId="0" applyFont="1" applyBorder="1" applyAlignment="1">
      <alignment horizontal="center" vertical="center"/>
    </xf>
    <xf numFmtId="0" fontId="83" fillId="0" borderId="4" xfId="0" applyFont="1" applyBorder="1" applyAlignment="1">
      <alignment horizontal="justify" vertical="center" wrapText="1"/>
    </xf>
    <xf numFmtId="0" fontId="47" fillId="0" borderId="0" xfId="0" applyFont="1" applyAlignment="1">
      <alignment vertical="center"/>
    </xf>
    <xf numFmtId="0" fontId="47" fillId="0" borderId="3" xfId="0" applyFont="1" applyBorder="1" applyAlignment="1">
      <alignment horizontal="justify" vertical="center" wrapText="1"/>
    </xf>
    <xf numFmtId="3" fontId="47" fillId="0" borderId="3" xfId="1" applyNumberFormat="1" applyFont="1" applyFill="1" applyBorder="1" applyAlignment="1">
      <alignment vertical="center"/>
    </xf>
    <xf numFmtId="0" fontId="52" fillId="0" borderId="4" xfId="0" applyFont="1" applyBorder="1" applyAlignment="1">
      <alignment horizontal="justify" vertical="center" wrapText="1"/>
    </xf>
    <xf numFmtId="0" fontId="83" fillId="0" borderId="4" xfId="0" applyFont="1" applyBorder="1" applyAlignment="1">
      <alignment vertical="center" wrapText="1"/>
    </xf>
    <xf numFmtId="3" fontId="83" fillId="0" borderId="4" xfId="0" applyNumberFormat="1" applyFont="1" applyBorder="1" applyAlignment="1">
      <alignment vertical="center"/>
    </xf>
    <xf numFmtId="0" fontId="47" fillId="0" borderId="12" xfId="0" applyFont="1" applyBorder="1" applyAlignment="1">
      <alignment horizontal="justify" vertical="center" wrapText="1"/>
    </xf>
    <xf numFmtId="3" fontId="47" fillId="0" borderId="3" xfId="0" applyNumberFormat="1" applyFont="1" applyBorder="1" applyAlignment="1">
      <alignment vertical="center"/>
    </xf>
    <xf numFmtId="3" fontId="49" fillId="0" borderId="12" xfId="0" applyNumberFormat="1" applyFont="1" applyBorder="1" applyAlignment="1">
      <alignment vertical="center"/>
    </xf>
    <xf numFmtId="0" fontId="49" fillId="0" borderId="12" xfId="0" applyFont="1" applyBorder="1" applyAlignment="1">
      <alignment horizontal="justify" vertical="center" wrapText="1"/>
    </xf>
    <xf numFmtId="0" fontId="47" fillId="0" borderId="4" xfId="0" applyFont="1" applyBorder="1" applyAlignment="1">
      <alignment horizontal="justify" vertical="center" wrapText="1"/>
    </xf>
    <xf numFmtId="0" fontId="49" fillId="0" borderId="4" xfId="0" applyFont="1" applyBorder="1" applyAlignment="1">
      <alignment horizontal="left" vertical="center" wrapText="1"/>
    </xf>
    <xf numFmtId="3" fontId="49" fillId="0" borderId="4" xfId="0" applyNumberFormat="1" applyFont="1" applyBorder="1" applyAlignment="1">
      <alignment horizontal="right" vertical="center"/>
    </xf>
    <xf numFmtId="3" fontId="52" fillId="0" borderId="4" xfId="0" applyNumberFormat="1" applyFont="1" applyBorder="1" applyAlignment="1">
      <alignment horizontal="right" vertical="center"/>
    </xf>
    <xf numFmtId="167" fontId="49" fillId="0" borderId="0" xfId="1" applyNumberFormat="1" applyFont="1" applyAlignment="1">
      <alignment vertical="center"/>
    </xf>
    <xf numFmtId="0" fontId="49" fillId="0" borderId="3" xfId="0" quotePrefix="1" applyFont="1" applyBorder="1" applyAlignment="1">
      <alignment vertical="center" wrapText="1"/>
    </xf>
    <xf numFmtId="0" fontId="49" fillId="0" borderId="3" xfId="0" quotePrefix="1" applyFont="1" applyBorder="1" applyAlignment="1">
      <alignment horizontal="left" vertical="center" wrapText="1"/>
    </xf>
    <xf numFmtId="0" fontId="52" fillId="2" borderId="12" xfId="0" applyFont="1" applyFill="1" applyBorder="1" applyAlignment="1">
      <alignment vertical="center"/>
    </xf>
    <xf numFmtId="0" fontId="49" fillId="0" borderId="3" xfId="63" applyFont="1" applyFill="1" applyBorder="1" applyAlignment="1">
      <alignment horizontal="left" vertical="top" wrapText="1"/>
    </xf>
    <xf numFmtId="3" fontId="49" fillId="2" borderId="3" xfId="0" applyNumberFormat="1" applyFont="1" applyFill="1" applyBorder="1" applyAlignment="1">
      <alignment vertical="center"/>
    </xf>
    <xf numFmtId="0" fontId="49" fillId="0" borderId="3" xfId="63" applyFont="1" applyFill="1" applyBorder="1" applyAlignment="1">
      <alignment vertical="top"/>
    </xf>
    <xf numFmtId="3" fontId="49" fillId="2" borderId="3" xfId="0" applyNumberFormat="1" applyFont="1" applyFill="1" applyBorder="1" applyAlignment="1">
      <alignment vertical="center" wrapText="1"/>
    </xf>
    <xf numFmtId="0" fontId="47" fillId="0" borderId="6" xfId="0" applyFont="1" applyBorder="1" applyAlignment="1">
      <alignment horizontal="justify" vertical="center" wrapText="1"/>
    </xf>
    <xf numFmtId="3" fontId="47" fillId="0" borderId="6" xfId="0" applyNumberFormat="1" applyFont="1" applyBorder="1" applyAlignment="1">
      <alignment vertical="center"/>
    </xf>
    <xf numFmtId="3" fontId="47" fillId="0" borderId="6" xfId="1" applyNumberFormat="1" applyFont="1" applyFill="1" applyBorder="1" applyAlignment="1">
      <alignment vertical="center"/>
    </xf>
    <xf numFmtId="0" fontId="83" fillId="0" borderId="8" xfId="0" applyFont="1" applyBorder="1" applyAlignment="1">
      <alignment horizontal="center" vertical="center"/>
    </xf>
    <xf numFmtId="0" fontId="83" fillId="0" borderId="8" xfId="0" applyFont="1" applyBorder="1" applyAlignment="1">
      <alignment horizontal="center" vertical="center" wrapText="1"/>
    </xf>
    <xf numFmtId="0" fontId="49" fillId="2" borderId="4" xfId="0" applyFont="1" applyFill="1" applyBorder="1" applyAlignment="1">
      <alignment horizontal="justify" vertical="center"/>
    </xf>
    <xf numFmtId="3" fontId="52" fillId="2" borderId="4" xfId="0" applyNumberFormat="1" applyFont="1" applyFill="1" applyBorder="1" applyAlignment="1">
      <alignment vertical="center" wrapText="1"/>
    </xf>
    <xf numFmtId="0" fontId="52" fillId="0" borderId="3" xfId="0" applyFont="1" applyBorder="1" applyAlignment="1">
      <alignment vertical="center" wrapText="1"/>
    </xf>
    <xf numFmtId="3" fontId="52" fillId="0" borderId="3" xfId="0" applyNumberFormat="1" applyFont="1" applyBorder="1" applyAlignment="1">
      <alignment vertical="center"/>
    </xf>
    <xf numFmtId="3" fontId="52" fillId="2" borderId="7" xfId="0" applyNumberFormat="1" applyFont="1" applyFill="1" applyBorder="1" applyAlignment="1">
      <alignment vertical="center" wrapText="1"/>
    </xf>
    <xf numFmtId="3" fontId="49" fillId="0" borderId="12" xfId="0" applyNumberFormat="1" applyFont="1" applyBorder="1" applyAlignment="1">
      <alignment vertical="center" wrapText="1"/>
    </xf>
    <xf numFmtId="3" fontId="47" fillId="0" borderId="12" xfId="1" applyNumberFormat="1" applyFont="1" applyFill="1" applyBorder="1" applyAlignment="1">
      <alignment vertical="center"/>
    </xf>
    <xf numFmtId="3" fontId="49" fillId="0" borderId="12" xfId="1" applyNumberFormat="1" applyFont="1" applyFill="1" applyBorder="1" applyAlignment="1">
      <alignment vertical="center"/>
    </xf>
    <xf numFmtId="0" fontId="49" fillId="2" borderId="3" xfId="0" applyFont="1" applyFill="1" applyBorder="1" applyAlignment="1">
      <alignment vertical="center"/>
    </xf>
    <xf numFmtId="167" fontId="49" fillId="2" borderId="3" xfId="1" applyNumberFormat="1" applyFont="1" applyFill="1" applyBorder="1" applyAlignment="1">
      <alignment vertical="center"/>
    </xf>
    <xf numFmtId="0" fontId="83" fillId="0" borderId="12" xfId="0" applyFont="1" applyBorder="1" applyAlignment="1">
      <alignment vertical="center" wrapText="1"/>
    </xf>
    <xf numFmtId="167" fontId="52" fillId="2" borderId="4" xfId="1" applyNumberFormat="1" applyFont="1" applyFill="1" applyBorder="1" applyAlignment="1">
      <alignment vertical="center"/>
    </xf>
    <xf numFmtId="0" fontId="52" fillId="0" borderId="10" xfId="0" applyFont="1" applyBorder="1" applyAlignment="1">
      <alignment vertical="center" wrapText="1"/>
    </xf>
    <xf numFmtId="3" fontId="49" fillId="0" borderId="4" xfId="1" applyNumberFormat="1" applyFont="1" applyFill="1" applyBorder="1" applyAlignment="1">
      <alignment vertical="center"/>
    </xf>
    <xf numFmtId="0" fontId="49" fillId="2" borderId="3" xfId="0" applyFont="1" applyFill="1" applyBorder="1" applyAlignment="1">
      <alignment horizontal="center" vertical="center"/>
    </xf>
    <xf numFmtId="41" fontId="84" fillId="2" borderId="0" xfId="0" applyNumberFormat="1" applyFont="1" applyFill="1"/>
    <xf numFmtId="0" fontId="83" fillId="0" borderId="12" xfId="0" applyFont="1" applyBorder="1" applyAlignment="1">
      <alignment horizontal="justify" vertical="center" wrapText="1"/>
    </xf>
    <xf numFmtId="3" fontId="83" fillId="0" borderId="12" xfId="0" applyNumberFormat="1" applyFont="1" applyBorder="1" applyAlignment="1">
      <alignment vertical="center"/>
    </xf>
    <xf numFmtId="0" fontId="52" fillId="0" borderId="3" xfId="0" applyFont="1" applyBorder="1" applyAlignment="1">
      <alignment horizontal="justify" vertical="center" wrapText="1"/>
    </xf>
    <xf numFmtId="0" fontId="52" fillId="2" borderId="0" xfId="0" applyFont="1" applyFill="1" applyAlignment="1">
      <alignment vertical="center"/>
    </xf>
    <xf numFmtId="167" fontId="49" fillId="2" borderId="3" xfId="25" applyNumberFormat="1" applyFont="1" applyFill="1" applyBorder="1" applyAlignment="1">
      <alignment horizontal="justify" vertical="center"/>
    </xf>
    <xf numFmtId="3" fontId="49" fillId="2" borderId="3" xfId="0" applyNumberFormat="1" applyFont="1" applyFill="1" applyBorder="1" applyAlignment="1">
      <alignment horizontal="justify" vertical="center"/>
    </xf>
    <xf numFmtId="3" fontId="49" fillId="2" borderId="3" xfId="0" applyNumberFormat="1" applyFont="1" applyFill="1" applyBorder="1" applyAlignment="1">
      <alignment horizontal="justify" vertical="center" wrapText="1"/>
    </xf>
    <xf numFmtId="167" fontId="49" fillId="2" borderId="3" xfId="0" applyNumberFormat="1" applyFont="1" applyFill="1" applyBorder="1" applyAlignment="1">
      <alignment vertical="center"/>
    </xf>
    <xf numFmtId="0" fontId="49" fillId="2" borderId="3" xfId="55" applyFont="1" applyFill="1" applyBorder="1" applyAlignment="1">
      <alignment horizontal="justify" vertical="center" wrapText="1"/>
    </xf>
    <xf numFmtId="0" fontId="52" fillId="2" borderId="3" xfId="0" applyFont="1" applyFill="1" applyBorder="1" applyAlignment="1">
      <alignment horizontal="justify" vertical="center"/>
    </xf>
    <xf numFmtId="0" fontId="81" fillId="2" borderId="3" xfId="0" applyFont="1" applyFill="1" applyBorder="1" applyAlignment="1">
      <alignment horizontal="center" vertical="center" wrapText="1"/>
    </xf>
    <xf numFmtId="0" fontId="102" fillId="2" borderId="5" xfId="0" applyFont="1" applyFill="1" applyBorder="1" applyAlignment="1">
      <alignment horizontal="center" vertical="center" wrapText="1"/>
    </xf>
    <xf numFmtId="0" fontId="102" fillId="2" borderId="5" xfId="0" applyFont="1" applyFill="1" applyBorder="1" applyAlignment="1">
      <alignment horizontal="left" vertical="center" wrapText="1"/>
    </xf>
    <xf numFmtId="167" fontId="102" fillId="2" borderId="5" xfId="56" applyNumberFormat="1" applyFont="1" applyFill="1" applyBorder="1" applyAlignment="1">
      <alignment horizontal="right" vertical="center" wrapText="1"/>
    </xf>
    <xf numFmtId="183" fontId="81" fillId="2" borderId="5" xfId="0" applyNumberFormat="1" applyFont="1" applyFill="1" applyBorder="1" applyAlignment="1">
      <alignment vertical="center"/>
    </xf>
    <xf numFmtId="167" fontId="102" fillId="2" borderId="5" xfId="1" applyNumberFormat="1" applyFont="1" applyFill="1" applyBorder="1"/>
    <xf numFmtId="183" fontId="102" fillId="2" borderId="3" xfId="56" applyNumberFormat="1" applyFont="1" applyFill="1" applyBorder="1" applyAlignment="1">
      <alignment horizontal="right" vertical="center" wrapText="1"/>
    </xf>
    <xf numFmtId="183" fontId="52" fillId="2" borderId="3" xfId="56" applyNumberFormat="1" applyFont="1" applyFill="1" applyBorder="1" applyAlignment="1">
      <alignment horizontal="right" vertical="center" wrapText="1"/>
    </xf>
    <xf numFmtId="167" fontId="52" fillId="2" borderId="3" xfId="1" applyNumberFormat="1" applyFont="1" applyFill="1" applyBorder="1" applyAlignment="1">
      <alignment horizontal="right" vertical="center" wrapText="1"/>
    </xf>
    <xf numFmtId="167" fontId="52" fillId="2" borderId="3" xfId="1" applyNumberFormat="1" applyFont="1" applyFill="1" applyBorder="1"/>
    <xf numFmtId="0" fontId="52" fillId="2" borderId="0" xfId="0" applyFont="1" applyFill="1"/>
    <xf numFmtId="167" fontId="52" fillId="2" borderId="0" xfId="1" applyNumberFormat="1" applyFont="1" applyFill="1"/>
    <xf numFmtId="183" fontId="81" fillId="2" borderId="3" xfId="56" applyNumberFormat="1" applyFont="1" applyFill="1" applyBorder="1" applyAlignment="1">
      <alignment horizontal="right" vertical="center" wrapText="1"/>
    </xf>
    <xf numFmtId="167" fontId="102" fillId="2" borderId="3" xfId="1" applyNumberFormat="1" applyFont="1" applyFill="1" applyBorder="1" applyAlignment="1">
      <alignment horizontal="right" vertical="center" wrapText="1"/>
    </xf>
    <xf numFmtId="167" fontId="81" fillId="2" borderId="3" xfId="0" applyNumberFormat="1" applyFont="1" applyFill="1" applyBorder="1" applyAlignment="1">
      <alignment vertical="center"/>
    </xf>
    <xf numFmtId="0" fontId="53" fillId="2" borderId="3" xfId="0" applyFont="1" applyFill="1" applyBorder="1" applyAlignment="1">
      <alignment horizontal="center" vertical="center" wrapText="1"/>
    </xf>
    <xf numFmtId="0" fontId="102" fillId="2" borderId="4" xfId="0" applyFont="1" applyFill="1" applyBorder="1" applyAlignment="1">
      <alignment horizontal="center" vertical="center" wrapText="1"/>
    </xf>
    <xf numFmtId="183" fontId="102" fillId="2" borderId="4" xfId="56" applyNumberFormat="1" applyFont="1" applyFill="1" applyBorder="1" applyAlignment="1">
      <alignment horizontal="right" vertical="center" wrapText="1"/>
    </xf>
    <xf numFmtId="183" fontId="81" fillId="2" borderId="4" xfId="6" applyNumberFormat="1" applyFont="1" applyFill="1" applyBorder="1" applyAlignment="1">
      <alignment horizontal="center" vertical="center" wrapText="1"/>
    </xf>
    <xf numFmtId="167" fontId="102" fillId="2" borderId="4" xfId="1" applyNumberFormat="1" applyFont="1" applyFill="1" applyBorder="1"/>
    <xf numFmtId="3" fontId="52" fillId="2" borderId="3" xfId="0" applyNumberFormat="1" applyFont="1" applyFill="1" applyBorder="1" applyAlignment="1">
      <alignment horizontal="justify" vertical="center" wrapText="1"/>
    </xf>
    <xf numFmtId="0" fontId="52" fillId="2" borderId="3" xfId="0" applyFont="1" applyFill="1" applyBorder="1" applyAlignment="1">
      <alignment horizontal="center" vertical="center"/>
    </xf>
    <xf numFmtId="3" fontId="104" fillId="2" borderId="4" xfId="54" applyNumberFormat="1" applyFont="1" applyFill="1" applyBorder="1" applyAlignment="1">
      <alignment horizontal="left" vertical="center" wrapText="1"/>
    </xf>
    <xf numFmtId="3" fontId="49" fillId="2" borderId="3" xfId="54" applyNumberFormat="1" applyFont="1" applyFill="1" applyBorder="1" applyAlignment="1">
      <alignment vertical="center" wrapText="1"/>
    </xf>
    <xf numFmtId="3" fontId="104" fillId="2" borderId="4" xfId="54" applyNumberFormat="1" applyFont="1" applyFill="1" applyBorder="1" applyAlignment="1">
      <alignment horizontal="center" vertical="center" wrapText="1"/>
    </xf>
    <xf numFmtId="3" fontId="52" fillId="2" borderId="3" xfId="54" applyNumberFormat="1" applyFont="1" applyFill="1" applyBorder="1" applyAlignment="1">
      <alignment vertical="center" wrapText="1"/>
    </xf>
    <xf numFmtId="0" fontId="52" fillId="2" borderId="3" xfId="0" applyFont="1" applyFill="1" applyBorder="1" applyAlignment="1">
      <alignment horizontal="center" vertical="center" wrapText="1"/>
    </xf>
    <xf numFmtId="167" fontId="49" fillId="2" borderId="3" xfId="56" applyNumberFormat="1" applyFont="1" applyFill="1" applyBorder="1" applyAlignment="1">
      <alignment horizontal="right" vertical="center"/>
    </xf>
    <xf numFmtId="0" fontId="55" fillId="2" borderId="3" xfId="28" applyFont="1" applyFill="1" applyBorder="1" applyAlignment="1">
      <alignment horizontal="justify" vertical="center"/>
    </xf>
    <xf numFmtId="43" fontId="49" fillId="2" borderId="3" xfId="1" applyFont="1" applyFill="1" applyBorder="1" applyAlignment="1">
      <alignment horizontal="right" vertical="center" wrapText="1"/>
    </xf>
    <xf numFmtId="167" fontId="55" fillId="2" borderId="3" xfId="2" applyNumberFormat="1" applyFont="1" applyFill="1" applyBorder="1" applyAlignment="1">
      <alignment horizontal="right" vertical="center"/>
    </xf>
    <xf numFmtId="41" fontId="55" fillId="2" borderId="3" xfId="2" applyFont="1" applyFill="1" applyBorder="1" applyAlignment="1">
      <alignment horizontal="right" vertical="center"/>
    </xf>
    <xf numFmtId="183" fontId="81" fillId="2" borderId="3" xfId="0" applyNumberFormat="1" applyFont="1" applyFill="1" applyBorder="1" applyAlignment="1">
      <alignment vertical="center"/>
    </xf>
    <xf numFmtId="183" fontId="81" fillId="2" borderId="0" xfId="0" applyNumberFormat="1" applyFont="1" applyFill="1"/>
    <xf numFmtId="167" fontId="102" fillId="2" borderId="0" xfId="0" applyNumberFormat="1" applyFont="1" applyFill="1"/>
    <xf numFmtId="183" fontId="102" fillId="2" borderId="0" xfId="0" applyNumberFormat="1" applyFont="1" applyFill="1"/>
    <xf numFmtId="0" fontId="52" fillId="2" borderId="3" xfId="0" applyFont="1" applyFill="1" applyBorder="1" applyAlignment="1">
      <alignment horizontal="justify" vertical="center" wrapText="1"/>
    </xf>
    <xf numFmtId="167" fontId="52" fillId="2" borderId="3" xfId="1" applyNumberFormat="1" applyFont="1" applyFill="1" applyBorder="1" applyAlignment="1">
      <alignment vertical="center"/>
    </xf>
    <xf numFmtId="43" fontId="49" fillId="2" borderId="3" xfId="1" applyNumberFormat="1" applyFont="1" applyFill="1" applyBorder="1" applyAlignment="1">
      <alignment vertical="center"/>
    </xf>
    <xf numFmtId="41" fontId="49" fillId="2" borderId="3" xfId="2" applyFont="1" applyFill="1" applyBorder="1" applyAlignment="1">
      <alignment vertical="center"/>
    </xf>
    <xf numFmtId="41" fontId="52" fillId="2" borderId="3" xfId="2" applyFont="1" applyFill="1" applyBorder="1" applyAlignment="1">
      <alignment vertical="center"/>
    </xf>
    <xf numFmtId="41" fontId="49" fillId="2" borderId="3" xfId="2" applyFont="1" applyFill="1" applyBorder="1" applyAlignment="1">
      <alignment horizontal="center" vertical="center"/>
    </xf>
    <xf numFmtId="41" fontId="55" fillId="2" borderId="3" xfId="2" applyNumberFormat="1" applyFont="1" applyFill="1" applyBorder="1" applyAlignment="1">
      <alignment vertical="center"/>
    </xf>
    <xf numFmtId="41" fontId="55" fillId="2" borderId="3" xfId="2" applyFont="1" applyFill="1" applyBorder="1" applyAlignment="1">
      <alignment vertical="center"/>
    </xf>
    <xf numFmtId="0" fontId="49" fillId="2" borderId="3" xfId="0" applyNumberFormat="1" applyFont="1" applyFill="1" applyBorder="1" applyAlignment="1">
      <alignment vertical="center"/>
    </xf>
    <xf numFmtId="0" fontId="34" fillId="2" borderId="3" xfId="0" applyNumberFormat="1" applyFont="1" applyFill="1" applyBorder="1" applyAlignment="1">
      <alignment vertical="center"/>
    </xf>
    <xf numFmtId="0" fontId="55" fillId="2" borderId="3" xfId="0" applyFont="1" applyFill="1" applyBorder="1" applyAlignment="1">
      <alignment horizontal="center" vertical="center"/>
    </xf>
    <xf numFmtId="0" fontId="55" fillId="2" borderId="3" xfId="0" applyNumberFormat="1" applyFont="1" applyFill="1" applyBorder="1" applyAlignment="1">
      <alignment vertical="center"/>
    </xf>
    <xf numFmtId="0" fontId="49" fillId="2" borderId="3" xfId="0" applyFont="1" applyFill="1" applyBorder="1" applyAlignment="1">
      <alignment horizontal="justify" vertical="center"/>
    </xf>
    <xf numFmtId="0" fontId="49" fillId="2" borderId="8" xfId="0" applyFont="1" applyFill="1" applyBorder="1" applyAlignment="1">
      <alignment horizontal="center" vertical="center" wrapText="1"/>
    </xf>
    <xf numFmtId="0" fontId="49" fillId="2" borderId="8" xfId="0" applyFont="1" applyFill="1" applyBorder="1" applyAlignment="1">
      <alignment horizontal="left" vertical="center" wrapText="1"/>
    </xf>
    <xf numFmtId="167" fontId="49" fillId="2" borderId="8" xfId="56" applyNumberFormat="1" applyFont="1" applyFill="1" applyBorder="1" applyAlignment="1">
      <alignment horizontal="right" vertical="center" wrapText="1"/>
    </xf>
    <xf numFmtId="183" fontId="49" fillId="2" borderId="8" xfId="0" applyNumberFormat="1" applyFont="1" applyFill="1" applyBorder="1" applyAlignment="1">
      <alignment vertical="center"/>
    </xf>
    <xf numFmtId="167" fontId="49" fillId="2" borderId="8" xfId="1" applyNumberFormat="1" applyFont="1" applyFill="1" applyBorder="1"/>
    <xf numFmtId="167" fontId="49" fillId="2" borderId="0" xfId="1" applyNumberFormat="1" applyFont="1" applyFill="1"/>
    <xf numFmtId="167" fontId="49" fillId="2" borderId="3" xfId="1" applyNumberFormat="1" applyFont="1" applyFill="1" applyBorder="1"/>
    <xf numFmtId="43" fontId="52" fillId="2" borderId="3" xfId="1" applyNumberFormat="1" applyFont="1" applyFill="1" applyBorder="1" applyAlignment="1">
      <alignment vertical="center"/>
    </xf>
    <xf numFmtId="0" fontId="39" fillId="2" borderId="0" xfId="0" applyFont="1" applyFill="1" applyAlignment="1">
      <alignment horizontal="center" vertical="center" wrapText="1"/>
    </xf>
    <xf numFmtId="184" fontId="39" fillId="2" borderId="0" xfId="56" applyNumberFormat="1" applyFont="1" applyFill="1" applyAlignment="1">
      <alignment horizontal="center" vertical="center" wrapText="1"/>
    </xf>
    <xf numFmtId="167" fontId="39" fillId="2" borderId="0" xfId="1" applyNumberFormat="1" applyFont="1" applyFill="1" applyAlignment="1">
      <alignment horizontal="center" vertical="center" wrapText="1"/>
    </xf>
    <xf numFmtId="0" fontId="42" fillId="2" borderId="4" xfId="0" applyFont="1" applyFill="1" applyBorder="1" applyAlignment="1">
      <alignment horizontal="center" vertical="center" wrapText="1"/>
    </xf>
    <xf numFmtId="183" fontId="42" fillId="2" borderId="4" xfId="56" applyNumberFormat="1" applyFont="1" applyFill="1" applyBorder="1" applyAlignment="1">
      <alignment horizontal="center" vertical="center" wrapText="1"/>
    </xf>
    <xf numFmtId="167" fontId="42" fillId="2" borderId="4" xfId="1" applyNumberFormat="1" applyFont="1" applyFill="1" applyBorder="1" applyAlignment="1">
      <alignment horizontal="center" vertical="center" wrapText="1"/>
    </xf>
    <xf numFmtId="167" fontId="38" fillId="2" borderId="0" xfId="1" applyNumberFormat="1" applyFont="1" applyFill="1" applyAlignment="1">
      <alignment horizontal="center" vertical="center" wrapText="1"/>
    </xf>
    <xf numFmtId="0" fontId="73" fillId="2" borderId="4" xfId="0" applyFont="1" applyFill="1" applyBorder="1" applyAlignment="1">
      <alignment horizontal="center" vertical="center" wrapText="1"/>
    </xf>
    <xf numFmtId="0" fontId="73" fillId="2" borderId="4" xfId="56" applyNumberFormat="1" applyFont="1" applyFill="1" applyBorder="1" applyAlignment="1">
      <alignment horizontal="center" vertical="center" wrapText="1"/>
    </xf>
    <xf numFmtId="0" fontId="73" fillId="2" borderId="4" xfId="1" applyNumberFormat="1" applyFont="1" applyFill="1" applyBorder="1" applyAlignment="1">
      <alignment horizontal="center" vertical="center" wrapText="1"/>
    </xf>
    <xf numFmtId="167" fontId="42" fillId="2" borderId="4" xfId="56" applyNumberFormat="1" applyFont="1" applyFill="1" applyBorder="1" applyAlignment="1">
      <alignment horizontal="center" vertical="center" wrapText="1"/>
    </xf>
    <xf numFmtId="185" fontId="41" fillId="2" borderId="4" xfId="0" applyNumberFormat="1" applyFont="1" applyFill="1" applyBorder="1" applyAlignment="1">
      <alignment horizontal="center" vertical="center" wrapText="1"/>
    </xf>
    <xf numFmtId="167" fontId="41" fillId="2" borderId="0" xfId="1" applyNumberFormat="1" applyFont="1" applyFill="1" applyAlignment="1">
      <alignment horizontal="center" vertical="center" wrapText="1"/>
    </xf>
    <xf numFmtId="0" fontId="41" fillId="2" borderId="0" xfId="0" applyFont="1" applyFill="1" applyAlignment="1">
      <alignment horizontal="center" vertical="center" wrapText="1"/>
    </xf>
    <xf numFmtId="0" fontId="42" fillId="2" borderId="3" xfId="0" applyFont="1" applyFill="1" applyBorder="1" applyAlignment="1">
      <alignment horizontal="center" vertical="center" wrapText="1"/>
    </xf>
    <xf numFmtId="0" fontId="42" fillId="2" borderId="3" xfId="0" applyFont="1" applyFill="1" applyBorder="1" applyAlignment="1">
      <alignment horizontal="left" vertical="center" wrapText="1"/>
    </xf>
    <xf numFmtId="183" fontId="42" fillId="2" borderId="3" xfId="56" applyNumberFormat="1" applyFont="1" applyFill="1" applyBorder="1" applyAlignment="1">
      <alignment horizontal="center" vertical="center" wrapText="1"/>
    </xf>
    <xf numFmtId="167" fontId="42" fillId="2" borderId="3" xfId="1" applyNumberFormat="1" applyFont="1" applyFill="1" applyBorder="1" applyAlignment="1">
      <alignment horizontal="center" vertical="center" wrapText="1"/>
    </xf>
    <xf numFmtId="181" fontId="41" fillId="2" borderId="3" xfId="0" applyNumberFormat="1" applyFont="1" applyFill="1" applyBorder="1" applyAlignment="1">
      <alignment horizontal="center" vertical="center" wrapText="1"/>
    </xf>
    <xf numFmtId="167" fontId="42" fillId="2" borderId="0" xfId="1" applyNumberFormat="1" applyFont="1" applyFill="1" applyAlignment="1">
      <alignment horizontal="center" vertical="center" wrapText="1"/>
    </xf>
    <xf numFmtId="0" fontId="42" fillId="2" borderId="0" xfId="0" applyFont="1" applyFill="1" applyAlignment="1">
      <alignment horizontal="center" vertical="center" wrapText="1"/>
    </xf>
    <xf numFmtId="0" fontId="37" fillId="2" borderId="3" xfId="0" applyFont="1" applyFill="1" applyBorder="1" applyAlignment="1">
      <alignment horizontal="center" vertical="center" wrapText="1"/>
    </xf>
    <xf numFmtId="43" fontId="32" fillId="2" borderId="3" xfId="1" applyFont="1" applyFill="1" applyBorder="1" applyAlignment="1">
      <alignment horizontal="left" vertical="center" wrapText="1"/>
    </xf>
    <xf numFmtId="0" fontId="41" fillId="2" borderId="3" xfId="0" quotePrefix="1" applyFont="1" applyFill="1" applyBorder="1" applyAlignment="1">
      <alignment horizontal="center" vertical="center" wrapText="1"/>
    </xf>
    <xf numFmtId="167" fontId="41" fillId="2" borderId="3" xfId="1" applyNumberFormat="1" applyFont="1" applyFill="1" applyBorder="1" applyAlignment="1">
      <alignment horizontal="center" vertical="center" wrapText="1"/>
    </xf>
    <xf numFmtId="0" fontId="41" fillId="2" borderId="3" xfId="0" applyFont="1" applyFill="1" applyBorder="1" applyAlignment="1">
      <alignment horizontal="center" vertical="center" wrapText="1"/>
    </xf>
    <xf numFmtId="167" fontId="72" fillId="2" borderId="3" xfId="1" applyNumberFormat="1" applyFont="1" applyFill="1" applyBorder="1" applyAlignment="1">
      <alignment horizontal="center" vertical="center" wrapText="1"/>
    </xf>
    <xf numFmtId="0" fontId="56" fillId="2" borderId="3" xfId="55" applyFont="1" applyFill="1" applyBorder="1" applyAlignment="1">
      <alignment horizontal="center" vertical="center" wrapText="1"/>
    </xf>
    <xf numFmtId="0" fontId="56" fillId="2" borderId="3" xfId="55" applyFont="1" applyFill="1" applyBorder="1" applyAlignment="1">
      <alignment horizontal="left" vertical="center" wrapText="1"/>
    </xf>
    <xf numFmtId="167" fontId="56" fillId="2" borderId="3" xfId="1" applyNumberFormat="1" applyFont="1" applyFill="1" applyBorder="1" applyAlignment="1">
      <alignment horizontal="center" vertical="center" wrapText="1"/>
    </xf>
    <xf numFmtId="0" fontId="41" fillId="2" borderId="3" xfId="55" applyFont="1" applyFill="1" applyBorder="1" applyAlignment="1">
      <alignment horizontal="left" vertical="center" wrapText="1"/>
    </xf>
    <xf numFmtId="0" fontId="72" fillId="2" borderId="3" xfId="55" applyFont="1" applyFill="1" applyBorder="1" applyAlignment="1">
      <alignment horizontal="left" vertical="center" wrapText="1"/>
    </xf>
    <xf numFmtId="0" fontId="42" fillId="2" borderId="3" xfId="55" applyFont="1" applyFill="1" applyBorder="1" applyAlignment="1">
      <alignment horizontal="center" vertical="center" wrapText="1"/>
    </xf>
    <xf numFmtId="0" fontId="22" fillId="2" borderId="3" xfId="55" applyFont="1" applyFill="1" applyBorder="1" applyAlignment="1">
      <alignment horizontal="left" vertical="center" wrapText="1"/>
    </xf>
    <xf numFmtId="167" fontId="22" fillId="2" borderId="0" xfId="1" applyNumberFormat="1" applyFont="1" applyFill="1" applyAlignment="1">
      <alignment horizontal="center" vertical="center" wrapText="1"/>
    </xf>
    <xf numFmtId="0" fontId="22" fillId="2" borderId="0" xfId="0" applyFont="1" applyFill="1" applyAlignment="1">
      <alignment horizontal="center" vertical="center" wrapText="1"/>
    </xf>
    <xf numFmtId="3" fontId="32" fillId="2" borderId="3" xfId="0" applyNumberFormat="1" applyFont="1" applyFill="1" applyBorder="1" applyAlignment="1">
      <alignment horizontal="left" vertical="center" wrapText="1"/>
    </xf>
    <xf numFmtId="0" fontId="56" fillId="2" borderId="3" xfId="0" applyFont="1" applyFill="1" applyBorder="1" applyAlignment="1">
      <alignment horizontal="center" vertical="center" wrapText="1"/>
    </xf>
    <xf numFmtId="0" fontId="100" fillId="2" borderId="3" xfId="61" applyFont="1" applyFill="1" applyBorder="1" applyAlignment="1">
      <alignment horizontal="left" vertical="center" wrapText="1"/>
    </xf>
    <xf numFmtId="0" fontId="73" fillId="2" borderId="3" xfId="0" applyFont="1" applyFill="1" applyBorder="1" applyAlignment="1">
      <alignment horizontal="center" vertical="center" wrapText="1"/>
    </xf>
    <xf numFmtId="167" fontId="73" fillId="2" borderId="3" xfId="1" applyNumberFormat="1" applyFont="1" applyFill="1" applyBorder="1" applyAlignment="1">
      <alignment horizontal="center" vertical="center" wrapText="1"/>
    </xf>
    <xf numFmtId="0" fontId="73" fillId="2" borderId="0" xfId="0" applyFont="1" applyFill="1" applyAlignment="1">
      <alignment horizontal="center" vertical="center" wrapText="1"/>
    </xf>
    <xf numFmtId="0" fontId="32" fillId="2" borderId="0" xfId="0" applyFont="1" applyFill="1" applyAlignment="1">
      <alignment horizontal="center" vertical="center" wrapText="1"/>
    </xf>
    <xf numFmtId="184" fontId="73" fillId="2" borderId="7" xfId="56" applyNumberFormat="1" applyFont="1" applyFill="1" applyBorder="1" applyAlignment="1">
      <alignment horizontal="center" vertical="center" wrapText="1"/>
    </xf>
    <xf numFmtId="167" fontId="73" fillId="2" borderId="7" xfId="1" applyNumberFormat="1" applyFont="1" applyFill="1" applyBorder="1" applyAlignment="1">
      <alignment horizontal="center" vertical="center" wrapText="1"/>
    </xf>
    <xf numFmtId="167" fontId="73" fillId="2" borderId="0" xfId="1" applyNumberFormat="1" applyFont="1" applyFill="1" applyAlignment="1">
      <alignment horizontal="center" vertical="center" wrapText="1"/>
    </xf>
    <xf numFmtId="0" fontId="49" fillId="0" borderId="7" xfId="0" applyFont="1" applyBorder="1" applyAlignment="1">
      <alignment horizontal="left" vertical="center" wrapText="1"/>
    </xf>
    <xf numFmtId="3" fontId="81" fillId="2" borderId="3" xfId="54" applyNumberFormat="1" applyFont="1" applyFill="1" applyBorder="1" applyAlignment="1">
      <alignment vertical="center" wrapText="1"/>
    </xf>
    <xf numFmtId="183" fontId="52" fillId="2" borderId="3" xfId="56" applyNumberFormat="1" applyFont="1" applyFill="1" applyBorder="1" applyAlignment="1">
      <alignment horizontal="justify" vertical="center" wrapText="1"/>
    </xf>
    <xf numFmtId="0" fontId="36"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79" fontId="34" fillId="2" borderId="3" xfId="26" applyNumberFormat="1" applyFont="1" applyFill="1" applyBorder="1" applyAlignment="1">
      <alignment horizontal="left" vertical="center" wrapText="1"/>
    </xf>
    <xf numFmtId="3" fontId="34" fillId="2" borderId="3" xfId="0" applyNumberFormat="1" applyFont="1" applyFill="1" applyBorder="1" applyAlignment="1">
      <alignment horizontal="left" vertical="center" wrapText="1"/>
    </xf>
    <xf numFmtId="167" fontId="34" fillId="2" borderId="3" xfId="1" applyNumberFormat="1" applyFont="1" applyFill="1" applyBorder="1" applyAlignment="1">
      <alignment horizontal="center" vertical="center" wrapText="1"/>
    </xf>
    <xf numFmtId="3" fontId="34" fillId="2" borderId="3" xfId="0" applyNumberFormat="1" applyFont="1" applyFill="1" applyBorder="1" applyAlignment="1">
      <alignment horizontal="justify" vertical="center" wrapText="1"/>
    </xf>
    <xf numFmtId="3" fontId="34" fillId="2" borderId="7" xfId="0" applyNumberFormat="1" applyFont="1" applyFill="1" applyBorder="1" applyAlignment="1">
      <alignment horizontal="justify" vertical="center" wrapText="1"/>
    </xf>
    <xf numFmtId="0" fontId="102" fillId="2" borderId="3" xfId="0" applyFont="1" applyFill="1" applyBorder="1" applyAlignment="1">
      <alignment horizontal="right" vertical="center" wrapText="1"/>
    </xf>
    <xf numFmtId="167" fontId="102" fillId="2" borderId="3" xfId="1" applyNumberFormat="1" applyFont="1" applyFill="1" applyBorder="1" applyAlignment="1">
      <alignment horizontal="center"/>
    </xf>
    <xf numFmtId="167" fontId="81" fillId="2" borderId="3" xfId="1" applyNumberFormat="1" applyFont="1" applyFill="1" applyBorder="1" applyAlignment="1">
      <alignment horizontal="center"/>
    </xf>
    <xf numFmtId="167" fontId="81" fillId="2" borderId="3" xfId="1" applyNumberFormat="1" applyFont="1" applyFill="1" applyBorder="1" applyAlignment="1">
      <alignment horizontal="right" vertical="center" wrapText="1"/>
    </xf>
    <xf numFmtId="0" fontId="52" fillId="2" borderId="3" xfId="55" applyFont="1" applyFill="1" applyBorder="1" applyAlignment="1">
      <alignment horizontal="justify" vertical="center" wrapText="1"/>
    </xf>
    <xf numFmtId="183" fontId="49" fillId="2" borderId="3" xfId="6" applyNumberFormat="1" applyFont="1" applyFill="1" applyBorder="1" applyAlignment="1">
      <alignment horizontal="right" vertical="center" wrapText="1"/>
    </xf>
    <xf numFmtId="181" fontId="49" fillId="2" borderId="8" xfId="0" applyNumberFormat="1" applyFont="1" applyFill="1" applyBorder="1" applyAlignment="1">
      <alignment horizontal="center" vertical="center" wrapText="1"/>
    </xf>
    <xf numFmtId="167" fontId="49" fillId="2" borderId="3" xfId="1" applyNumberFormat="1" applyFont="1" applyFill="1" applyBorder="1" applyAlignment="1">
      <alignment horizontal="center"/>
    </xf>
    <xf numFmtId="183" fontId="52" fillId="2" borderId="3" xfId="6" applyNumberFormat="1" applyFont="1" applyFill="1" applyBorder="1" applyAlignment="1">
      <alignment horizontal="right" vertical="center" wrapText="1"/>
    </xf>
    <xf numFmtId="167" fontId="52" fillId="2" borderId="3" xfId="6" applyNumberFormat="1" applyFont="1" applyFill="1" applyBorder="1" applyAlignment="1">
      <alignment horizontal="right" vertical="center" wrapText="1"/>
    </xf>
    <xf numFmtId="181" fontId="49" fillId="2" borderId="3" xfId="0" applyNumberFormat="1" applyFont="1" applyFill="1" applyBorder="1" applyAlignment="1">
      <alignment horizontal="center" vertical="center" wrapText="1"/>
    </xf>
    <xf numFmtId="167" fontId="52" fillId="2" borderId="3" xfId="1" applyNumberFormat="1" applyFont="1" applyFill="1" applyBorder="1" applyAlignment="1">
      <alignment horizontal="center"/>
    </xf>
    <xf numFmtId="181" fontId="52" fillId="2" borderId="3" xfId="0" applyNumberFormat="1" applyFont="1" applyFill="1" applyBorder="1" applyAlignment="1">
      <alignment vertical="center" wrapText="1"/>
    </xf>
    <xf numFmtId="184" fontId="49" fillId="2" borderId="3" xfId="6" applyNumberFormat="1" applyFont="1" applyFill="1" applyBorder="1" applyAlignment="1">
      <alignment horizontal="right" vertical="center" wrapText="1"/>
    </xf>
    <xf numFmtId="184" fontId="52" fillId="2" borderId="3" xfId="6" applyNumberFormat="1" applyFont="1" applyFill="1" applyBorder="1" applyAlignment="1">
      <alignment horizontal="right" vertical="center" wrapText="1"/>
    </xf>
    <xf numFmtId="0" fontId="79" fillId="2" borderId="0" xfId="0" applyFont="1" applyFill="1" applyAlignment="1">
      <alignment horizontal="center"/>
    </xf>
    <xf numFmtId="0" fontId="79" fillId="2" borderId="0" xfId="0" applyFont="1" applyFill="1"/>
    <xf numFmtId="184" fontId="79" fillId="2" borderId="0" xfId="6" applyNumberFormat="1" applyFont="1" applyFill="1" applyAlignment="1">
      <alignment horizontal="right"/>
    </xf>
    <xf numFmtId="167" fontId="79" fillId="2" borderId="0" xfId="6" applyNumberFormat="1" applyFont="1" applyFill="1" applyAlignment="1">
      <alignment horizontal="right" wrapText="1"/>
    </xf>
    <xf numFmtId="167" fontId="79" fillId="2" borderId="0" xfId="1" applyNumberFormat="1" applyFont="1" applyFill="1"/>
    <xf numFmtId="0" fontId="105" fillId="2" borderId="0" xfId="0" applyFont="1" applyFill="1"/>
    <xf numFmtId="167" fontId="105" fillId="2" borderId="0" xfId="1" applyNumberFormat="1" applyFont="1" applyFill="1"/>
    <xf numFmtId="183" fontId="102" fillId="2" borderId="4" xfId="6" applyNumberFormat="1" applyFont="1" applyFill="1" applyBorder="1" applyAlignment="1">
      <alignment horizontal="right" vertical="center" wrapText="1"/>
    </xf>
    <xf numFmtId="0" fontId="81" fillId="2" borderId="0" xfId="0" applyFont="1" applyFill="1" applyAlignment="1">
      <alignment horizontal="center"/>
    </xf>
    <xf numFmtId="184" fontId="81" fillId="2" borderId="0" xfId="6" applyNumberFormat="1" applyFont="1" applyFill="1" applyAlignment="1">
      <alignment horizontal="right"/>
    </xf>
    <xf numFmtId="167" fontId="81" fillId="2" borderId="0" xfId="6" applyNumberFormat="1" applyFont="1" applyFill="1" applyAlignment="1">
      <alignment horizontal="right" wrapText="1"/>
    </xf>
    <xf numFmtId="41" fontId="49" fillId="2" borderId="3" xfId="2" applyNumberFormat="1" applyFont="1" applyFill="1" applyBorder="1" applyAlignment="1">
      <alignment vertical="center"/>
    </xf>
    <xf numFmtId="43" fontId="55" fillId="2" borderId="3" xfId="1" applyNumberFormat="1" applyFont="1" applyFill="1" applyBorder="1" applyAlignment="1">
      <alignment vertical="center"/>
    </xf>
    <xf numFmtId="0" fontId="52" fillId="2" borderId="6" xfId="0" applyFont="1" applyFill="1" applyBorder="1" applyAlignment="1">
      <alignment horizontal="justify" vertical="center" wrapText="1"/>
    </xf>
    <xf numFmtId="0" fontId="55" fillId="2" borderId="3" xfId="55" applyFont="1" applyFill="1" applyBorder="1" applyAlignment="1">
      <alignment horizontal="justify" vertical="center" wrapText="1"/>
    </xf>
    <xf numFmtId="167" fontId="52" fillId="2" borderId="3" xfId="1" applyNumberFormat="1" applyFont="1" applyFill="1" applyBorder="1" applyAlignment="1">
      <alignment horizontal="right" wrapText="1"/>
    </xf>
    <xf numFmtId="167" fontId="52" fillId="2" borderId="0" xfId="1" applyNumberFormat="1" applyFont="1" applyFill="1" applyBorder="1" applyAlignment="1">
      <alignment horizontal="right" wrapText="1"/>
    </xf>
    <xf numFmtId="167" fontId="49" fillId="2" borderId="3" xfId="1" applyNumberFormat="1" applyFont="1" applyFill="1" applyBorder="1" applyAlignment="1">
      <alignment horizontal="right" wrapText="1"/>
    </xf>
    <xf numFmtId="167" fontId="49" fillId="2" borderId="0" xfId="1" applyNumberFormat="1" applyFont="1" applyFill="1" applyBorder="1" applyAlignment="1">
      <alignment horizontal="right" wrapText="1"/>
    </xf>
    <xf numFmtId="167" fontId="52" fillId="2" borderId="3" xfId="28" applyNumberFormat="1" applyFont="1" applyFill="1" applyBorder="1" applyAlignment="1">
      <alignment horizontal="justify" vertical="center"/>
    </xf>
    <xf numFmtId="0" fontId="52" fillId="2" borderId="8" xfId="28" applyFont="1" applyFill="1" applyBorder="1" applyAlignment="1">
      <alignment horizontal="center" vertical="center"/>
    </xf>
    <xf numFmtId="0" fontId="52" fillId="2" borderId="8" xfId="28" applyFont="1" applyFill="1" applyBorder="1" applyAlignment="1">
      <alignment horizontal="justify" vertical="center" wrapText="1"/>
    </xf>
    <xf numFmtId="167" fontId="52" fillId="2" borderId="8" xfId="28" applyNumberFormat="1" applyFont="1" applyFill="1" applyBorder="1" applyAlignment="1">
      <alignment horizontal="justify" vertical="center"/>
    </xf>
    <xf numFmtId="41" fontId="52" fillId="2" borderId="8" xfId="2" applyFont="1" applyFill="1" applyBorder="1" applyAlignment="1">
      <alignment horizontal="justify" vertical="center"/>
    </xf>
    <xf numFmtId="166" fontId="52" fillId="2" borderId="8" xfId="56" applyNumberFormat="1" applyFont="1" applyFill="1" applyBorder="1" applyAlignment="1">
      <alignment horizontal="justify" vertical="center"/>
    </xf>
    <xf numFmtId="167" fontId="52" fillId="2" borderId="8" xfId="1" applyNumberFormat="1" applyFont="1" applyFill="1" applyBorder="1" applyAlignment="1">
      <alignment horizontal="right" vertical="center"/>
    </xf>
    <xf numFmtId="167" fontId="52" fillId="2" borderId="8" xfId="56" applyNumberFormat="1" applyFont="1" applyFill="1" applyBorder="1" applyAlignment="1">
      <alignment horizontal="right" vertical="center"/>
    </xf>
    <xf numFmtId="167" fontId="49" fillId="2" borderId="3" xfId="28" applyNumberFormat="1" applyFont="1" applyFill="1" applyBorder="1" applyAlignment="1">
      <alignment horizontal="justify" vertical="center"/>
    </xf>
    <xf numFmtId="0" fontId="52" fillId="2" borderId="3" xfId="28" applyFont="1" applyFill="1" applyBorder="1" applyAlignment="1">
      <alignment horizontal="left" vertical="center" wrapText="1"/>
    </xf>
    <xf numFmtId="41" fontId="52" fillId="2" borderId="3" xfId="2" applyNumberFormat="1" applyFont="1" applyFill="1" applyBorder="1" applyAlignment="1">
      <alignment horizontal="justify" vertical="center"/>
    </xf>
    <xf numFmtId="164" fontId="49" fillId="2" borderId="3" xfId="2" applyNumberFormat="1" applyFont="1" applyFill="1" applyBorder="1" applyAlignment="1">
      <alignment horizontal="right" vertical="center"/>
    </xf>
    <xf numFmtId="164" fontId="49" fillId="2" borderId="3" xfId="2" applyNumberFormat="1" applyFont="1" applyFill="1" applyBorder="1" applyAlignment="1">
      <alignment vertical="center"/>
    </xf>
    <xf numFmtId="167" fontId="53" fillId="2" borderId="0" xfId="0" applyNumberFormat="1" applyFont="1" applyFill="1"/>
    <xf numFmtId="164" fontId="49" fillId="2" borderId="3" xfId="2" applyNumberFormat="1" applyFont="1" applyFill="1" applyBorder="1" applyAlignment="1">
      <alignment horizontal="justify" vertical="center"/>
    </xf>
    <xf numFmtId="41" fontId="53" fillId="2" borderId="0" xfId="0" applyNumberFormat="1" applyFont="1" applyFill="1"/>
    <xf numFmtId="179" fontId="49" fillId="2" borderId="3" xfId="27" applyNumberFormat="1" applyFont="1" applyFill="1" applyBorder="1" applyAlignment="1">
      <alignment horizontal="left" vertical="center" wrapText="1"/>
    </xf>
    <xf numFmtId="183" fontId="49" fillId="2" borderId="3" xfId="5" applyNumberFormat="1" applyFont="1" applyFill="1" applyBorder="1" applyAlignment="1">
      <alignment horizontal="right" vertical="center" wrapText="1"/>
    </xf>
    <xf numFmtId="164" fontId="49" fillId="2" borderId="3" xfId="2" applyNumberFormat="1" applyFont="1" applyFill="1" applyBorder="1" applyAlignment="1">
      <alignment horizontal="justify"/>
    </xf>
    <xf numFmtId="167" fontId="49" fillId="2" borderId="3" xfId="1" applyNumberFormat="1" applyFont="1" applyFill="1" applyBorder="1" applyAlignment="1">
      <alignment horizontal="right"/>
    </xf>
    <xf numFmtId="41" fontId="49" fillId="2" borderId="3" xfId="2" applyFont="1" applyFill="1" applyBorder="1" applyAlignment="1">
      <alignment horizontal="right"/>
    </xf>
    <xf numFmtId="164" fontId="49" fillId="2" borderId="3" xfId="2" applyNumberFormat="1" applyFont="1" applyFill="1" applyBorder="1" applyAlignment="1">
      <alignment horizontal="right"/>
    </xf>
    <xf numFmtId="179" fontId="49" fillId="2" borderId="3" xfId="27" quotePrefix="1" applyNumberFormat="1" applyFont="1" applyFill="1" applyBorder="1" applyAlignment="1">
      <alignment horizontal="left" vertical="center" wrapText="1"/>
    </xf>
    <xf numFmtId="183" fontId="49" fillId="2" borderId="0" xfId="5" applyNumberFormat="1" applyFont="1" applyFill="1" applyBorder="1" applyAlignment="1">
      <alignment horizontal="right" vertical="center" wrapText="1"/>
    </xf>
    <xf numFmtId="164" fontId="49" fillId="2" borderId="0" xfId="2" applyNumberFormat="1" applyFont="1" applyFill="1" applyBorder="1" applyAlignment="1">
      <alignment horizontal="justify"/>
    </xf>
    <xf numFmtId="167" fontId="49" fillId="2" borderId="0" xfId="1" applyNumberFormat="1" applyFont="1" applyFill="1" applyBorder="1" applyAlignment="1">
      <alignment horizontal="right"/>
    </xf>
    <xf numFmtId="41" fontId="49" fillId="2" borderId="0" xfId="2" applyFont="1" applyFill="1" applyBorder="1" applyAlignment="1">
      <alignment horizontal="right"/>
    </xf>
    <xf numFmtId="164" fontId="49" fillId="2" borderId="0" xfId="2" applyNumberFormat="1" applyFont="1" applyFill="1" applyBorder="1" applyAlignment="1">
      <alignment horizontal="right"/>
    </xf>
    <xf numFmtId="164" fontId="52" fillId="2" borderId="3" xfId="2" applyNumberFormat="1" applyFont="1" applyFill="1" applyBorder="1" applyAlignment="1">
      <alignment horizontal="justify" vertical="center"/>
    </xf>
    <xf numFmtId="166" fontId="52" fillId="2" borderId="3" xfId="56" quotePrefix="1" applyNumberFormat="1" applyFont="1" applyFill="1" applyBorder="1" applyAlignment="1">
      <alignment horizontal="justify" vertical="center"/>
    </xf>
    <xf numFmtId="166" fontId="49" fillId="2" borderId="3" xfId="56" quotePrefix="1" applyNumberFormat="1" applyFont="1" applyFill="1" applyBorder="1" applyAlignment="1">
      <alignment horizontal="justify" vertical="center"/>
    </xf>
    <xf numFmtId="179" fontId="49" fillId="2" borderId="3" xfId="27" applyNumberFormat="1" applyFont="1" applyFill="1" applyBorder="1" applyAlignment="1">
      <alignment horizontal="justify" vertical="center" wrapText="1"/>
    </xf>
    <xf numFmtId="3" fontId="49" fillId="2" borderId="3" xfId="1" applyNumberFormat="1" applyFont="1" applyFill="1" applyBorder="1" applyAlignment="1">
      <alignment horizontal="right" vertical="center"/>
    </xf>
    <xf numFmtId="167" fontId="49" fillId="2" borderId="3" xfId="56" quotePrefix="1" applyNumberFormat="1" applyFont="1" applyFill="1" applyBorder="1" applyAlignment="1">
      <alignment horizontal="justify" vertical="center"/>
    </xf>
    <xf numFmtId="167" fontId="52" fillId="2" borderId="3" xfId="1" applyNumberFormat="1" applyFont="1" applyFill="1" applyBorder="1" applyAlignment="1">
      <alignment horizontal="right"/>
    </xf>
    <xf numFmtId="167" fontId="52" fillId="2" borderId="0" xfId="1" applyNumberFormat="1" applyFont="1" applyFill="1" applyBorder="1" applyAlignment="1">
      <alignment horizontal="right"/>
    </xf>
    <xf numFmtId="167" fontId="52" fillId="2" borderId="3" xfId="2" applyNumberFormat="1" applyFont="1" applyFill="1" applyBorder="1" applyAlignment="1">
      <alignment horizontal="justify"/>
    </xf>
    <xf numFmtId="167" fontId="52" fillId="2" borderId="0" xfId="2" applyNumberFormat="1" applyFont="1" applyFill="1" applyBorder="1" applyAlignment="1">
      <alignment horizontal="justify"/>
    </xf>
    <xf numFmtId="43" fontId="49" fillId="2" borderId="3" xfId="1" applyFont="1" applyFill="1" applyBorder="1" applyAlignment="1">
      <alignment horizontal="justify" vertical="center"/>
    </xf>
    <xf numFmtId="43" fontId="52" fillId="2" borderId="3" xfId="1" applyNumberFormat="1" applyFont="1" applyFill="1" applyBorder="1" applyAlignment="1">
      <alignment horizontal="right" vertical="center"/>
    </xf>
    <xf numFmtId="167" fontId="52" fillId="2" borderId="3" xfId="1" applyNumberFormat="1" applyFont="1" applyFill="1" applyBorder="1" applyAlignment="1">
      <alignment horizontal="justify" vertical="center"/>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2" xfId="0" applyFont="1" applyBorder="1" applyAlignment="1">
      <alignment horizontal="center" vertical="center" wrapText="1"/>
    </xf>
    <xf numFmtId="0" fontId="83" fillId="0" borderId="12" xfId="0" applyFont="1" applyBorder="1" applyAlignment="1">
      <alignment horizontal="center" vertical="center"/>
    </xf>
    <xf numFmtId="0" fontId="83" fillId="0" borderId="12" xfId="0" applyFont="1" applyBorder="1" applyAlignment="1">
      <alignment horizontal="center" vertical="center" wrapText="1"/>
    </xf>
    <xf numFmtId="0" fontId="52" fillId="2" borderId="12" xfId="0" applyFont="1" applyFill="1" applyBorder="1" applyAlignment="1">
      <alignment horizontal="center" vertical="center"/>
    </xf>
    <xf numFmtId="181" fontId="81" fillId="2" borderId="3" xfId="0" applyNumberFormat="1"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5" xfId="0" applyFont="1" applyFill="1" applyBorder="1" applyAlignment="1">
      <alignment horizontal="left" vertical="center" wrapText="1"/>
    </xf>
    <xf numFmtId="167" fontId="42" fillId="2" borderId="5" xfId="56" applyNumberFormat="1" applyFont="1" applyFill="1" applyBorder="1" applyAlignment="1">
      <alignment horizontal="center" vertical="center" wrapText="1"/>
    </xf>
    <xf numFmtId="167" fontId="42" fillId="2" borderId="5" xfId="1" applyNumberFormat="1" applyFont="1" applyFill="1" applyBorder="1" applyAlignment="1">
      <alignment horizontal="center" vertical="center" wrapText="1"/>
    </xf>
    <xf numFmtId="185" fontId="41" fillId="2" borderId="5" xfId="0" applyNumberFormat="1" applyFont="1" applyFill="1" applyBorder="1" applyAlignment="1">
      <alignment horizontal="center" vertical="center" wrapText="1"/>
    </xf>
    <xf numFmtId="0" fontId="84" fillId="2" borderId="3" xfId="0" applyFont="1" applyFill="1" applyBorder="1" applyAlignment="1">
      <alignment vertical="center"/>
    </xf>
    <xf numFmtId="167" fontId="84" fillId="2" borderId="3" xfId="1" applyNumberFormat="1" applyFont="1" applyFill="1" applyBorder="1" applyAlignment="1">
      <alignment vertical="center"/>
    </xf>
    <xf numFmtId="0" fontId="53" fillId="2" borderId="3" xfId="0" applyFont="1" applyFill="1" applyBorder="1" applyAlignment="1">
      <alignment vertical="center"/>
    </xf>
    <xf numFmtId="167" fontId="53" fillId="2" borderId="3" xfId="1" applyNumberFormat="1" applyFont="1" applyFill="1" applyBorder="1" applyAlignment="1">
      <alignment vertical="center"/>
    </xf>
    <xf numFmtId="0" fontId="99" fillId="2" borderId="3" xfId="0" applyFont="1" applyFill="1" applyBorder="1" applyAlignment="1">
      <alignment horizontal="center" vertical="center"/>
    </xf>
    <xf numFmtId="3" fontId="55" fillId="2" borderId="3" xfId="0" applyNumberFormat="1" applyFont="1" applyFill="1" applyBorder="1" applyAlignment="1">
      <alignment horizontal="justify" vertical="center" wrapText="1"/>
    </xf>
    <xf numFmtId="0" fontId="55" fillId="2" borderId="3" xfId="0" applyFont="1" applyFill="1" applyBorder="1" applyAlignment="1">
      <alignment vertical="center"/>
    </xf>
    <xf numFmtId="167" fontId="52" fillId="2" borderId="3" xfId="0" applyNumberFormat="1" applyFont="1" applyFill="1" applyBorder="1" applyAlignment="1">
      <alignment horizontal="center" vertical="center"/>
    </xf>
    <xf numFmtId="166" fontId="49" fillId="2" borderId="3" xfId="56" applyNumberFormat="1" applyFont="1" applyFill="1" applyBorder="1" applyAlignment="1">
      <alignment vertical="center"/>
    </xf>
    <xf numFmtId="0" fontId="55" fillId="2" borderId="3" xfId="0" applyFont="1" applyFill="1" applyBorder="1" applyAlignment="1">
      <alignment horizontal="justify" vertical="center"/>
    </xf>
    <xf numFmtId="167" fontId="99" fillId="2" borderId="3" xfId="0" applyNumberFormat="1" applyFont="1" applyFill="1" applyBorder="1" applyAlignment="1">
      <alignment horizontal="center" vertical="center"/>
    </xf>
    <xf numFmtId="41" fontId="99" fillId="2" borderId="3" xfId="2" applyFont="1" applyFill="1" applyBorder="1" applyAlignment="1">
      <alignment vertical="center"/>
    </xf>
    <xf numFmtId="166" fontId="55" fillId="2" borderId="3" xfId="56" applyNumberFormat="1" applyFont="1" applyFill="1" applyBorder="1" applyAlignment="1">
      <alignment vertical="center"/>
    </xf>
    <xf numFmtId="167" fontId="85" fillId="2" borderId="3" xfId="1" applyNumberFormat="1" applyFont="1" applyFill="1" applyBorder="1" applyAlignment="1">
      <alignment vertical="center"/>
    </xf>
    <xf numFmtId="0" fontId="52" fillId="2" borderId="3" xfId="0" applyNumberFormat="1" applyFont="1" applyFill="1" applyBorder="1" applyAlignment="1">
      <alignment vertical="center"/>
    </xf>
    <xf numFmtId="166" fontId="52" fillId="2" borderId="3" xfId="56" applyNumberFormat="1" applyFont="1" applyFill="1" applyBorder="1" applyAlignment="1">
      <alignment vertical="center"/>
    </xf>
    <xf numFmtId="0" fontId="52" fillId="2" borderId="3" xfId="0" applyFont="1" applyFill="1" applyBorder="1" applyAlignment="1">
      <alignment vertical="center"/>
    </xf>
    <xf numFmtId="167" fontId="99" fillId="2" borderId="3" xfId="1" applyNumberFormat="1" applyFont="1" applyFill="1" applyBorder="1" applyAlignment="1">
      <alignment horizontal="right" vertical="center"/>
    </xf>
    <xf numFmtId="0" fontId="49" fillId="2" borderId="7" xfId="0" applyFont="1" applyFill="1" applyBorder="1" applyAlignment="1">
      <alignment horizontal="center" vertical="center"/>
    </xf>
    <xf numFmtId="0" fontId="49" fillId="2" borderId="7" xfId="0" applyFont="1" applyFill="1" applyBorder="1" applyAlignment="1">
      <alignment vertical="center"/>
    </xf>
    <xf numFmtId="0" fontId="53" fillId="2" borderId="7" xfId="0" applyFont="1" applyFill="1" applyBorder="1" applyAlignment="1">
      <alignment vertical="center"/>
    </xf>
    <xf numFmtId="167" fontId="53" fillId="2" borderId="7" xfId="1" applyNumberFormat="1" applyFont="1" applyFill="1" applyBorder="1" applyAlignment="1">
      <alignment vertical="center"/>
    </xf>
    <xf numFmtId="167" fontId="49" fillId="2" borderId="7" xfId="0" applyNumberFormat="1" applyFont="1" applyFill="1" applyBorder="1" applyAlignment="1">
      <alignment vertical="center"/>
    </xf>
    <xf numFmtId="37" fontId="85" fillId="2" borderId="0" xfId="0" applyNumberFormat="1" applyFont="1" applyFill="1"/>
    <xf numFmtId="37" fontId="55" fillId="2" borderId="3" xfId="0" applyNumberFormat="1" applyFont="1" applyFill="1" applyBorder="1" applyAlignment="1">
      <alignment horizontal="right" vertical="center"/>
    </xf>
    <xf numFmtId="37" fontId="49" fillId="2" borderId="3" xfId="0" applyNumberFormat="1" applyFont="1" applyFill="1" applyBorder="1" applyAlignment="1">
      <alignment horizontal="center" vertical="center"/>
    </xf>
    <xf numFmtId="43" fontId="53" fillId="2" borderId="0" xfId="1" applyFont="1" applyFill="1"/>
    <xf numFmtId="3" fontId="55" fillId="2" borderId="3" xfId="0" applyNumberFormat="1" applyFont="1" applyFill="1" applyBorder="1" applyAlignment="1">
      <alignment horizontal="left" vertical="center" wrapText="1"/>
    </xf>
    <xf numFmtId="167" fontId="85" fillId="2" borderId="0" xfId="0" applyNumberFormat="1" applyFont="1" applyFill="1"/>
    <xf numFmtId="43" fontId="85" fillId="2" borderId="0" xfId="1" applyFont="1" applyFill="1"/>
    <xf numFmtId="0" fontId="85" fillId="2" borderId="3" xfId="0" applyFont="1" applyFill="1" applyBorder="1" applyAlignment="1">
      <alignment vertical="center"/>
    </xf>
    <xf numFmtId="0" fontId="107" fillId="2" borderId="3" xfId="0" applyFont="1" applyFill="1" applyBorder="1" applyAlignment="1">
      <alignment vertical="center" wrapText="1"/>
    </xf>
    <xf numFmtId="167" fontId="52" fillId="2" borderId="0" xfId="1" applyNumberFormat="1" applyFont="1" applyFill="1" applyBorder="1"/>
    <xf numFmtId="0" fontId="52" fillId="2" borderId="5" xfId="0" applyFont="1" applyFill="1" applyBorder="1" applyAlignment="1">
      <alignment horizontal="center" vertical="center"/>
    </xf>
    <xf numFmtId="0" fontId="49" fillId="0" borderId="3" xfId="0" applyFont="1" applyBorder="1" applyAlignment="1">
      <alignment horizontal="center" vertical="center"/>
    </xf>
    <xf numFmtId="0" fontId="52" fillId="0" borderId="3" xfId="0" applyFont="1" applyBorder="1" applyAlignment="1">
      <alignment horizontal="center" vertical="center"/>
    </xf>
    <xf numFmtId="3" fontId="52" fillId="2" borderId="3" xfId="0" applyNumberFormat="1" applyFont="1" applyFill="1" applyBorder="1" applyAlignment="1">
      <alignment horizontal="justify" vertical="center"/>
    </xf>
    <xf numFmtId="3" fontId="49" fillId="2" borderId="3" xfId="27" applyNumberFormat="1" applyFont="1" applyFill="1" applyBorder="1" applyAlignment="1">
      <alignment horizontal="justify" vertical="center" wrapText="1"/>
    </xf>
    <xf numFmtId="41" fontId="52" fillId="2" borderId="3" xfId="2" applyFont="1" applyFill="1" applyBorder="1"/>
    <xf numFmtId="0" fontId="49" fillId="2" borderId="3" xfId="0" applyFont="1" applyFill="1" applyBorder="1"/>
    <xf numFmtId="0" fontId="52" fillId="2" borderId="4" xfId="0" applyFont="1" applyFill="1" applyBorder="1" applyAlignment="1">
      <alignment horizontal="justify" vertical="center"/>
    </xf>
    <xf numFmtId="0" fontId="52" fillId="2" borderId="5" xfId="0" applyFont="1" applyFill="1" applyBorder="1" applyAlignment="1">
      <alignment horizontal="justify" vertical="center"/>
    </xf>
    <xf numFmtId="167" fontId="52" fillId="2" borderId="5" xfId="1" applyNumberFormat="1" applyFont="1" applyFill="1" applyBorder="1" applyAlignment="1">
      <alignment vertical="center"/>
    </xf>
    <xf numFmtId="43" fontId="49" fillId="2" borderId="5" xfId="1" applyNumberFormat="1" applyFont="1" applyFill="1" applyBorder="1" applyAlignment="1">
      <alignment vertical="center"/>
    </xf>
    <xf numFmtId="167" fontId="55" fillId="2" borderId="3" xfId="1" applyNumberFormat="1" applyFont="1" applyFill="1" applyBorder="1" applyAlignment="1">
      <alignment vertical="center"/>
    </xf>
    <xf numFmtId="3" fontId="100" fillId="2" borderId="3" xfId="0" applyNumberFormat="1" applyFont="1" applyFill="1" applyBorder="1" applyAlignment="1">
      <alignment horizontal="justify" vertical="center" wrapText="1"/>
    </xf>
    <xf numFmtId="0" fontId="49" fillId="2" borderId="7" xfId="0" applyFont="1" applyFill="1" applyBorder="1" applyAlignment="1">
      <alignment horizontal="justify" vertical="center"/>
    </xf>
    <xf numFmtId="167" fontId="49" fillId="2" borderId="7" xfId="1" applyNumberFormat="1" applyFont="1" applyFill="1" applyBorder="1" applyAlignment="1">
      <alignment vertical="center"/>
    </xf>
    <xf numFmtId="41" fontId="49" fillId="2" borderId="7" xfId="2" applyFont="1" applyFill="1" applyBorder="1" applyAlignment="1">
      <alignment vertical="center"/>
    </xf>
    <xf numFmtId="43" fontId="49" fillId="2" borderId="7" xfId="1" applyNumberFormat="1" applyFont="1" applyFill="1" applyBorder="1" applyAlignment="1">
      <alignment vertical="center"/>
    </xf>
    <xf numFmtId="167" fontId="52" fillId="2" borderId="3" xfId="2" applyNumberFormat="1" applyFont="1" applyFill="1" applyBorder="1" applyAlignment="1">
      <alignment horizontal="right" vertical="center"/>
    </xf>
    <xf numFmtId="167" fontId="49" fillId="2" borderId="3" xfId="2" applyNumberFormat="1" applyFont="1" applyFill="1" applyBorder="1" applyAlignment="1">
      <alignment horizontal="justify" vertical="center"/>
    </xf>
    <xf numFmtId="0" fontId="49" fillId="4" borderId="0" xfId="0" applyFont="1" applyFill="1" applyBorder="1" applyAlignment="1">
      <alignment horizontal="justify" vertical="center" wrapText="1"/>
    </xf>
    <xf numFmtId="0" fontId="52" fillId="4" borderId="0" xfId="0" applyFont="1" applyFill="1" applyBorder="1" applyAlignment="1">
      <alignment horizontal="justify" vertical="center" wrapText="1"/>
    </xf>
    <xf numFmtId="0" fontId="52" fillId="2" borderId="3" xfId="28" applyFont="1" applyFill="1" applyBorder="1" applyAlignment="1">
      <alignment horizontal="justify" vertical="center"/>
    </xf>
    <xf numFmtId="0" fontId="52" fillId="4" borderId="3" xfId="0" applyFont="1" applyFill="1" applyBorder="1" applyAlignment="1">
      <alignment horizontal="justify" vertical="center" wrapText="1"/>
    </xf>
    <xf numFmtId="167" fontId="49" fillId="2" borderId="3" xfId="1" applyNumberFormat="1" applyFont="1" applyFill="1" applyBorder="1" applyAlignment="1">
      <alignment horizontal="justify" vertical="center"/>
    </xf>
    <xf numFmtId="167" fontId="49" fillId="2" borderId="3" xfId="0" applyNumberFormat="1" applyFont="1" applyFill="1" applyBorder="1" applyAlignment="1">
      <alignment horizontal="center" vertical="center"/>
    </xf>
    <xf numFmtId="0" fontId="48" fillId="2" borderId="0" xfId="0" applyFont="1" applyFill="1" applyAlignment="1">
      <alignment horizontal="center"/>
    </xf>
    <xf numFmtId="0" fontId="48" fillId="2" borderId="0" xfId="0" applyFont="1" applyFill="1"/>
    <xf numFmtId="167" fontId="108" fillId="2" borderId="0" xfId="0" applyNumberFormat="1" applyFont="1" applyFill="1" applyAlignment="1">
      <alignment horizontal="center"/>
    </xf>
    <xf numFmtId="41" fontId="108" fillId="2" borderId="0" xfId="2" applyFont="1" applyFill="1"/>
    <xf numFmtId="166" fontId="48" fillId="2" borderId="0" xfId="56" applyNumberFormat="1" applyFont="1" applyFill="1"/>
    <xf numFmtId="167" fontId="48" fillId="2" borderId="0" xfId="1" applyNumberFormat="1" applyFont="1" applyFill="1" applyAlignment="1">
      <alignment horizontal="right"/>
    </xf>
    <xf numFmtId="41" fontId="48" fillId="2" borderId="0" xfId="2" applyFont="1" applyFill="1" applyAlignment="1">
      <alignment horizontal="right"/>
    </xf>
    <xf numFmtId="0" fontId="109" fillId="2" borderId="0" xfId="0" applyFont="1" applyFill="1"/>
    <xf numFmtId="0" fontId="112" fillId="2" borderId="9" xfId="28" applyFont="1" applyFill="1" applyBorder="1" applyAlignment="1"/>
    <xf numFmtId="167" fontId="112" fillId="2" borderId="9" xfId="1" applyNumberFormat="1" applyFont="1" applyFill="1" applyBorder="1" applyAlignment="1"/>
    <xf numFmtId="0" fontId="113" fillId="2" borderId="0" xfId="0" applyFont="1" applyFill="1"/>
    <xf numFmtId="167" fontId="113" fillId="2" borderId="0" xfId="0" applyNumberFormat="1" applyFont="1" applyFill="1"/>
    <xf numFmtId="0" fontId="112" fillId="2" borderId="12" xfId="28" applyFont="1" applyFill="1" applyBorder="1" applyAlignment="1">
      <alignment horizontal="center" vertical="center" wrapText="1"/>
    </xf>
    <xf numFmtId="167" fontId="112" fillId="2" borderId="12" xfId="28" applyNumberFormat="1" applyFont="1" applyFill="1" applyBorder="1" applyAlignment="1">
      <alignment horizontal="center" vertical="center" wrapText="1"/>
    </xf>
    <xf numFmtId="41" fontId="112" fillId="2" borderId="12" xfId="2" applyFont="1" applyFill="1" applyBorder="1" applyAlignment="1">
      <alignment horizontal="center" vertical="center" wrapText="1"/>
    </xf>
    <xf numFmtId="166" fontId="112" fillId="2" borderId="12" xfId="56" applyNumberFormat="1" applyFont="1" applyFill="1" applyBorder="1" applyAlignment="1">
      <alignment horizontal="center" vertical="center" wrapText="1"/>
    </xf>
    <xf numFmtId="0" fontId="114" fillId="2" borderId="0" xfId="0" applyFont="1" applyFill="1"/>
    <xf numFmtId="0" fontId="52" fillId="2" borderId="4" xfId="28" applyFont="1" applyFill="1" applyBorder="1" applyAlignment="1">
      <alignment horizontal="center" vertical="center"/>
    </xf>
    <xf numFmtId="167" fontId="52" fillId="2" borderId="4" xfId="28" applyNumberFormat="1" applyFont="1" applyFill="1" applyBorder="1" applyAlignment="1">
      <alignment horizontal="center" vertical="center"/>
    </xf>
    <xf numFmtId="41" fontId="52" fillId="2" borderId="4" xfId="2" applyFont="1" applyFill="1" applyBorder="1" applyAlignment="1">
      <alignment horizontal="center" vertical="center"/>
    </xf>
    <xf numFmtId="166" fontId="52" fillId="2" borderId="4" xfId="56" applyNumberFormat="1" applyFont="1" applyFill="1" applyBorder="1" applyAlignment="1">
      <alignment horizontal="center" vertical="center"/>
    </xf>
    <xf numFmtId="167" fontId="109" fillId="2" borderId="0" xfId="1" applyNumberFormat="1" applyFont="1" applyFill="1"/>
    <xf numFmtId="167" fontId="52" fillId="2" borderId="0" xfId="1" applyNumberFormat="1" applyFont="1" applyFill="1" applyBorder="1" applyAlignment="1">
      <alignment vertical="center"/>
    </xf>
    <xf numFmtId="167" fontId="49" fillId="2" borderId="0" xfId="1" applyNumberFormat="1" applyFont="1" applyFill="1" applyBorder="1" applyAlignment="1">
      <alignment vertical="center"/>
    </xf>
    <xf numFmtId="167" fontId="55" fillId="2" borderId="0" xfId="1" applyNumberFormat="1" applyFont="1" applyFill="1"/>
    <xf numFmtId="0" fontId="38" fillId="2" borderId="0" xfId="0" applyFont="1" applyFill="1" applyAlignment="1">
      <alignment horizontal="center" vertical="center" wrapText="1"/>
    </xf>
    <xf numFmtId="0" fontId="41" fillId="2" borderId="3" xfId="55" applyFont="1" applyFill="1" applyBorder="1" applyAlignment="1">
      <alignment horizontal="center" vertical="center" wrapText="1"/>
    </xf>
    <xf numFmtId="0" fontId="32" fillId="2" borderId="3" xfId="0" applyFont="1" applyFill="1" applyBorder="1" applyAlignment="1">
      <alignment horizontal="left" vertical="center" wrapText="1"/>
    </xf>
    <xf numFmtId="0" fontId="32" fillId="2" borderId="3" xfId="0" applyFont="1" applyFill="1" applyBorder="1" applyAlignment="1">
      <alignment horizontal="center" vertical="center" wrapText="1"/>
    </xf>
    <xf numFmtId="179" fontId="52" fillId="2" borderId="3" xfId="27" applyNumberFormat="1" applyFont="1" applyFill="1" applyBorder="1" applyAlignment="1">
      <alignment horizontal="justify" vertical="center" wrapText="1"/>
    </xf>
    <xf numFmtId="184" fontId="52" fillId="2" borderId="3" xfId="6" applyNumberFormat="1" applyFont="1" applyFill="1" applyBorder="1" applyAlignment="1">
      <alignment horizontal="right" vertical="center"/>
    </xf>
    <xf numFmtId="41" fontId="52" fillId="2" borderId="0" xfId="2" applyFont="1" applyFill="1" applyBorder="1"/>
    <xf numFmtId="167" fontId="103" fillId="2" borderId="0" xfId="1" applyNumberFormat="1" applyFont="1" applyFill="1" applyAlignment="1">
      <alignment horizontal="center"/>
    </xf>
    <xf numFmtId="167" fontId="55" fillId="2" borderId="0" xfId="1" applyNumberFormat="1" applyFont="1" applyFill="1" applyBorder="1" applyAlignment="1">
      <alignment horizontal="center"/>
    </xf>
    <xf numFmtId="167" fontId="55" fillId="2" borderId="0" xfId="1" applyNumberFormat="1" applyFont="1" applyFill="1" applyBorder="1" applyAlignment="1">
      <alignment horizontal="right"/>
    </xf>
    <xf numFmtId="41" fontId="49" fillId="2" borderId="0" xfId="2" applyFont="1" applyFill="1"/>
    <xf numFmtId="0" fontId="52" fillId="2" borderId="4" xfId="2" applyNumberFormat="1" applyFont="1" applyFill="1" applyBorder="1" applyAlignment="1">
      <alignment horizontal="center" vertical="center" wrapText="1"/>
    </xf>
    <xf numFmtId="41" fontId="52" fillId="2" borderId="10" xfId="2" applyFont="1" applyFill="1" applyBorder="1" applyAlignment="1">
      <alignment horizontal="center" vertical="center" wrapText="1"/>
    </xf>
    <xf numFmtId="193" fontId="49" fillId="2" borderId="3" xfId="2" applyNumberFormat="1" applyFont="1" applyFill="1" applyBorder="1" applyAlignment="1">
      <alignment vertical="center"/>
    </xf>
    <xf numFmtId="0" fontId="52" fillId="2" borderId="3" xfId="19" applyFont="1" applyFill="1" applyBorder="1" applyAlignment="1">
      <alignment horizontal="justify" vertical="center" wrapText="1"/>
    </xf>
    <xf numFmtId="3" fontId="49" fillId="2" borderId="3" xfId="1" applyNumberFormat="1" applyFont="1" applyFill="1" applyBorder="1" applyAlignment="1">
      <alignment vertical="center"/>
    </xf>
    <xf numFmtId="3" fontId="49" fillId="2" borderId="6" xfId="0" applyNumberFormat="1" applyFont="1" applyFill="1" applyBorder="1" applyAlignment="1">
      <alignment vertical="center"/>
    </xf>
    <xf numFmtId="0" fontId="24" fillId="2" borderId="0" xfId="28" applyFont="1" applyFill="1"/>
    <xf numFmtId="0" fontId="24" fillId="2" borderId="9" xfId="0" applyFont="1" applyFill="1" applyBorder="1"/>
    <xf numFmtId="0" fontId="19" fillId="2" borderId="4" xfId="0" applyFont="1" applyFill="1" applyBorder="1" applyAlignment="1">
      <alignment horizontal="center"/>
    </xf>
    <xf numFmtId="0" fontId="25" fillId="2" borderId="5" xfId="0" applyFont="1" applyFill="1" applyBorder="1"/>
    <xf numFmtId="0" fontId="25" fillId="2" borderId="3" xfId="0" applyFont="1" applyFill="1" applyBorder="1"/>
    <xf numFmtId="0" fontId="19" fillId="2" borderId="3" xfId="0" applyFont="1" applyFill="1" applyBorder="1"/>
    <xf numFmtId="0" fontId="19" fillId="2" borderId="7" xfId="0" applyFont="1" applyFill="1" applyBorder="1"/>
    <xf numFmtId="41" fontId="52" fillId="2" borderId="8" xfId="2" applyFont="1" applyFill="1" applyBorder="1" applyAlignment="1">
      <alignment horizontal="center"/>
    </xf>
    <xf numFmtId="0" fontId="52" fillId="2" borderId="8" xfId="2" applyNumberFormat="1" applyFont="1" applyFill="1" applyBorder="1" applyAlignment="1">
      <alignment horizontal="left"/>
    </xf>
    <xf numFmtId="41" fontId="84" fillId="2" borderId="8" xfId="2" applyFont="1" applyFill="1" applyBorder="1"/>
    <xf numFmtId="41" fontId="84" fillId="2" borderId="3" xfId="2" applyFont="1" applyFill="1" applyBorder="1"/>
    <xf numFmtId="41" fontId="52" fillId="2" borderId="3" xfId="2" applyFont="1" applyFill="1" applyBorder="1" applyAlignment="1">
      <alignment horizontal="center"/>
    </xf>
    <xf numFmtId="0" fontId="52" fillId="2" borderId="3" xfId="2" applyNumberFormat="1" applyFont="1" applyFill="1" applyBorder="1" applyAlignment="1">
      <alignment horizontal="left"/>
    </xf>
    <xf numFmtId="41" fontId="84" fillId="2" borderId="0" xfId="2" applyFont="1" applyFill="1"/>
    <xf numFmtId="0" fontId="84" fillId="2" borderId="3" xfId="0" applyFont="1" applyFill="1" applyBorder="1" applyAlignment="1">
      <alignment horizontal="center"/>
    </xf>
    <xf numFmtId="0" fontId="52" fillId="2" borderId="3" xfId="0" applyNumberFormat="1" applyFont="1" applyFill="1" applyBorder="1"/>
    <xf numFmtId="0" fontId="49" fillId="2" borderId="3" xfId="0" applyNumberFormat="1" applyFont="1" applyFill="1" applyBorder="1"/>
    <xf numFmtId="41" fontId="53" fillId="2" borderId="3" xfId="2" applyFont="1" applyFill="1" applyBorder="1"/>
    <xf numFmtId="41" fontId="53" fillId="2" borderId="0" xfId="2" applyFont="1" applyFill="1"/>
    <xf numFmtId="0" fontId="53" fillId="2" borderId="3" xfId="0" applyFont="1" applyFill="1" applyBorder="1"/>
    <xf numFmtId="0" fontId="53" fillId="2" borderId="3" xfId="0" applyFont="1" applyFill="1" applyBorder="1" applyAlignment="1">
      <alignment horizontal="center"/>
    </xf>
    <xf numFmtId="0" fontId="49" fillId="2" borderId="0" xfId="0" applyFont="1" applyFill="1" applyAlignment="1">
      <alignment horizontal="right"/>
    </xf>
    <xf numFmtId="0" fontId="119" fillId="2" borderId="0" xfId="0" applyFont="1" applyFill="1" applyBorder="1" applyAlignment="1"/>
    <xf numFmtId="41" fontId="53" fillId="2" borderId="9" xfId="0" applyNumberFormat="1" applyFont="1" applyFill="1" applyBorder="1" applyAlignment="1"/>
    <xf numFmtId="0" fontId="55" fillId="2" borderId="4" xfId="0" applyNumberFormat="1" applyFont="1" applyFill="1" applyBorder="1" applyAlignment="1">
      <alignment horizontal="center" vertical="center" wrapText="1"/>
    </xf>
    <xf numFmtId="41" fontId="84" fillId="2" borderId="4" xfId="2" applyFont="1" applyFill="1" applyBorder="1" applyAlignment="1">
      <alignment horizontal="center" vertical="center" wrapText="1"/>
    </xf>
    <xf numFmtId="0" fontId="52" fillId="2" borderId="4" xfId="2" applyNumberFormat="1" applyFont="1" applyFill="1" applyBorder="1" applyAlignment="1">
      <alignment horizontal="center"/>
    </xf>
    <xf numFmtId="0" fontId="52" fillId="2" borderId="3" xfId="2" applyNumberFormat="1" applyFont="1" applyFill="1" applyBorder="1"/>
    <xf numFmtId="41" fontId="84" fillId="2" borderId="11" xfId="2" applyFont="1" applyFill="1" applyBorder="1"/>
    <xf numFmtId="41" fontId="52" fillId="2" borderId="7" xfId="2" applyFont="1" applyFill="1" applyBorder="1" applyAlignment="1">
      <alignment horizontal="center"/>
    </xf>
    <xf numFmtId="0" fontId="52" fillId="2" borderId="7" xfId="2" applyNumberFormat="1" applyFont="1" applyFill="1" applyBorder="1"/>
    <xf numFmtId="41" fontId="52" fillId="2" borderId="7" xfId="2" applyFont="1" applyFill="1" applyBorder="1"/>
    <xf numFmtId="41" fontId="84" fillId="2" borderId="7" xfId="2" applyFont="1" applyFill="1" applyBorder="1"/>
    <xf numFmtId="41" fontId="52" fillId="2" borderId="6" xfId="2" applyFont="1" applyFill="1" applyBorder="1"/>
    <xf numFmtId="41" fontId="84" fillId="2" borderId="6" xfId="2" applyFont="1" applyFill="1" applyBorder="1"/>
    <xf numFmtId="41" fontId="84" fillId="2" borderId="0" xfId="2" applyFont="1" applyFill="1" applyBorder="1"/>
    <xf numFmtId="41" fontId="52" fillId="2" borderId="0" xfId="2" applyFont="1" applyFill="1" applyBorder="1" applyAlignment="1">
      <alignment horizontal="center"/>
    </xf>
    <xf numFmtId="0" fontId="52" fillId="2" borderId="0" xfId="2" applyNumberFormat="1" applyFont="1" applyFill="1" applyBorder="1"/>
    <xf numFmtId="41" fontId="84" fillId="2" borderId="7" xfId="0" applyNumberFormat="1" applyFont="1" applyFill="1" applyBorder="1"/>
    <xf numFmtId="0" fontId="55" fillId="2" borderId="0" xfId="28" applyFont="1" applyFill="1" applyBorder="1" applyAlignment="1"/>
    <xf numFmtId="0" fontId="83"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vertical="center" wrapText="1"/>
    </xf>
    <xf numFmtId="0" fontId="83" fillId="0" borderId="4" xfId="0" applyFont="1" applyBorder="1" applyAlignment="1">
      <alignment horizontal="center" vertical="center" wrapText="1"/>
    </xf>
    <xf numFmtId="3" fontId="83" fillId="0" borderId="4" xfId="0" applyNumberFormat="1" applyFont="1" applyBorder="1" applyAlignment="1">
      <alignment horizontal="center" vertical="center"/>
    </xf>
    <xf numFmtId="3" fontId="83" fillId="0" borderId="4" xfId="0" applyNumberFormat="1" applyFont="1" applyBorder="1" applyAlignment="1">
      <alignment horizontal="right" vertical="center"/>
    </xf>
    <xf numFmtId="3" fontId="47" fillId="0" borderId="0" xfId="0" applyNumberFormat="1" applyFont="1" applyAlignment="1">
      <alignment vertical="center"/>
    </xf>
    <xf numFmtId="3" fontId="47" fillId="0" borderId="12" xfId="0" applyNumberFormat="1" applyFont="1" applyBorder="1" applyAlignment="1">
      <alignment vertical="center"/>
    </xf>
    <xf numFmtId="0" fontId="47" fillId="0" borderId="4" xfId="0" applyFont="1" applyBorder="1" applyAlignment="1">
      <alignment horizontal="justify" vertical="center"/>
    </xf>
    <xf numFmtId="0" fontId="83" fillId="0" borderId="8" xfId="0" applyFont="1" applyBorder="1" applyAlignment="1">
      <alignment vertical="center" wrapText="1"/>
    </xf>
    <xf numFmtId="3" fontId="83" fillId="0" borderId="3" xfId="1" applyNumberFormat="1" applyFont="1" applyFill="1" applyBorder="1" applyAlignment="1">
      <alignment vertical="center"/>
    </xf>
    <xf numFmtId="0" fontId="120" fillId="0" borderId="12" xfId="0" applyFont="1" applyBorder="1" applyAlignment="1">
      <alignment horizontal="center" vertical="center"/>
    </xf>
    <xf numFmtId="0" fontId="120" fillId="0" borderId="12" xfId="0" applyFont="1" applyBorder="1" applyAlignment="1">
      <alignment vertical="center" wrapText="1"/>
    </xf>
    <xf numFmtId="0" fontId="115" fillId="0" borderId="12" xfId="0" applyFont="1" applyBorder="1" applyAlignment="1">
      <alignment horizontal="justify" vertical="center" wrapText="1"/>
    </xf>
    <xf numFmtId="3" fontId="115" fillId="0" borderId="12" xfId="1" applyNumberFormat="1" applyFont="1" applyFill="1" applyBorder="1" applyAlignment="1">
      <alignment vertical="center"/>
    </xf>
    <xf numFmtId="0" fontId="115" fillId="0" borderId="0" xfId="0" applyFont="1" applyAlignment="1">
      <alignment vertical="center"/>
    </xf>
    <xf numFmtId="0" fontId="83" fillId="0" borderId="10" xfId="0" applyFont="1" applyBorder="1" applyAlignment="1">
      <alignment horizontal="center" vertical="center"/>
    </xf>
    <xf numFmtId="0" fontId="83" fillId="0" borderId="10" xfId="0" applyFont="1" applyBorder="1" applyAlignment="1">
      <alignment vertical="center" wrapText="1"/>
    </xf>
    <xf numFmtId="3" fontId="47" fillId="0" borderId="4" xfId="1" applyNumberFormat="1" applyFont="1" applyFill="1" applyBorder="1" applyAlignment="1">
      <alignment vertical="center"/>
    </xf>
    <xf numFmtId="0" fontId="52" fillId="0" borderId="5" xfId="0" applyFont="1" applyBorder="1" applyAlignment="1">
      <alignment horizontal="center" vertical="center"/>
    </xf>
    <xf numFmtId="0" fontId="52" fillId="0" borderId="5" xfId="0" applyFont="1" applyBorder="1" applyAlignment="1">
      <alignment vertical="center" wrapText="1"/>
    </xf>
    <xf numFmtId="3" fontId="52" fillId="0" borderId="5" xfId="0" applyNumberFormat="1" applyFont="1" applyBorder="1" applyAlignment="1">
      <alignment vertical="center"/>
    </xf>
    <xf numFmtId="0" fontId="52" fillId="0" borderId="3" xfId="0" applyFont="1" applyBorder="1" applyAlignment="1">
      <alignment horizontal="left" vertical="center" wrapText="1"/>
    </xf>
    <xf numFmtId="3" fontId="52" fillId="0" borderId="3" xfId="0" applyNumberFormat="1" applyFont="1" applyBorder="1" applyAlignment="1">
      <alignment vertical="center" wrapText="1"/>
    </xf>
    <xf numFmtId="0" fontId="49" fillId="0" borderId="3" xfId="0" applyFont="1" applyBorder="1" applyAlignment="1">
      <alignment vertical="center" wrapText="1"/>
    </xf>
    <xf numFmtId="0" fontId="49" fillId="0" borderId="3" xfId="0" applyFont="1" applyBorder="1" applyAlignment="1">
      <alignment horizontal="left" vertical="center" wrapText="1"/>
    </xf>
    <xf numFmtId="0" fontId="49" fillId="0" borderId="7" xfId="0" applyFont="1" applyBorder="1" applyAlignment="1">
      <alignment horizontal="center" vertical="center"/>
    </xf>
    <xf numFmtId="0" fontId="49" fillId="0" borderId="7" xfId="0" applyFont="1" applyBorder="1" applyAlignment="1">
      <alignment vertical="center" wrapText="1"/>
    </xf>
    <xf numFmtId="0" fontId="49" fillId="2" borderId="7" xfId="55" applyFont="1" applyFill="1" applyBorder="1" applyAlignment="1">
      <alignment horizontal="justify" vertical="center" wrapText="1"/>
    </xf>
    <xf numFmtId="3" fontId="49" fillId="0" borderId="7" xfId="0" applyNumberFormat="1" applyFont="1" applyBorder="1" applyAlignment="1">
      <alignment vertical="center"/>
    </xf>
    <xf numFmtId="3" fontId="52" fillId="2" borderId="3" xfId="0" applyNumberFormat="1" applyFont="1" applyFill="1" applyBorder="1" applyAlignment="1">
      <alignment vertical="center" wrapText="1"/>
    </xf>
    <xf numFmtId="0" fontId="52" fillId="0" borderId="7" xfId="0" applyFont="1" applyBorder="1" applyAlignment="1">
      <alignment horizontal="justify" vertical="center" wrapText="1"/>
    </xf>
    <xf numFmtId="3" fontId="49" fillId="2" borderId="0" xfId="0" applyNumberFormat="1" applyFont="1" applyFill="1" applyAlignment="1">
      <alignment vertical="center"/>
    </xf>
    <xf numFmtId="0" fontId="49" fillId="2" borderId="5" xfId="28" applyFont="1" applyFill="1" applyBorder="1" applyAlignment="1">
      <alignment horizontal="justify" vertical="center" wrapText="1"/>
    </xf>
    <xf numFmtId="3" fontId="49" fillId="0" borderId="5" xfId="1" applyNumberFormat="1" applyFont="1" applyFill="1" applyBorder="1" applyAlignment="1">
      <alignment vertical="center"/>
    </xf>
    <xf numFmtId="0" fontId="49" fillId="0" borderId="7" xfId="0" applyFont="1" applyBorder="1" applyAlignment="1">
      <alignment horizontal="justify" vertical="center" wrapText="1"/>
    </xf>
    <xf numFmtId="3" fontId="49" fillId="0" borderId="7" xfId="1" applyNumberFormat="1" applyFont="1" applyFill="1" applyBorder="1" applyAlignment="1">
      <alignment vertical="center"/>
    </xf>
    <xf numFmtId="0" fontId="121" fillId="2" borderId="3" xfId="0" applyFont="1" applyFill="1" applyBorder="1" applyAlignment="1">
      <alignment horizontal="center" vertical="center" wrapText="1"/>
    </xf>
    <xf numFmtId="181" fontId="42" fillId="2" borderId="3" xfId="0" applyNumberFormat="1" applyFont="1" applyFill="1" applyBorder="1" applyAlignment="1">
      <alignment horizontal="center" vertical="center" wrapText="1"/>
    </xf>
    <xf numFmtId="167" fontId="48" fillId="2" borderId="3" xfId="28" applyNumberFormat="1" applyFont="1" applyFill="1" applyBorder="1" applyAlignment="1">
      <alignment horizontal="justify" vertical="center"/>
    </xf>
    <xf numFmtId="167" fontId="52" fillId="2" borderId="0" xfId="1" applyNumberFormat="1" applyFont="1" applyFill="1" applyBorder="1" applyAlignment="1">
      <alignment horizontal="right" vertical="center"/>
    </xf>
    <xf numFmtId="167" fontId="52" fillId="2" borderId="0" xfId="1" applyNumberFormat="1" applyFont="1" applyFill="1" applyBorder="1" applyAlignment="1">
      <alignment horizontal="right" vertical="center" wrapText="1"/>
    </xf>
    <xf numFmtId="167" fontId="49" fillId="2" borderId="0" xfId="1" applyNumberFormat="1" applyFont="1" applyFill="1" applyBorder="1" applyAlignment="1">
      <alignment horizontal="right" vertical="center" wrapText="1"/>
    </xf>
    <xf numFmtId="167" fontId="84" fillId="2" borderId="0" xfId="1" applyNumberFormat="1" applyFont="1" applyFill="1" applyBorder="1" applyAlignment="1">
      <alignment vertical="center"/>
    </xf>
    <xf numFmtId="167" fontId="49" fillId="2" borderId="0" xfId="1" applyNumberFormat="1" applyFont="1" applyFill="1" applyAlignment="1">
      <alignment horizontal="center"/>
    </xf>
    <xf numFmtId="167" fontId="103" fillId="2" borderId="0" xfId="1" applyNumberFormat="1" applyFont="1" applyFill="1"/>
    <xf numFmtId="0" fontId="103" fillId="2" borderId="0" xfId="0" applyFont="1" applyFill="1"/>
    <xf numFmtId="41" fontId="55" fillId="2" borderId="0" xfId="2" applyFont="1" applyFill="1"/>
    <xf numFmtId="167" fontId="52" fillId="2" borderId="0" xfId="1" applyNumberFormat="1" applyFont="1" applyFill="1" applyBorder="1" applyAlignment="1">
      <alignment horizontal="center"/>
    </xf>
    <xf numFmtId="167" fontId="108" fillId="2" borderId="4" xfId="1" applyNumberFormat="1" applyFont="1" applyFill="1" applyBorder="1" applyAlignment="1">
      <alignment horizontal="center" vertical="center" wrapText="1"/>
    </xf>
    <xf numFmtId="43" fontId="52" fillId="2" borderId="4" xfId="1" applyNumberFormat="1" applyFont="1" applyFill="1" applyBorder="1" applyAlignment="1">
      <alignment horizontal="center" vertical="center" wrapText="1"/>
    </xf>
    <xf numFmtId="167" fontId="52" fillId="2" borderId="0" xfId="1" applyNumberFormat="1" applyFont="1" applyFill="1" applyBorder="1" applyAlignment="1">
      <alignment horizontal="center" vertical="center" wrapText="1"/>
    </xf>
    <xf numFmtId="167" fontId="55" fillId="2" borderId="0" xfId="1" applyNumberFormat="1" applyFont="1" applyFill="1" applyBorder="1" applyAlignment="1">
      <alignment horizontal="center" vertical="center" wrapText="1"/>
    </xf>
    <xf numFmtId="0" fontId="52" fillId="2" borderId="10" xfId="0" applyFont="1" applyFill="1" applyBorder="1" applyAlignment="1">
      <alignment horizontal="center" vertical="center" wrapText="1"/>
    </xf>
    <xf numFmtId="41" fontId="52" fillId="2" borderId="10" xfId="2" applyNumberFormat="1" applyFont="1" applyFill="1" applyBorder="1" applyAlignment="1">
      <alignment horizontal="center" vertical="center" wrapText="1"/>
    </xf>
    <xf numFmtId="43" fontId="52" fillId="2" borderId="5" xfId="1" applyNumberFormat="1" applyFont="1" applyFill="1" applyBorder="1" applyAlignment="1">
      <alignment vertical="center"/>
    </xf>
    <xf numFmtId="0" fontId="49" fillId="2" borderId="3" xfId="28" applyFont="1" applyFill="1" applyBorder="1" applyAlignment="1">
      <alignment horizontal="center" vertical="center" wrapText="1"/>
    </xf>
    <xf numFmtId="43" fontId="49" fillId="2" borderId="0" xfId="1" applyNumberFormat="1" applyFont="1" applyFill="1"/>
    <xf numFmtId="0" fontId="49" fillId="2" borderId="3" xfId="0" applyNumberFormat="1" applyFont="1" applyFill="1" applyBorder="1" applyAlignment="1">
      <alignment horizontal="justify" vertical="center" wrapText="1"/>
    </xf>
    <xf numFmtId="0" fontId="55" fillId="2" borderId="0" xfId="0" applyFont="1" applyFill="1" applyAlignment="1">
      <alignment horizontal="center" vertical="center" wrapText="1"/>
    </xf>
    <xf numFmtId="167" fontId="52" fillId="2" borderId="4" xfId="0" applyNumberFormat="1" applyFont="1" applyFill="1" applyBorder="1" applyAlignment="1">
      <alignment shrinkToFit="1"/>
    </xf>
    <xf numFmtId="0" fontId="49" fillId="2" borderId="0" xfId="0" applyFont="1" applyFill="1" applyAlignment="1">
      <alignment shrinkToFit="1"/>
    </xf>
    <xf numFmtId="167" fontId="52" fillId="2" borderId="0" xfId="0" applyNumberFormat="1" applyFont="1" applyFill="1" applyBorder="1" applyAlignment="1">
      <alignment shrinkToFit="1"/>
    </xf>
    <xf numFmtId="0" fontId="49" fillId="6" borderId="0" xfId="0" applyFont="1" applyFill="1" applyAlignment="1">
      <alignment shrinkToFit="1"/>
    </xf>
    <xf numFmtId="0" fontId="34" fillId="2" borderId="0" xfId="0" applyFont="1" applyFill="1"/>
    <xf numFmtId="41" fontId="55" fillId="2" borderId="0" xfId="28" applyNumberFormat="1" applyFont="1" applyFill="1" applyBorder="1" applyAlignment="1"/>
    <xf numFmtId="167" fontId="52" fillId="4" borderId="26" xfId="0" applyNumberFormat="1" applyFont="1" applyFill="1" applyBorder="1" applyAlignment="1">
      <alignment shrinkToFit="1"/>
    </xf>
    <xf numFmtId="0" fontId="52" fillId="2" borderId="23" xfId="0" applyFont="1" applyFill="1" applyBorder="1" applyAlignment="1">
      <alignment horizontal="center" shrinkToFit="1"/>
    </xf>
    <xf numFmtId="0" fontId="52" fillId="2" borderId="19" xfId="0" applyFont="1" applyFill="1" applyBorder="1" applyAlignment="1">
      <alignment horizontal="center" shrinkToFit="1"/>
    </xf>
    <xf numFmtId="167" fontId="52" fillId="2" borderId="10" xfId="0" applyNumberFormat="1" applyFont="1" applyFill="1" applyBorder="1" applyAlignment="1">
      <alignment shrinkToFit="1"/>
    </xf>
    <xf numFmtId="0" fontId="52" fillId="2" borderId="0" xfId="0" applyFont="1" applyFill="1" applyAlignment="1">
      <alignment shrinkToFit="1"/>
    </xf>
    <xf numFmtId="0" fontId="49" fillId="2" borderId="3" xfId="0" applyFont="1" applyFill="1" applyBorder="1" applyAlignment="1">
      <alignment horizontal="left" vertical="center" wrapText="1"/>
    </xf>
    <xf numFmtId="3" fontId="52" fillId="2" borderId="3" xfId="0" applyNumberFormat="1" applyFont="1" applyFill="1" applyBorder="1" applyAlignment="1">
      <alignment vertical="center"/>
    </xf>
    <xf numFmtId="0" fontId="52" fillId="2" borderId="3" xfId="0" applyFont="1" applyFill="1" applyBorder="1" applyAlignment="1">
      <alignment horizontal="left" vertical="center" wrapText="1"/>
    </xf>
    <xf numFmtId="3" fontId="52" fillId="2" borderId="25" xfId="0" applyNumberFormat="1" applyFont="1" applyFill="1" applyBorder="1" applyAlignment="1">
      <alignment vertical="center"/>
    </xf>
    <xf numFmtId="3" fontId="49" fillId="2" borderId="7" xfId="0" applyNumberFormat="1" applyFont="1" applyFill="1" applyBorder="1" applyAlignment="1">
      <alignment vertical="center"/>
    </xf>
    <xf numFmtId="0" fontId="52" fillId="2" borderId="5" xfId="0" applyFont="1" applyFill="1" applyBorder="1" applyAlignment="1">
      <alignment horizontal="center" vertical="center" shrinkToFit="1"/>
    </xf>
    <xf numFmtId="167" fontId="52" fillId="2" borderId="5" xfId="0" applyNumberFormat="1" applyFont="1" applyFill="1" applyBorder="1" applyAlignment="1">
      <alignment vertical="center" shrinkToFit="1"/>
    </xf>
    <xf numFmtId="167" fontId="52" fillId="4" borderId="3" xfId="0" applyNumberFormat="1" applyFont="1" applyFill="1" applyBorder="1" applyAlignment="1">
      <alignment vertical="center" shrinkToFit="1"/>
    </xf>
    <xf numFmtId="167" fontId="49" fillId="4" borderId="3" xfId="0" applyNumberFormat="1" applyFont="1" applyFill="1" applyBorder="1" applyAlignment="1">
      <alignment vertical="center" shrinkToFit="1"/>
    </xf>
    <xf numFmtId="167" fontId="49" fillId="2" borderId="3" xfId="0" applyNumberFormat="1" applyFont="1" applyFill="1" applyBorder="1" applyAlignment="1">
      <alignment vertical="center" shrinkToFit="1"/>
    </xf>
    <xf numFmtId="167" fontId="49" fillId="6" borderId="3" xfId="0" applyNumberFormat="1" applyFont="1" applyFill="1" applyBorder="1" applyAlignment="1">
      <alignment vertical="center" shrinkToFit="1"/>
    </xf>
    <xf numFmtId="3" fontId="49" fillId="7" borderId="3" xfId="0" applyNumberFormat="1" applyFont="1" applyFill="1" applyBorder="1" applyAlignment="1">
      <alignment horizontal="left" vertical="center" wrapText="1"/>
    </xf>
    <xf numFmtId="0" fontId="52" fillId="4" borderId="3" xfId="0" applyFont="1" applyFill="1" applyBorder="1" applyAlignment="1">
      <alignment horizontal="center" vertical="center" shrinkToFit="1"/>
    </xf>
    <xf numFmtId="0" fontId="49" fillId="4" borderId="3" xfId="0" applyFont="1" applyFill="1" applyBorder="1" applyAlignment="1">
      <alignment horizontal="center" vertical="center" shrinkToFit="1"/>
    </xf>
    <xf numFmtId="0" fontId="49" fillId="4" borderId="3" xfId="0" applyFont="1" applyFill="1" applyBorder="1" applyAlignment="1">
      <alignment horizontal="left" vertical="center" shrinkToFit="1"/>
    </xf>
    <xf numFmtId="167" fontId="52" fillId="4" borderId="3" xfId="0" applyNumberFormat="1" applyFont="1" applyFill="1" applyBorder="1" applyAlignment="1">
      <alignment horizontal="right" vertical="center" shrinkToFit="1"/>
    </xf>
    <xf numFmtId="194" fontId="52" fillId="8" borderId="3" xfId="0" applyNumberFormat="1" applyFont="1" applyFill="1" applyBorder="1" applyAlignment="1">
      <alignment horizontal="left" vertical="center" wrapText="1"/>
    </xf>
    <xf numFmtId="3" fontId="49" fillId="2" borderId="3" xfId="0" applyNumberFormat="1" applyFont="1" applyFill="1" applyBorder="1" applyAlignment="1">
      <alignment horizontal="left" vertical="center" wrapText="1"/>
    </xf>
    <xf numFmtId="3" fontId="49" fillId="4" borderId="3" xfId="0" applyNumberFormat="1" applyFont="1" applyFill="1" applyBorder="1" applyAlignment="1">
      <alignment horizontal="left" vertical="center" wrapText="1"/>
    </xf>
    <xf numFmtId="3" fontId="52" fillId="9" borderId="3" xfId="0" applyNumberFormat="1" applyFont="1" applyFill="1" applyBorder="1" applyAlignment="1">
      <alignment horizontal="left" vertical="center" wrapText="1"/>
    </xf>
    <xf numFmtId="3" fontId="49" fillId="4" borderId="3" xfId="0" applyNumberFormat="1" applyFont="1" applyFill="1" applyBorder="1" applyAlignment="1">
      <alignment horizontal="justify" vertical="center" wrapText="1"/>
    </xf>
    <xf numFmtId="3" fontId="52" fillId="4" borderId="3" xfId="0" applyNumberFormat="1" applyFont="1" applyFill="1" applyBorder="1" applyAlignment="1">
      <alignment horizontal="left" vertical="center" wrapText="1"/>
    </xf>
    <xf numFmtId="37" fontId="49" fillId="2" borderId="3" xfId="0" applyNumberFormat="1" applyFont="1" applyFill="1" applyBorder="1" applyAlignment="1">
      <alignment horizontal="right" vertical="center" wrapText="1"/>
    </xf>
    <xf numFmtId="0" fontId="49" fillId="2" borderId="3" xfId="0" applyFont="1" applyFill="1" applyBorder="1" applyAlignment="1">
      <alignment vertical="center" wrapText="1"/>
    </xf>
    <xf numFmtId="43" fontId="52" fillId="2" borderId="4" xfId="1" applyNumberFormat="1" applyFont="1" applyFill="1" applyBorder="1" applyAlignment="1">
      <alignment vertical="center"/>
    </xf>
    <xf numFmtId="0" fontId="15" fillId="2" borderId="0" xfId="0" applyFont="1" applyFill="1" applyAlignment="1">
      <alignment horizontal="right"/>
    </xf>
    <xf numFmtId="0" fontId="123" fillId="2" borderId="0" xfId="0" applyFont="1" applyFill="1" applyAlignment="1">
      <alignment horizontal="right"/>
    </xf>
    <xf numFmtId="0" fontId="123" fillId="2" borderId="0" xfId="0" applyFont="1" applyFill="1"/>
    <xf numFmtId="41" fontId="15" fillId="2" borderId="0" xfId="2" applyFont="1" applyFill="1"/>
    <xf numFmtId="167" fontId="15" fillId="2" borderId="0" xfId="1" applyNumberFormat="1" applyFont="1" applyFill="1" applyAlignment="1">
      <alignment horizontal="right"/>
    </xf>
    <xf numFmtId="167" fontId="31" fillId="2" borderId="0" xfId="1" applyNumberFormat="1" applyFont="1" applyFill="1" applyAlignment="1">
      <alignment horizontal="center"/>
    </xf>
    <xf numFmtId="0" fontId="31" fillId="2" borderId="0" xfId="0" applyFont="1" applyFill="1" applyAlignment="1">
      <alignment horizontal="center"/>
    </xf>
    <xf numFmtId="0" fontId="31" fillId="2" borderId="0" xfId="0" applyFont="1" applyFill="1"/>
    <xf numFmtId="167" fontId="24" fillId="2" borderId="0" xfId="1" applyNumberFormat="1" applyFont="1" applyFill="1" applyBorder="1" applyAlignment="1">
      <alignment horizontal="center"/>
    </xf>
    <xf numFmtId="0" fontId="24" fillId="2" borderId="0" xfId="28" applyFont="1" applyFill="1" applyBorder="1" applyAlignment="1">
      <alignment horizontal="center"/>
    </xf>
    <xf numFmtId="0" fontId="124" fillId="2" borderId="9" xfId="0" applyFont="1" applyFill="1" applyBorder="1" applyAlignment="1">
      <alignment horizontal="right"/>
    </xf>
    <xf numFmtId="167" fontId="24" fillId="2" borderId="0" xfId="1" applyNumberFormat="1" applyFont="1" applyFill="1" applyBorder="1" applyAlignment="1">
      <alignment horizontal="right"/>
    </xf>
    <xf numFmtId="0" fontId="24" fillId="2" borderId="0" xfId="0" applyFont="1" applyFill="1" applyBorder="1" applyAlignment="1">
      <alignment horizontal="right"/>
    </xf>
    <xf numFmtId="0" fontId="124" fillId="2" borderId="0" xfId="0" applyFont="1" applyFill="1"/>
    <xf numFmtId="167" fontId="31" fillId="2" borderId="0" xfId="1" applyNumberFormat="1" applyFont="1" applyFill="1" applyBorder="1" applyAlignment="1">
      <alignment horizontal="center" vertical="center" wrapText="1"/>
    </xf>
    <xf numFmtId="0" fontId="31" fillId="2" borderId="0" xfId="0" applyNumberFormat="1"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4" xfId="0" applyNumberFormat="1" applyFont="1" applyFill="1" applyBorder="1" applyAlignment="1">
      <alignment horizontal="center" vertical="center" wrapText="1"/>
    </xf>
    <xf numFmtId="0" fontId="26" fillId="2" borderId="4" xfId="2" applyNumberFormat="1" applyFont="1" applyFill="1" applyBorder="1" applyAlignment="1">
      <alignment horizontal="center" vertical="center" wrapText="1"/>
    </xf>
    <xf numFmtId="167" fontId="26" fillId="2" borderId="0" xfId="1" applyNumberFormat="1" applyFont="1" applyFill="1" applyBorder="1" applyAlignment="1">
      <alignment horizontal="center" vertical="center" wrapText="1"/>
    </xf>
    <xf numFmtId="0" fontId="26" fillId="2" borderId="0" xfId="0" applyNumberFormat="1" applyFont="1" applyFill="1" applyBorder="1" applyAlignment="1">
      <alignment horizontal="center" vertical="center" wrapText="1"/>
    </xf>
    <xf numFmtId="0" fontId="15" fillId="2" borderId="5" xfId="0" applyFont="1" applyFill="1" applyBorder="1" applyAlignment="1">
      <alignment horizontal="center"/>
    </xf>
    <xf numFmtId="0" fontId="19" fillId="2" borderId="5" xfId="0" applyNumberFormat="1" applyFont="1" applyFill="1" applyBorder="1" applyAlignment="1">
      <alignment horizontal="left"/>
    </xf>
    <xf numFmtId="41" fontId="19" fillId="2" borderId="5" xfId="2" applyFont="1" applyFill="1" applyBorder="1"/>
    <xf numFmtId="41" fontId="19" fillId="2" borderId="4" xfId="2" applyFont="1" applyFill="1" applyBorder="1"/>
    <xf numFmtId="41" fontId="19" fillId="2" borderId="0" xfId="2" applyFont="1" applyFill="1" applyBorder="1"/>
    <xf numFmtId="0" fontId="19" fillId="2" borderId="3" xfId="0" applyNumberFormat="1" applyFont="1" applyFill="1" applyBorder="1" applyAlignment="1"/>
    <xf numFmtId="41" fontId="19" fillId="2" borderId="8" xfId="2" applyFont="1" applyFill="1" applyBorder="1"/>
    <xf numFmtId="0" fontId="19" fillId="2" borderId="3" xfId="28" applyFont="1" applyFill="1" applyBorder="1" applyAlignment="1">
      <alignment horizontal="center"/>
    </xf>
    <xf numFmtId="0" fontId="19" fillId="2" borderId="3" xfId="28" applyFont="1" applyFill="1" applyBorder="1" applyAlignment="1">
      <alignment horizontal="justify" wrapText="1"/>
    </xf>
    <xf numFmtId="167" fontId="19" fillId="2" borderId="0" xfId="1" applyNumberFormat="1" applyFont="1" applyFill="1" applyBorder="1"/>
    <xf numFmtId="0" fontId="15" fillId="2" borderId="3" xfId="28" applyFont="1" applyFill="1" applyBorder="1" applyAlignment="1">
      <alignment horizontal="center"/>
    </xf>
    <xf numFmtId="0" fontId="15" fillId="2" borderId="3" xfId="28" applyFont="1" applyFill="1" applyBorder="1" applyAlignment="1">
      <alignment horizontal="justify" wrapText="1"/>
    </xf>
    <xf numFmtId="168" fontId="15" fillId="2" borderId="3" xfId="1" applyNumberFormat="1" applyFont="1" applyFill="1" applyBorder="1"/>
    <xf numFmtId="167" fontId="15" fillId="2" borderId="0" xfId="1" applyNumberFormat="1" applyFont="1" applyFill="1" applyBorder="1"/>
    <xf numFmtId="168" fontId="15" fillId="2" borderId="0" xfId="1" applyNumberFormat="1" applyFont="1" applyFill="1" applyBorder="1"/>
    <xf numFmtId="41" fontId="19" fillId="2" borderId="0" xfId="0" applyNumberFormat="1" applyFont="1" applyFill="1"/>
    <xf numFmtId="41" fontId="15" fillId="2" borderId="3" xfId="2" applyNumberFormat="1" applyFont="1" applyFill="1" applyBorder="1"/>
    <xf numFmtId="41" fontId="15" fillId="2" borderId="0" xfId="2" applyFont="1" applyFill="1" applyBorder="1"/>
    <xf numFmtId="0" fontId="24" fillId="2" borderId="3" xfId="28" applyFont="1" applyFill="1" applyBorder="1" applyAlignment="1">
      <alignment horizontal="center"/>
    </xf>
    <xf numFmtId="0" fontId="24" fillId="2" borderId="3" xfId="28" applyFont="1" applyFill="1" applyBorder="1" applyAlignment="1">
      <alignment horizontal="justify" wrapText="1"/>
    </xf>
    <xf numFmtId="41" fontId="24" fillId="2" borderId="3" xfId="2" applyFont="1" applyFill="1" applyBorder="1"/>
    <xf numFmtId="168" fontId="24" fillId="2" borderId="3" xfId="1" applyNumberFormat="1" applyFont="1" applyFill="1" applyBorder="1"/>
    <xf numFmtId="167" fontId="24" fillId="2" borderId="3" xfId="1" applyNumberFormat="1" applyFont="1" applyFill="1" applyBorder="1"/>
    <xf numFmtId="167" fontId="24" fillId="2" borderId="0" xfId="1" applyNumberFormat="1" applyFont="1" applyFill="1" applyBorder="1"/>
    <xf numFmtId="168" fontId="24" fillId="2" borderId="0" xfId="1" applyNumberFormat="1" applyFont="1" applyFill="1" applyBorder="1"/>
    <xf numFmtId="0" fontId="15" fillId="2" borderId="3" xfId="28" applyFont="1" applyFill="1" applyBorder="1" applyAlignment="1">
      <alignment horizontal="justify"/>
    </xf>
    <xf numFmtId="0" fontId="19" fillId="2" borderId="0" xfId="0" applyFont="1" applyFill="1" applyBorder="1"/>
    <xf numFmtId="0" fontId="15" fillId="2" borderId="0" xfId="0" applyFont="1" applyFill="1" applyBorder="1"/>
    <xf numFmtId="41" fontId="15" fillId="2" borderId="3" xfId="2" applyNumberFormat="1" applyFont="1" applyFill="1" applyBorder="1" applyAlignment="1">
      <alignment horizontal="right"/>
    </xf>
    <xf numFmtId="0" fontId="19" fillId="2" borderId="3" xfId="0" applyFont="1" applyFill="1" applyBorder="1" applyAlignment="1">
      <alignment horizontal="center" vertical="center"/>
    </xf>
    <xf numFmtId="0" fontId="19" fillId="2" borderId="3" xfId="0" applyNumberFormat="1" applyFont="1" applyFill="1" applyBorder="1" applyAlignment="1">
      <alignment horizontal="justify" vertical="center" wrapText="1"/>
    </xf>
    <xf numFmtId="41" fontId="19" fillId="2" borderId="3" xfId="2" applyFont="1" applyFill="1" applyBorder="1" applyAlignment="1">
      <alignment vertical="center"/>
    </xf>
    <xf numFmtId="41" fontId="19" fillId="2" borderId="5" xfId="2" applyFont="1" applyFill="1" applyBorder="1" applyAlignment="1">
      <alignment vertical="center"/>
    </xf>
    <xf numFmtId="41" fontId="19" fillId="2" borderId="0" xfId="2" applyFont="1" applyFill="1" applyBorder="1" applyAlignment="1">
      <alignment vertical="center"/>
    </xf>
    <xf numFmtId="0" fontId="19" fillId="2" borderId="3" xfId="0" applyFont="1" applyFill="1" applyBorder="1" applyAlignment="1">
      <alignment horizontal="justify" vertical="center"/>
    </xf>
    <xf numFmtId="167" fontId="19" fillId="2" borderId="0" xfId="1" applyNumberFormat="1" applyFont="1" applyFill="1" applyBorder="1" applyAlignment="1">
      <alignment vertical="center"/>
    </xf>
    <xf numFmtId="0" fontId="15" fillId="2" borderId="3" xfId="0" applyFont="1" applyFill="1" applyBorder="1" applyAlignment="1">
      <alignment horizontal="center" vertical="center"/>
    </xf>
    <xf numFmtId="3" fontId="15" fillId="2" borderId="3" xfId="0" applyNumberFormat="1" applyFont="1" applyFill="1" applyBorder="1" applyAlignment="1">
      <alignment horizontal="justify" vertical="center"/>
    </xf>
    <xf numFmtId="41" fontId="15" fillId="2" borderId="3" xfId="2" applyFont="1" applyFill="1" applyBorder="1" applyAlignment="1">
      <alignment vertical="center"/>
    </xf>
    <xf numFmtId="167" fontId="19" fillId="2" borderId="3" xfId="1" applyNumberFormat="1" applyFont="1" applyFill="1" applyBorder="1" applyAlignment="1">
      <alignment vertical="center"/>
    </xf>
    <xf numFmtId="167" fontId="15" fillId="2" borderId="3" xfId="1" applyNumberFormat="1" applyFont="1" applyFill="1" applyBorder="1" applyAlignment="1">
      <alignment vertical="center"/>
    </xf>
    <xf numFmtId="167" fontId="15" fillId="2" borderId="0" xfId="1" applyNumberFormat="1" applyFont="1" applyFill="1"/>
    <xf numFmtId="3" fontId="19" fillId="2" borderId="3" xfId="0" applyNumberFormat="1" applyFont="1" applyFill="1" applyBorder="1" applyAlignment="1">
      <alignment horizontal="justify" vertical="center"/>
    </xf>
    <xf numFmtId="167" fontId="15" fillId="2" borderId="0" xfId="1" applyNumberFormat="1" applyFont="1" applyFill="1" applyBorder="1" applyAlignment="1">
      <alignment vertical="center"/>
    </xf>
    <xf numFmtId="41" fontId="15" fillId="2" borderId="0" xfId="2" applyFont="1" applyFill="1" applyBorder="1" applyAlignment="1">
      <alignment vertical="center"/>
    </xf>
    <xf numFmtId="3" fontId="15" fillId="2" borderId="3" xfId="27" applyNumberFormat="1"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9" fillId="2" borderId="3" xfId="0" applyFont="1" applyFill="1" applyBorder="1" applyAlignment="1">
      <alignment horizontal="justify" vertical="center" wrapText="1"/>
    </xf>
    <xf numFmtId="3" fontId="15" fillId="2" borderId="3" xfId="0" applyNumberFormat="1" applyFont="1" applyFill="1" applyBorder="1" applyAlignment="1">
      <alignment horizontal="justify" vertical="center" wrapText="1"/>
    </xf>
    <xf numFmtId="0" fontId="24" fillId="2" borderId="3" xfId="0" applyFont="1" applyFill="1" applyBorder="1" applyAlignment="1">
      <alignment vertical="center"/>
    </xf>
    <xf numFmtId="0" fontId="24" fillId="2" borderId="3" xfId="0" applyFont="1" applyFill="1" applyBorder="1" applyAlignment="1">
      <alignment horizontal="center" vertical="center"/>
    </xf>
    <xf numFmtId="3" fontId="24" fillId="2" borderId="3" xfId="0" applyNumberFormat="1" applyFont="1" applyFill="1" applyBorder="1" applyAlignment="1">
      <alignment horizontal="justify" vertical="center" wrapText="1"/>
    </xf>
    <xf numFmtId="3" fontId="19" fillId="2" borderId="3" xfId="0" applyNumberFormat="1" applyFont="1" applyFill="1" applyBorder="1" applyAlignment="1">
      <alignment horizontal="justify" vertical="center" wrapText="1"/>
    </xf>
    <xf numFmtId="0" fontId="15" fillId="2" borderId="7" xfId="0" applyFont="1" applyFill="1" applyBorder="1" applyAlignment="1">
      <alignment horizontal="center" vertical="center"/>
    </xf>
    <xf numFmtId="3" fontId="15" fillId="2" borderId="7" xfId="0" applyNumberFormat="1" applyFont="1" applyFill="1" applyBorder="1" applyAlignment="1">
      <alignment horizontal="justify" vertical="center" wrapText="1"/>
    </xf>
    <xf numFmtId="0" fontId="15" fillId="2" borderId="7" xfId="0" applyFont="1" applyFill="1" applyBorder="1"/>
    <xf numFmtId="167" fontId="15" fillId="2" borderId="7" xfId="1" applyNumberFormat="1" applyFont="1" applyFill="1" applyBorder="1"/>
    <xf numFmtId="167" fontId="123" fillId="2" borderId="0" xfId="1" applyNumberFormat="1" applyFont="1" applyFill="1"/>
    <xf numFmtId="0" fontId="52" fillId="3" borderId="0" xfId="0" applyFont="1" applyFill="1"/>
    <xf numFmtId="0" fontId="55" fillId="2" borderId="7" xfId="0" applyFont="1" applyFill="1" applyBorder="1" applyAlignment="1">
      <alignment horizontal="center"/>
    </xf>
    <xf numFmtId="0" fontId="55" fillId="2" borderId="7" xfId="0" applyFont="1" applyFill="1" applyBorder="1"/>
    <xf numFmtId="184" fontId="55" fillId="2" borderId="7" xfId="6" applyNumberFormat="1" applyFont="1" applyFill="1" applyBorder="1" applyAlignment="1">
      <alignment horizontal="right"/>
    </xf>
    <xf numFmtId="167" fontId="55" fillId="2" borderId="7" xfId="6" applyNumberFormat="1" applyFont="1" applyFill="1" applyBorder="1" applyAlignment="1">
      <alignment horizontal="right" wrapText="1"/>
    </xf>
    <xf numFmtId="167" fontId="55" fillId="2" borderId="7" xfId="1" applyNumberFormat="1" applyFont="1" applyFill="1" applyBorder="1"/>
    <xf numFmtId="0" fontId="49" fillId="2" borderId="6" xfId="0" applyFont="1" applyFill="1" applyBorder="1" applyAlignment="1">
      <alignment horizontal="justify" vertical="center" wrapText="1"/>
    </xf>
    <xf numFmtId="0" fontId="81" fillId="2" borderId="3" xfId="55" applyFont="1" applyFill="1" applyBorder="1" applyAlignment="1">
      <alignment horizontal="justify" vertical="center" wrapText="1"/>
    </xf>
    <xf numFmtId="0" fontId="52" fillId="2" borderId="4" xfId="0" applyFont="1" applyFill="1" applyBorder="1" applyAlignment="1">
      <alignment horizontal="center" vertical="center" wrapText="1"/>
    </xf>
    <xf numFmtId="0" fontId="112" fillId="2" borderId="10" xfId="0" applyFont="1" applyFill="1" applyBorder="1" applyAlignment="1">
      <alignment horizontal="center" vertical="center" wrapText="1"/>
    </xf>
    <xf numFmtId="0" fontId="52" fillId="2" borderId="8" xfId="0" applyFont="1" applyFill="1" applyBorder="1" applyAlignment="1">
      <alignment horizontal="center" vertical="center"/>
    </xf>
    <xf numFmtId="0" fontId="52" fillId="2" borderId="8" xfId="0" applyNumberFormat="1" applyFont="1" applyFill="1" applyBorder="1" applyAlignment="1">
      <alignment vertical="center"/>
    </xf>
    <xf numFmtId="41" fontId="52" fillId="2" borderId="8" xfId="2" applyFont="1" applyFill="1" applyBorder="1" applyAlignment="1">
      <alignment vertical="center"/>
    </xf>
    <xf numFmtId="43" fontId="52" fillId="2" borderId="8" xfId="1" applyNumberFormat="1" applyFont="1" applyFill="1" applyBorder="1" applyAlignment="1">
      <alignment vertical="center"/>
    </xf>
    <xf numFmtId="0" fontId="52" fillId="2" borderId="4" xfId="0" applyNumberFormat="1" applyFont="1" applyFill="1" applyBorder="1" applyAlignment="1">
      <alignment vertical="center"/>
    </xf>
    <xf numFmtId="41" fontId="52" fillId="2" borderId="4" xfId="2" applyFont="1" applyFill="1" applyBorder="1" applyAlignment="1">
      <alignment vertical="center"/>
    </xf>
    <xf numFmtId="41" fontId="52" fillId="2" borderId="4" xfId="2" applyNumberFormat="1" applyFont="1" applyFill="1" applyBorder="1" applyAlignment="1">
      <alignment vertical="center"/>
    </xf>
    <xf numFmtId="0" fontId="49" fillId="2" borderId="6" xfId="0" applyFont="1" applyFill="1" applyBorder="1" applyAlignment="1">
      <alignment horizontal="center" vertical="center"/>
    </xf>
    <xf numFmtId="3" fontId="49" fillId="2" borderId="6" xfId="0" applyNumberFormat="1" applyFont="1" applyFill="1" applyBorder="1" applyAlignment="1">
      <alignment horizontal="justify" vertical="center" wrapText="1"/>
    </xf>
    <xf numFmtId="167" fontId="49" fillId="2" borderId="6" xfId="1" applyNumberFormat="1" applyFont="1" applyFill="1" applyBorder="1" applyAlignment="1">
      <alignment vertical="center"/>
    </xf>
    <xf numFmtId="41" fontId="49" fillId="2" borderId="6" xfId="2" applyFont="1" applyFill="1" applyBorder="1" applyAlignment="1">
      <alignment vertical="center"/>
    </xf>
    <xf numFmtId="43" fontId="49" fillId="2" borderId="6" xfId="1" applyNumberFormat="1" applyFont="1" applyFill="1" applyBorder="1" applyAlignment="1">
      <alignment vertical="center"/>
    </xf>
    <xf numFmtId="0" fontId="49" fillId="2" borderId="8" xfId="0" applyFont="1" applyFill="1" applyBorder="1" applyAlignment="1">
      <alignment horizontal="center" vertical="center"/>
    </xf>
    <xf numFmtId="0" fontId="49" fillId="2" borderId="8" xfId="0" applyFont="1" applyFill="1" applyBorder="1" applyAlignment="1">
      <alignment horizontal="justify" vertical="center"/>
    </xf>
    <xf numFmtId="167" fontId="49" fillId="2" borderId="8" xfId="1" applyNumberFormat="1" applyFont="1" applyFill="1" applyBorder="1" applyAlignment="1">
      <alignment vertical="center"/>
    </xf>
    <xf numFmtId="41" fontId="49" fillId="2" borderId="8" xfId="2" applyFont="1" applyFill="1" applyBorder="1" applyAlignment="1">
      <alignment vertical="center"/>
    </xf>
    <xf numFmtId="43" fontId="49" fillId="2" borderId="8" xfId="1" applyNumberFormat="1" applyFont="1" applyFill="1" applyBorder="1" applyAlignment="1">
      <alignment vertical="center"/>
    </xf>
    <xf numFmtId="43" fontId="49" fillId="2" borderId="4" xfId="1" applyNumberFormat="1" applyFont="1" applyFill="1" applyBorder="1" applyAlignment="1">
      <alignment vertical="center"/>
    </xf>
    <xf numFmtId="0" fontId="15" fillId="2" borderId="3" xfId="28" applyFont="1" applyFill="1" applyBorder="1" applyAlignment="1">
      <alignment horizontal="center" vertical="center"/>
    </xf>
    <xf numFmtId="0" fontId="15" fillId="2" borderId="3" xfId="28" applyFont="1" applyFill="1" applyBorder="1" applyAlignment="1">
      <alignment horizontal="justify" vertical="center" wrapText="1"/>
    </xf>
    <xf numFmtId="41" fontId="15" fillId="2" borderId="7" xfId="2" applyFont="1" applyFill="1" applyBorder="1" applyAlignment="1">
      <alignment vertical="center"/>
    </xf>
    <xf numFmtId="0" fontId="52" fillId="0" borderId="3" xfId="0" applyFont="1" applyFill="1" applyBorder="1" applyAlignment="1">
      <alignment horizontal="center" vertical="center" wrapText="1"/>
    </xf>
    <xf numFmtId="0" fontId="52" fillId="0" borderId="6" xfId="0" applyFont="1" applyFill="1" applyBorder="1" applyAlignment="1">
      <alignment horizontal="justify" vertical="center" wrapText="1"/>
    </xf>
    <xf numFmtId="183" fontId="52" fillId="0" borderId="3" xfId="6" applyNumberFormat="1" applyFont="1" applyFill="1" applyBorder="1" applyAlignment="1">
      <alignment horizontal="right" vertical="center" wrapText="1"/>
    </xf>
    <xf numFmtId="167" fontId="52" fillId="0" borderId="3" xfId="1" applyNumberFormat="1" applyFont="1" applyFill="1" applyBorder="1" applyAlignment="1">
      <alignment horizontal="right" vertical="center" wrapText="1"/>
    </xf>
    <xf numFmtId="181" fontId="52" fillId="0" borderId="3" xfId="0" applyNumberFormat="1" applyFont="1" applyFill="1" applyBorder="1" applyAlignment="1">
      <alignment horizontal="center" vertical="center" wrapText="1"/>
    </xf>
    <xf numFmtId="167" fontId="52" fillId="0" borderId="3" xfId="1" applyNumberFormat="1" applyFont="1" applyFill="1" applyBorder="1" applyAlignment="1">
      <alignment horizontal="center"/>
    </xf>
    <xf numFmtId="0" fontId="102" fillId="0" borderId="3" xfId="0" applyFont="1" applyFill="1" applyBorder="1" applyAlignment="1">
      <alignment horizontal="center" vertical="center" wrapText="1"/>
    </xf>
    <xf numFmtId="0" fontId="102" fillId="0" borderId="3" xfId="55" applyFont="1" applyFill="1" applyBorder="1" applyAlignment="1">
      <alignment horizontal="justify" vertical="center" wrapText="1"/>
    </xf>
    <xf numFmtId="167" fontId="102" fillId="0" borderId="3" xfId="6" applyNumberFormat="1" applyFont="1" applyFill="1" applyBorder="1" applyAlignment="1">
      <alignment horizontal="right" vertical="center" wrapText="1"/>
    </xf>
    <xf numFmtId="181" fontId="102" fillId="0" borderId="3" xfId="0" applyNumberFormat="1" applyFont="1" applyFill="1" applyBorder="1" applyAlignment="1">
      <alignment vertical="center"/>
    </xf>
    <xf numFmtId="167" fontId="102" fillId="0" borderId="3" xfId="1" applyNumberFormat="1" applyFont="1" applyFill="1" applyBorder="1" applyAlignment="1">
      <alignment horizontal="center"/>
    </xf>
    <xf numFmtId="181" fontId="102" fillId="0" borderId="6" xfId="0" applyNumberFormat="1" applyFont="1" applyFill="1" applyBorder="1" applyAlignment="1">
      <alignment vertical="center"/>
    </xf>
    <xf numFmtId="0" fontId="81" fillId="0" borderId="3" xfId="0" applyFont="1" applyFill="1" applyBorder="1" applyAlignment="1">
      <alignment horizontal="center" vertical="center" wrapText="1"/>
    </xf>
    <xf numFmtId="0" fontId="49" fillId="0" borderId="3" xfId="0" applyFont="1" applyFill="1" applyBorder="1" applyAlignment="1">
      <alignment horizontal="justify" vertical="center" wrapText="1"/>
    </xf>
    <xf numFmtId="183" fontId="81" fillId="0" borderId="3" xfId="6" applyNumberFormat="1" applyFont="1" applyFill="1" applyBorder="1" applyAlignment="1">
      <alignment horizontal="right" vertical="center" wrapText="1"/>
    </xf>
    <xf numFmtId="167" fontId="81" fillId="0" borderId="3" xfId="6" applyNumberFormat="1" applyFont="1" applyFill="1" applyBorder="1" applyAlignment="1">
      <alignment horizontal="right" vertical="center" wrapText="1"/>
    </xf>
    <xf numFmtId="181" fontId="81" fillId="0" borderId="3" xfId="0" applyNumberFormat="1" applyFont="1" applyFill="1" applyBorder="1" applyAlignment="1">
      <alignment vertical="center" wrapText="1"/>
    </xf>
    <xf numFmtId="167" fontId="81" fillId="0" borderId="3" xfId="1" applyNumberFormat="1" applyFont="1" applyFill="1" applyBorder="1" applyAlignment="1">
      <alignment horizontal="center"/>
    </xf>
    <xf numFmtId="0" fontId="49" fillId="0" borderId="3" xfId="55" applyFont="1" applyFill="1" applyBorder="1" applyAlignment="1">
      <alignment horizontal="justify" vertical="center" wrapText="1"/>
    </xf>
    <xf numFmtId="167" fontId="81" fillId="0" borderId="3" xfId="1" applyNumberFormat="1" applyFont="1" applyFill="1" applyBorder="1" applyAlignment="1">
      <alignment horizontal="right" vertical="center" wrapText="1"/>
    </xf>
    <xf numFmtId="0" fontId="49" fillId="0" borderId="8" xfId="0" applyFont="1" applyFill="1" applyBorder="1" applyAlignment="1">
      <alignment horizontal="left" vertical="center" wrapText="1"/>
    </xf>
    <xf numFmtId="167" fontId="102" fillId="0" borderId="3" xfId="1" applyNumberFormat="1" applyFont="1" applyFill="1" applyBorder="1" applyAlignment="1">
      <alignment horizontal="right" vertical="center" wrapText="1"/>
    </xf>
    <xf numFmtId="181" fontId="81" fillId="0" borderId="8" xfId="0" applyNumberFormat="1" applyFont="1" applyFill="1" applyBorder="1" applyAlignment="1">
      <alignment horizontal="center" vertical="center" wrapText="1"/>
    </xf>
    <xf numFmtId="0" fontId="81" fillId="0" borderId="3" xfId="55" applyFont="1" applyFill="1" applyBorder="1" applyAlignment="1">
      <alignment horizontal="justify" vertical="center" wrapText="1"/>
    </xf>
    <xf numFmtId="167" fontId="52" fillId="0" borderId="0" xfId="1" applyNumberFormat="1" applyFont="1" applyFill="1"/>
    <xf numFmtId="0" fontId="52" fillId="0" borderId="0" xfId="0" applyFont="1" applyFill="1"/>
    <xf numFmtId="167" fontId="81" fillId="0" borderId="0" xfId="1" applyNumberFormat="1" applyFont="1" applyFill="1"/>
    <xf numFmtId="0" fontId="81" fillId="0" borderId="0" xfId="0" applyFont="1" applyFill="1"/>
    <xf numFmtId="0" fontId="108" fillId="2" borderId="4" xfId="0" applyFont="1" applyFill="1" applyBorder="1" applyAlignment="1">
      <alignment horizontal="center" vertical="center" wrapText="1"/>
    </xf>
    <xf numFmtId="0" fontId="112" fillId="2" borderId="24" xfId="0" applyFont="1" applyFill="1" applyBorder="1" applyAlignment="1">
      <alignment horizontal="center" vertical="center"/>
    </xf>
    <xf numFmtId="0" fontId="112" fillId="2" borderId="27" xfId="0" applyFont="1" applyFill="1" applyBorder="1" applyAlignment="1">
      <alignment horizontal="center" vertical="center"/>
    </xf>
    <xf numFmtId="0" fontId="57" fillId="2" borderId="4" xfId="0" applyFont="1" applyFill="1" applyBorder="1" applyAlignment="1">
      <alignment horizontal="center" vertical="center" wrapText="1"/>
    </xf>
    <xf numFmtId="0" fontId="57" fillId="2" borderId="4" xfId="0" applyNumberFormat="1" applyFont="1" applyFill="1" applyBorder="1" applyAlignment="1">
      <alignment horizontal="center" vertical="center" wrapText="1"/>
    </xf>
    <xf numFmtId="0" fontId="57" fillId="2" borderId="4" xfId="2" applyNumberFormat="1" applyFont="1" applyFill="1" applyBorder="1" applyAlignment="1">
      <alignment horizontal="center" vertical="center" wrapText="1"/>
    </xf>
    <xf numFmtId="183" fontId="52" fillId="2" borderId="4" xfId="6" applyNumberFormat="1" applyFont="1" applyFill="1" applyBorder="1" applyAlignment="1">
      <alignment horizontal="center" vertical="center" wrapText="1"/>
    </xf>
    <xf numFmtId="167" fontId="52" fillId="2" borderId="4" xfId="6" applyNumberFormat="1" applyFont="1" applyFill="1" applyBorder="1" applyAlignment="1">
      <alignment horizontal="center" vertical="center" wrapText="1"/>
    </xf>
    <xf numFmtId="167" fontId="52" fillId="2" borderId="4" xfId="1" applyNumberFormat="1" applyFont="1" applyFill="1" applyBorder="1" applyAlignment="1">
      <alignment horizontal="center" vertical="center"/>
    </xf>
    <xf numFmtId="0" fontId="99" fillId="2" borderId="4" xfId="0" applyFont="1" applyFill="1" applyBorder="1" applyAlignment="1">
      <alignment horizontal="center" vertical="center" wrapText="1"/>
    </xf>
    <xf numFmtId="0" fontId="55" fillId="2" borderId="8" xfId="0" applyFont="1" applyFill="1" applyBorder="1" applyAlignment="1">
      <alignment horizontal="justify" vertical="center" wrapText="1"/>
    </xf>
    <xf numFmtId="0" fontId="99" fillId="2" borderId="3" xfId="0" applyFont="1" applyFill="1" applyBorder="1" applyAlignment="1">
      <alignment vertical="center"/>
    </xf>
    <xf numFmtId="167" fontId="99" fillId="2" borderId="3" xfId="1" applyNumberFormat="1" applyFont="1" applyFill="1" applyBorder="1" applyAlignment="1">
      <alignment vertical="center"/>
    </xf>
    <xf numFmtId="0" fontId="99" fillId="2" borderId="0" xfId="0" applyFont="1" applyFill="1"/>
    <xf numFmtId="0" fontId="49" fillId="2" borderId="0" xfId="0" applyFont="1" applyFill="1" applyAlignment="1">
      <alignment horizontal="center"/>
    </xf>
    <xf numFmtId="0" fontId="49" fillId="2" borderId="0" xfId="0" applyFont="1" applyFill="1"/>
    <xf numFmtId="0" fontId="49" fillId="2" borderId="0" xfId="0" applyFont="1" applyFill="1" applyAlignment="1">
      <alignment horizontal="center"/>
    </xf>
    <xf numFmtId="181" fontId="81" fillId="2" borderId="8" xfId="0" applyNumberFormat="1" applyFont="1" applyFill="1" applyBorder="1" applyAlignment="1">
      <alignment horizontal="center" vertical="center" wrapText="1"/>
    </xf>
    <xf numFmtId="0" fontId="49" fillId="2" borderId="0" xfId="0" applyFont="1" applyFill="1"/>
    <xf numFmtId="195" fontId="85" fillId="2" borderId="0" xfId="0" applyNumberFormat="1" applyFont="1" applyFill="1"/>
    <xf numFmtId="167" fontId="99" fillId="2" borderId="0" xfId="0" applyNumberFormat="1" applyFont="1" applyFill="1"/>
    <xf numFmtId="0" fontId="102" fillId="2" borderId="3" xfId="55" applyFont="1" applyFill="1" applyBorder="1" applyAlignment="1">
      <alignment horizontal="justify" vertical="center" wrapText="1"/>
    </xf>
    <xf numFmtId="0" fontId="127" fillId="2" borderId="5" xfId="0" applyFont="1" applyFill="1" applyBorder="1" applyAlignment="1">
      <alignment horizontal="center" vertical="center" wrapText="1"/>
    </xf>
    <xf numFmtId="0" fontId="127" fillId="2" borderId="5" xfId="0" applyFont="1" applyFill="1" applyBorder="1" applyAlignment="1">
      <alignment horizontal="left" vertical="center" wrapText="1"/>
    </xf>
    <xf numFmtId="0" fontId="127" fillId="2" borderId="3" xfId="0" applyFont="1" applyFill="1" applyBorder="1" applyAlignment="1">
      <alignment horizontal="center" vertical="center" wrapText="1"/>
    </xf>
    <xf numFmtId="0" fontId="127" fillId="2" borderId="3" xfId="0" applyFont="1" applyFill="1" applyBorder="1" applyAlignment="1">
      <alignment horizontal="left" vertical="center" wrapText="1"/>
    </xf>
    <xf numFmtId="0" fontId="129" fillId="2" borderId="3" xfId="0" applyFont="1" applyFill="1" applyBorder="1" applyAlignment="1">
      <alignment horizontal="center" vertical="center" wrapText="1"/>
    </xf>
    <xf numFmtId="0" fontId="129" fillId="2" borderId="3" xfId="0" applyFont="1" applyFill="1" applyBorder="1" applyAlignment="1">
      <alignment horizontal="left" vertical="center" wrapText="1"/>
    </xf>
    <xf numFmtId="167" fontId="129" fillId="2" borderId="3" xfId="1" applyNumberFormat="1" applyFont="1" applyFill="1" applyBorder="1" applyAlignment="1">
      <alignment horizontal="center" vertical="center" wrapText="1"/>
    </xf>
    <xf numFmtId="179" fontId="129" fillId="2" borderId="3" xfId="26" applyNumberFormat="1" applyFont="1" applyFill="1" applyBorder="1" applyAlignment="1">
      <alignment horizontal="left" vertical="center" wrapText="1"/>
    </xf>
    <xf numFmtId="3" fontId="129" fillId="2" borderId="3" xfId="0" applyNumberFormat="1" applyFont="1" applyFill="1" applyBorder="1" applyAlignment="1">
      <alignment horizontal="left" vertical="center" wrapText="1"/>
    </xf>
    <xf numFmtId="0" fontId="52" fillId="2" borderId="0" xfId="0" applyFont="1" applyFill="1" applyAlignment="1">
      <alignment horizontal="center"/>
    </xf>
    <xf numFmtId="0" fontId="49" fillId="2" borderId="0" xfId="0" applyFont="1" applyFill="1" applyAlignment="1"/>
    <xf numFmtId="167" fontId="49" fillId="2" borderId="0" xfId="0" applyNumberFormat="1" applyFont="1" applyFill="1"/>
    <xf numFmtId="167" fontId="52" fillId="2" borderId="0" xfId="0" applyNumberFormat="1" applyFont="1" applyFill="1"/>
    <xf numFmtId="0" fontId="52" fillId="2" borderId="0" xfId="0" applyFont="1" applyFill="1" applyAlignment="1"/>
    <xf numFmtId="167" fontId="52" fillId="2" borderId="0" xfId="0" applyNumberFormat="1" applyFont="1" applyFill="1" applyAlignment="1">
      <alignment horizontal="center"/>
    </xf>
    <xf numFmtId="0" fontId="112" fillId="2" borderId="0" xfId="28" applyFont="1" applyFill="1" applyAlignment="1"/>
    <xf numFmtId="167" fontId="49" fillId="2" borderId="0" xfId="1" applyNumberFormat="1" applyFont="1" applyFill="1" applyBorder="1" applyAlignment="1">
      <alignment horizontal="center" vertical="center" wrapText="1"/>
    </xf>
    <xf numFmtId="0" fontId="112" fillId="2" borderId="9" xfId="0" applyFont="1" applyFill="1" applyBorder="1" applyAlignment="1">
      <alignment horizontal="right"/>
    </xf>
    <xf numFmtId="167" fontId="55" fillId="2" borderId="9" xfId="1" applyNumberFormat="1" applyFont="1" applyFill="1" applyBorder="1" applyAlignment="1">
      <alignment horizontal="center"/>
    </xf>
    <xf numFmtId="0" fontId="100" fillId="2" borderId="4" xfId="0" applyFont="1" applyFill="1" applyBorder="1" applyAlignment="1">
      <alignment horizontal="center" vertical="center" wrapText="1"/>
    </xf>
    <xf numFmtId="167" fontId="36" fillId="2" borderId="5" xfId="1" applyNumberFormat="1" applyFont="1" applyFill="1" applyBorder="1" applyAlignment="1">
      <alignment horizontal="center" vertical="center" wrapText="1"/>
    </xf>
    <xf numFmtId="0" fontId="36" fillId="2" borderId="0" xfId="0" applyFont="1" applyFill="1"/>
    <xf numFmtId="167" fontId="36" fillId="2" borderId="3" xfId="1" applyNumberFormat="1" applyFont="1" applyFill="1" applyBorder="1" applyAlignment="1">
      <alignment horizontal="center" vertical="center" wrapText="1"/>
    </xf>
    <xf numFmtId="41" fontId="108" fillId="2" borderId="0" xfId="0" applyNumberFormat="1" applyFont="1" applyFill="1"/>
    <xf numFmtId="0" fontId="108" fillId="2" borderId="0" xfId="0" applyFont="1" applyFill="1"/>
    <xf numFmtId="0" fontId="36" fillId="2" borderId="3" xfId="0" applyFont="1" applyFill="1" applyBorder="1" applyAlignment="1">
      <alignment horizontal="center" vertical="center"/>
    </xf>
    <xf numFmtId="0" fontId="36" fillId="2" borderId="3" xfId="0" applyFont="1" applyFill="1" applyBorder="1" applyAlignment="1">
      <alignment vertical="center"/>
    </xf>
    <xf numFmtId="0" fontId="34" fillId="2" borderId="3" xfId="0" applyFont="1" applyFill="1" applyBorder="1" applyAlignment="1">
      <alignment horizontal="center" vertical="center"/>
    </xf>
    <xf numFmtId="179" fontId="34" fillId="2" borderId="3" xfId="0" applyNumberFormat="1" applyFont="1" applyFill="1" applyBorder="1" applyAlignment="1">
      <alignment vertical="center"/>
    </xf>
    <xf numFmtId="0" fontId="34" fillId="2" borderId="3" xfId="0" applyFont="1" applyFill="1" applyBorder="1" applyAlignment="1">
      <alignment vertical="center"/>
    </xf>
    <xf numFmtId="167" fontId="48" fillId="2" borderId="3" xfId="1" applyNumberFormat="1" applyFont="1" applyFill="1" applyBorder="1" applyAlignment="1">
      <alignment horizontal="center" vertical="center" wrapText="1"/>
    </xf>
    <xf numFmtId="0" fontId="100" fillId="2" borderId="3" xfId="0" applyFont="1" applyFill="1" applyBorder="1" applyAlignment="1">
      <alignment horizontal="center" vertical="center"/>
    </xf>
    <xf numFmtId="0" fontId="100" fillId="2" borderId="3" xfId="0" applyFont="1" applyFill="1" applyBorder="1" applyAlignment="1">
      <alignment vertical="center"/>
    </xf>
    <xf numFmtId="167" fontId="100" fillId="2" borderId="3" xfId="1" applyNumberFormat="1" applyFont="1" applyFill="1" applyBorder="1" applyAlignment="1">
      <alignment horizontal="center" vertical="center" wrapText="1"/>
    </xf>
    <xf numFmtId="0" fontId="112" fillId="2" borderId="0" xfId="0" applyFont="1" applyFill="1"/>
    <xf numFmtId="0" fontId="100" fillId="2" borderId="3" xfId="0" applyFont="1" applyFill="1" applyBorder="1" applyAlignment="1">
      <alignment horizontal="left" vertical="center" wrapText="1"/>
    </xf>
    <xf numFmtId="179" fontId="34" fillId="2" borderId="3" xfId="26" applyNumberFormat="1" applyFont="1" applyFill="1" applyBorder="1" applyAlignment="1">
      <alignment horizontal="justify" vertical="center" wrapText="1"/>
    </xf>
    <xf numFmtId="0" fontId="34" fillId="2" borderId="3" xfId="0" applyFont="1" applyFill="1" applyBorder="1" applyAlignment="1">
      <alignment horizontal="justify" vertical="center" wrapText="1"/>
    </xf>
    <xf numFmtId="0" fontId="34" fillId="2" borderId="3" xfId="0" quotePrefix="1" applyFont="1" applyFill="1" applyBorder="1" applyAlignment="1">
      <alignment horizontal="justify" vertical="center" wrapText="1"/>
    </xf>
    <xf numFmtId="179" fontId="36" fillId="2" borderId="3" xfId="0" applyNumberFormat="1" applyFont="1" applyFill="1" applyBorder="1" applyAlignment="1">
      <alignment vertical="center"/>
    </xf>
    <xf numFmtId="167" fontId="36" fillId="2" borderId="3" xfId="0" applyNumberFormat="1" applyFont="1" applyFill="1" applyBorder="1" applyAlignment="1">
      <alignment vertical="center" wrapText="1"/>
    </xf>
    <xf numFmtId="0" fontId="34" fillId="2" borderId="3" xfId="0" applyFont="1" applyFill="1" applyBorder="1" applyAlignment="1">
      <alignment vertical="center" wrapText="1"/>
    </xf>
    <xf numFmtId="167" fontId="34" fillId="2" borderId="3" xfId="1" applyNumberFormat="1" applyFont="1" applyFill="1" applyBorder="1" applyAlignment="1">
      <alignment horizontal="center" vertical="center"/>
    </xf>
    <xf numFmtId="167" fontId="34" fillId="2" borderId="3" xfId="1" applyNumberFormat="1" applyFont="1" applyFill="1" applyBorder="1" applyAlignment="1">
      <alignment vertical="center"/>
    </xf>
    <xf numFmtId="167" fontId="36" fillId="2" borderId="3" xfId="1" applyNumberFormat="1" applyFont="1" applyFill="1" applyBorder="1" applyAlignment="1">
      <alignment horizontal="center" vertical="center"/>
    </xf>
    <xf numFmtId="43" fontId="34" fillId="2" borderId="3" xfId="1" applyFont="1" applyFill="1" applyBorder="1" applyAlignment="1">
      <alignment vertical="center"/>
    </xf>
    <xf numFmtId="3" fontId="36" fillId="2" borderId="3" xfId="0" applyNumberFormat="1" applyFont="1" applyFill="1" applyBorder="1" applyAlignment="1">
      <alignment horizontal="justify" vertical="center" wrapText="1"/>
    </xf>
    <xf numFmtId="167" fontId="36" fillId="2" borderId="3" xfId="1" applyNumberFormat="1" applyFont="1" applyFill="1" applyBorder="1" applyAlignment="1">
      <alignment vertical="center"/>
    </xf>
    <xf numFmtId="0" fontId="40" fillId="2" borderId="3" xfId="0" applyFont="1" applyFill="1" applyBorder="1" applyAlignment="1">
      <alignment horizontal="center" vertical="center"/>
    </xf>
    <xf numFmtId="3" fontId="40" fillId="2" borderId="3" xfId="0" applyNumberFormat="1" applyFont="1" applyFill="1" applyBorder="1" applyAlignment="1">
      <alignment horizontal="justify" vertical="center" wrapText="1"/>
    </xf>
    <xf numFmtId="167" fontId="40" fillId="2" borderId="3" xfId="1" applyNumberFormat="1" applyFont="1" applyFill="1" applyBorder="1" applyAlignment="1">
      <alignment vertical="center"/>
    </xf>
    <xf numFmtId="0" fontId="133" fillId="2" borderId="0" xfId="0" applyFont="1" applyFill="1"/>
    <xf numFmtId="0" fontId="36" fillId="2" borderId="7" xfId="0" applyFont="1" applyFill="1" applyBorder="1" applyAlignment="1">
      <alignment horizontal="center" vertical="center"/>
    </xf>
    <xf numFmtId="167" fontId="34" fillId="2" borderId="7" xfId="1" applyNumberFormat="1" applyFont="1" applyFill="1" applyBorder="1" applyAlignment="1">
      <alignment horizontal="center" vertical="center" wrapText="1"/>
    </xf>
    <xf numFmtId="0" fontId="34" fillId="2" borderId="7" xfId="0" applyFont="1" applyFill="1" applyBorder="1" applyAlignment="1">
      <alignment vertical="center"/>
    </xf>
    <xf numFmtId="167" fontId="34" fillId="2" borderId="7" xfId="1" applyNumberFormat="1" applyFont="1" applyFill="1" applyBorder="1" applyAlignment="1">
      <alignment vertical="center"/>
    </xf>
    <xf numFmtId="0" fontId="126" fillId="2" borderId="0" xfId="0" applyFont="1" applyFill="1" applyAlignment="1">
      <alignment horizontal="center" vertical="center" wrapText="1"/>
    </xf>
    <xf numFmtId="167" fontId="126" fillId="2" borderId="0" xfId="0" applyNumberFormat="1" applyFont="1" applyFill="1" applyAlignment="1">
      <alignment horizontal="center" vertical="center" wrapText="1"/>
    </xf>
    <xf numFmtId="167" fontId="129" fillId="2" borderId="0" xfId="0" applyNumberFormat="1" applyFont="1" applyFill="1" applyAlignment="1">
      <alignment horizontal="center" vertical="center" wrapText="1"/>
    </xf>
    <xf numFmtId="167" fontId="129" fillId="0" borderId="3" xfId="1" applyNumberFormat="1" applyFont="1" applyFill="1" applyBorder="1" applyAlignment="1">
      <alignment horizontal="center" vertical="center" wrapText="1"/>
    </xf>
    <xf numFmtId="167" fontId="129" fillId="2" borderId="12" xfId="1" applyNumberFormat="1" applyFont="1" applyFill="1" applyBorder="1" applyAlignment="1">
      <alignment horizontal="center" vertical="center" wrapText="1"/>
    </xf>
    <xf numFmtId="167" fontId="129" fillId="0" borderId="12" xfId="1" applyNumberFormat="1" applyFont="1" applyFill="1" applyBorder="1" applyAlignment="1">
      <alignment horizontal="center" vertical="center" wrapText="1"/>
    </xf>
    <xf numFmtId="167" fontId="129" fillId="0" borderId="16" xfId="1" applyNumberFormat="1" applyFont="1" applyFill="1" applyBorder="1" applyAlignment="1">
      <alignment horizontal="center" vertical="center" wrapText="1"/>
    </xf>
    <xf numFmtId="167" fontId="129" fillId="0" borderId="17" xfId="1" applyNumberFormat="1" applyFont="1" applyFill="1" applyBorder="1" applyAlignment="1">
      <alignment horizontal="center" vertical="center" wrapText="1"/>
    </xf>
    <xf numFmtId="0" fontId="125" fillId="2" borderId="0" xfId="0" applyFont="1" applyFill="1" applyAlignment="1">
      <alignment horizontal="center" vertical="center" wrapText="1"/>
    </xf>
    <xf numFmtId="0" fontId="127" fillId="2" borderId="4" xfId="0" applyFont="1" applyFill="1" applyBorder="1" applyAlignment="1">
      <alignment horizontal="center" vertical="center" wrapText="1"/>
    </xf>
    <xf numFmtId="167" fontId="127" fillId="2" borderId="4" xfId="1" applyNumberFormat="1" applyFont="1" applyFill="1" applyBorder="1" applyAlignment="1">
      <alignment horizontal="center" vertical="center" wrapText="1"/>
    </xf>
    <xf numFmtId="0" fontId="127" fillId="0" borderId="4" xfId="0" applyFont="1" applyBorder="1" applyAlignment="1">
      <alignment horizontal="center" vertical="center" wrapText="1"/>
    </xf>
    <xf numFmtId="0" fontId="130" fillId="2" borderId="0" xfId="0" applyFont="1" applyFill="1" applyAlignment="1">
      <alignment horizontal="center" vertical="center" wrapText="1"/>
    </xf>
    <xf numFmtId="167" fontId="127" fillId="2" borderId="5" xfId="1" applyNumberFormat="1" applyFont="1" applyFill="1" applyBorder="1" applyAlignment="1">
      <alignment horizontal="right" vertical="center" wrapText="1"/>
    </xf>
    <xf numFmtId="167" fontId="127" fillId="0" borderId="5" xfId="1" applyNumberFormat="1" applyFont="1" applyFill="1" applyBorder="1" applyAlignment="1">
      <alignment horizontal="right" vertical="center" wrapText="1"/>
    </xf>
    <xf numFmtId="0" fontId="125" fillId="2" borderId="0" xfId="0" applyFont="1" applyFill="1" applyAlignment="1">
      <alignment horizontal="right" vertical="center" wrapText="1"/>
    </xf>
    <xf numFmtId="167" fontId="127" fillId="2" borderId="3" xfId="1" applyNumberFormat="1" applyFont="1" applyFill="1" applyBorder="1" applyAlignment="1">
      <alignment horizontal="right" vertical="center" wrapText="1"/>
    </xf>
    <xf numFmtId="167" fontId="127" fillId="0" borderId="3" xfId="1" applyNumberFormat="1" applyFont="1" applyFill="1" applyBorder="1" applyAlignment="1">
      <alignment horizontal="right" vertical="center" wrapText="1"/>
    </xf>
    <xf numFmtId="167" fontId="125" fillId="2" borderId="0" xfId="0" applyNumberFormat="1" applyFont="1" applyFill="1" applyAlignment="1">
      <alignment horizontal="right" vertical="center" wrapText="1"/>
    </xf>
    <xf numFmtId="167" fontId="127" fillId="0" borderId="3" xfId="56" applyNumberFormat="1" applyFont="1" applyFill="1" applyBorder="1" applyAlignment="1">
      <alignment horizontal="right" vertical="center" wrapText="1"/>
    </xf>
    <xf numFmtId="167" fontId="127" fillId="2" borderId="3" xfId="0" applyNumberFormat="1" applyFont="1" applyFill="1" applyBorder="1" applyAlignment="1">
      <alignment horizontal="right" vertical="center" wrapText="1"/>
    </xf>
    <xf numFmtId="167" fontId="127" fillId="0" borderId="3" xfId="0" applyNumberFormat="1" applyFont="1" applyBorder="1" applyAlignment="1">
      <alignment horizontal="right" vertical="center" wrapText="1"/>
    </xf>
    <xf numFmtId="0" fontId="127" fillId="5" borderId="3" xfId="0" applyFont="1" applyFill="1" applyBorder="1" applyAlignment="1">
      <alignment horizontal="center" vertical="center" wrapText="1"/>
    </xf>
    <xf numFmtId="0" fontId="127" fillId="5" borderId="3" xfId="0" applyFont="1" applyFill="1" applyBorder="1" applyAlignment="1">
      <alignment horizontal="left" vertical="center" wrapText="1"/>
    </xf>
    <xf numFmtId="167" fontId="127" fillId="5" borderId="3" xfId="0" applyNumberFormat="1" applyFont="1" applyFill="1" applyBorder="1" applyAlignment="1">
      <alignment horizontal="right" vertical="center" wrapText="1"/>
    </xf>
    <xf numFmtId="167" fontId="127" fillId="5" borderId="3" xfId="1" applyNumberFormat="1" applyFont="1" applyFill="1" applyBorder="1" applyAlignment="1">
      <alignment horizontal="right" vertical="center" wrapText="1"/>
    </xf>
    <xf numFmtId="0" fontId="125" fillId="5" borderId="0" xfId="0" applyFont="1" applyFill="1" applyAlignment="1">
      <alignment horizontal="center" vertical="center" wrapText="1"/>
    </xf>
    <xf numFmtId="167" fontId="129" fillId="2" borderId="3" xfId="0" applyNumberFormat="1" applyFont="1" applyFill="1" applyBorder="1" applyAlignment="1">
      <alignment horizontal="right" vertical="center" wrapText="1"/>
    </xf>
    <xf numFmtId="167" fontId="129" fillId="2" borderId="3" xfId="1" applyNumberFormat="1" applyFont="1" applyFill="1" applyBorder="1" applyAlignment="1">
      <alignment horizontal="right" vertical="center" wrapText="1"/>
    </xf>
    <xf numFmtId="167" fontId="129" fillId="0" borderId="3" xfId="1" applyNumberFormat="1" applyFont="1" applyFill="1" applyBorder="1" applyAlignment="1">
      <alignment horizontal="right" vertical="center" wrapText="1"/>
    </xf>
    <xf numFmtId="167" fontId="129" fillId="0" borderId="3" xfId="56" applyNumberFormat="1" applyFont="1" applyFill="1" applyBorder="1" applyAlignment="1">
      <alignment horizontal="right" vertical="center" wrapText="1"/>
    </xf>
    <xf numFmtId="0" fontId="129" fillId="2" borderId="3" xfId="0" quotePrefix="1" applyFont="1" applyFill="1" applyBorder="1" applyAlignment="1">
      <alignment horizontal="left" vertical="center" wrapText="1"/>
    </xf>
    <xf numFmtId="167" fontId="127" fillId="5" borderId="3" xfId="56" applyNumberFormat="1" applyFont="1" applyFill="1" applyBorder="1" applyAlignment="1">
      <alignment horizontal="right" vertical="center" wrapText="1"/>
    </xf>
    <xf numFmtId="179" fontId="127" fillId="5" borderId="3" xfId="26" applyNumberFormat="1" applyFont="1" applyFill="1" applyBorder="1" applyAlignment="1">
      <alignment horizontal="left" vertical="center" wrapText="1"/>
    </xf>
    <xf numFmtId="179" fontId="127" fillId="2" borderId="3" xfId="26" applyNumberFormat="1" applyFont="1" applyFill="1" applyBorder="1" applyAlignment="1">
      <alignment horizontal="left" vertical="center" wrapText="1"/>
    </xf>
    <xf numFmtId="0" fontId="129" fillId="2" borderId="3" xfId="50" applyFont="1" applyFill="1" applyBorder="1" applyAlignment="1">
      <alignment horizontal="center" vertical="center" wrapText="1"/>
    </xf>
    <xf numFmtId="0" fontId="129" fillId="2" borderId="3" xfId="52" applyFont="1" applyFill="1" applyBorder="1" applyAlignment="1">
      <alignment horizontal="left" vertical="center" wrapText="1"/>
    </xf>
    <xf numFmtId="167" fontId="129" fillId="0" borderId="3" xfId="0" applyNumberFormat="1" applyFont="1" applyBorder="1" applyAlignment="1">
      <alignment horizontal="right" vertical="center" wrapText="1"/>
    </xf>
    <xf numFmtId="0" fontId="127" fillId="2" borderId="3" xfId="53" applyFont="1" applyFill="1" applyBorder="1" applyAlignment="1">
      <alignment horizontal="center" vertical="center" wrapText="1"/>
    </xf>
    <xf numFmtId="0" fontId="127" fillId="2" borderId="3" xfId="53" applyFont="1" applyFill="1" applyBorder="1" applyAlignment="1">
      <alignment horizontal="left" vertical="center" wrapText="1"/>
    </xf>
    <xf numFmtId="0" fontId="129" fillId="2" borderId="3" xfId="53" applyFont="1" applyFill="1" applyBorder="1" applyAlignment="1">
      <alignment horizontal="center" vertical="center" wrapText="1"/>
    </xf>
    <xf numFmtId="0" fontId="129" fillId="2" borderId="3" xfId="51" applyFont="1" applyFill="1" applyBorder="1" applyAlignment="1">
      <alignment horizontal="left" vertical="center" wrapText="1"/>
    </xf>
    <xf numFmtId="0" fontId="129" fillId="2" borderId="3" xfId="53" applyFont="1" applyFill="1" applyBorder="1" applyAlignment="1">
      <alignment horizontal="left" vertical="center" wrapText="1"/>
    </xf>
    <xf numFmtId="167" fontId="127" fillId="2" borderId="3" xfId="56" applyNumberFormat="1" applyFont="1" applyFill="1" applyBorder="1" applyAlignment="1">
      <alignment horizontal="right" vertical="center" wrapText="1"/>
    </xf>
    <xf numFmtId="0" fontId="127" fillId="0" borderId="3" xfId="0" applyFont="1" applyBorder="1" applyAlignment="1">
      <alignment horizontal="center" vertical="center" wrapText="1"/>
    </xf>
    <xf numFmtId="179" fontId="127" fillId="0" borderId="3" xfId="26" applyNumberFormat="1" applyFont="1" applyBorder="1" applyAlignment="1">
      <alignment horizontal="left" vertical="center" wrapText="1"/>
    </xf>
    <xf numFmtId="0" fontId="125" fillId="0" borderId="0" xfId="0" applyFont="1" applyAlignment="1">
      <alignment horizontal="center" vertical="center" wrapText="1"/>
    </xf>
    <xf numFmtId="0" fontId="127" fillId="0" borderId="3" xfId="0" applyFont="1" applyBorder="1" applyAlignment="1">
      <alignment horizontal="left" vertical="center" wrapText="1"/>
    </xf>
    <xf numFmtId="167" fontId="129" fillId="2" borderId="3" xfId="56" applyNumberFormat="1" applyFont="1" applyFill="1" applyBorder="1" applyAlignment="1">
      <alignment horizontal="right" vertical="center" wrapText="1"/>
    </xf>
    <xf numFmtId="0" fontId="127" fillId="2" borderId="3" xfId="0" quotePrefix="1" applyFont="1" applyFill="1" applyBorder="1" applyAlignment="1">
      <alignment horizontal="left" vertical="center" wrapText="1"/>
    </xf>
    <xf numFmtId="0" fontId="132" fillId="2" borderId="3" xfId="0" applyFont="1" applyFill="1" applyBorder="1" applyAlignment="1">
      <alignment horizontal="center" vertical="center" wrapText="1"/>
    </xf>
    <xf numFmtId="0" fontId="129" fillId="0" borderId="3" xfId="0" applyFont="1" applyBorder="1" applyAlignment="1">
      <alignment horizontal="right" vertical="center" wrapText="1"/>
    </xf>
    <xf numFmtId="0" fontId="134" fillId="2" borderId="0" xfId="0" applyFont="1" applyFill="1" applyAlignment="1">
      <alignment horizontal="center" vertical="center" wrapText="1"/>
    </xf>
    <xf numFmtId="179" fontId="127" fillId="2" borderId="3" xfId="0" applyNumberFormat="1" applyFont="1" applyFill="1" applyBorder="1" applyAlignment="1">
      <alignment horizontal="left" vertical="center" wrapText="1"/>
    </xf>
    <xf numFmtId="0" fontId="132" fillId="2" borderId="3" xfId="0" applyFont="1" applyFill="1" applyBorder="1" applyAlignment="1">
      <alignment horizontal="left" vertical="center" wrapText="1"/>
    </xf>
    <xf numFmtId="167" fontId="132" fillId="2" borderId="3" xfId="0" applyNumberFormat="1" applyFont="1" applyFill="1" applyBorder="1" applyAlignment="1">
      <alignment horizontal="right" vertical="center" wrapText="1"/>
    </xf>
    <xf numFmtId="167" fontId="132" fillId="2" borderId="3" xfId="1" applyNumberFormat="1" applyFont="1" applyFill="1" applyBorder="1" applyAlignment="1">
      <alignment horizontal="right" vertical="center" wrapText="1"/>
    </xf>
    <xf numFmtId="167" fontId="132" fillId="0" borderId="3" xfId="1" applyNumberFormat="1" applyFont="1" applyFill="1" applyBorder="1" applyAlignment="1">
      <alignment horizontal="right" vertical="center" wrapText="1"/>
    </xf>
    <xf numFmtId="167" fontId="132" fillId="0" borderId="3" xfId="56" applyNumberFormat="1" applyFont="1" applyFill="1" applyBorder="1" applyAlignment="1">
      <alignment horizontal="right" vertical="center" wrapText="1"/>
    </xf>
    <xf numFmtId="167" fontId="125" fillId="2" borderId="0" xfId="0" applyNumberFormat="1" applyFont="1" applyFill="1" applyAlignment="1">
      <alignment horizontal="center" vertical="center" wrapText="1"/>
    </xf>
    <xf numFmtId="3" fontId="129" fillId="0" borderId="3" xfId="0" applyNumberFormat="1" applyFont="1" applyBorder="1" applyAlignment="1">
      <alignment horizontal="right" vertical="center" wrapText="1"/>
    </xf>
    <xf numFmtId="182" fontId="129" fillId="2" borderId="3" xfId="0" applyNumberFormat="1" applyFont="1" applyFill="1" applyBorder="1" applyAlignment="1">
      <alignment horizontal="left" vertical="center" wrapText="1"/>
    </xf>
    <xf numFmtId="3" fontId="129" fillId="2" borderId="3" xfId="0" applyNumberFormat="1" applyFont="1" applyFill="1" applyBorder="1" applyAlignment="1">
      <alignment horizontal="right" vertical="center" wrapText="1"/>
    </xf>
    <xf numFmtId="0" fontId="129" fillId="0" borderId="3" xfId="21" applyFont="1" applyBorder="1" applyAlignment="1">
      <alignment horizontal="right" vertical="center" wrapText="1"/>
    </xf>
    <xf numFmtId="0" fontId="127" fillId="2" borderId="3" xfId="50" applyFont="1" applyFill="1" applyBorder="1" applyAlignment="1">
      <alignment horizontal="center" vertical="center" wrapText="1"/>
    </xf>
    <xf numFmtId="0" fontId="127" fillId="2" borderId="3" xfId="52" applyFont="1" applyFill="1" applyBorder="1" applyAlignment="1">
      <alignment horizontal="left" vertical="center" wrapText="1"/>
    </xf>
    <xf numFmtId="179" fontId="129" fillId="2" borderId="3" xfId="0" applyNumberFormat="1" applyFont="1" applyFill="1" applyBorder="1" applyAlignment="1">
      <alignment horizontal="left" vertical="center" wrapText="1"/>
    </xf>
    <xf numFmtId="0" fontId="131" fillId="2" borderId="0" xfId="0" applyFont="1" applyFill="1" applyAlignment="1">
      <alignment horizontal="center" vertical="center" wrapText="1"/>
    </xf>
    <xf numFmtId="0" fontId="127" fillId="2" borderId="0" xfId="0" applyFont="1" applyFill="1" applyAlignment="1">
      <alignment horizontal="center" vertical="center" wrapText="1"/>
    </xf>
    <xf numFmtId="0" fontId="127" fillId="3" borderId="3" xfId="0" applyFont="1" applyFill="1" applyBorder="1" applyAlignment="1">
      <alignment horizontal="center" vertical="center" wrapText="1"/>
    </xf>
    <xf numFmtId="179" fontId="127" fillId="3" borderId="3" xfId="0" applyNumberFormat="1" applyFont="1" applyFill="1" applyBorder="1" applyAlignment="1">
      <alignment horizontal="left" vertical="center" wrapText="1"/>
    </xf>
    <xf numFmtId="167" fontId="127" fillId="3" borderId="3" xfId="0" applyNumberFormat="1" applyFont="1" applyFill="1" applyBorder="1" applyAlignment="1">
      <alignment horizontal="right" vertical="center" wrapText="1"/>
    </xf>
    <xf numFmtId="167" fontId="127" fillId="3" borderId="3" xfId="1" applyNumberFormat="1" applyFont="1" applyFill="1" applyBorder="1" applyAlignment="1">
      <alignment horizontal="right" vertical="center" wrapText="1"/>
    </xf>
    <xf numFmtId="0" fontId="130" fillId="3" borderId="0" xfId="0" applyFont="1" applyFill="1" applyAlignment="1">
      <alignment horizontal="center" vertical="center" wrapText="1"/>
    </xf>
    <xf numFmtId="0" fontId="129" fillId="2" borderId="3" xfId="0" quotePrefix="1" applyFont="1" applyFill="1" applyBorder="1" applyAlignment="1">
      <alignment horizontal="center" vertical="center" wrapText="1"/>
    </xf>
    <xf numFmtId="0" fontId="127" fillId="2" borderId="3" xfId="0" quotePrefix="1" applyFont="1" applyFill="1" applyBorder="1" applyAlignment="1">
      <alignment horizontal="center" vertical="center" wrapText="1"/>
    </xf>
    <xf numFmtId="167" fontId="127" fillId="10" borderId="3" xfId="1" applyNumberFormat="1" applyFont="1" applyFill="1" applyBorder="1" applyAlignment="1">
      <alignment horizontal="right" vertical="center" wrapText="1"/>
    </xf>
    <xf numFmtId="166" fontId="127" fillId="2" borderId="3" xfId="1" applyNumberFormat="1" applyFont="1" applyFill="1" applyBorder="1" applyAlignment="1">
      <alignment horizontal="right" vertical="center" wrapText="1"/>
    </xf>
    <xf numFmtId="166" fontId="129" fillId="0" borderId="3" xfId="1" applyNumberFormat="1" applyFont="1" applyFill="1" applyBorder="1" applyAlignment="1">
      <alignment horizontal="right" vertical="center" wrapText="1"/>
    </xf>
    <xf numFmtId="3" fontId="127" fillId="2" borderId="3" xfId="0" applyNumberFormat="1" applyFont="1" applyFill="1" applyBorder="1" applyAlignment="1">
      <alignment horizontal="left" vertical="center" wrapText="1"/>
    </xf>
    <xf numFmtId="3" fontId="128" fillId="2" borderId="3" xfId="0" applyNumberFormat="1" applyFont="1" applyFill="1" applyBorder="1" applyAlignment="1">
      <alignment horizontal="left" vertical="center" wrapText="1"/>
    </xf>
    <xf numFmtId="3" fontId="129" fillId="3" borderId="3" xfId="0" applyNumberFormat="1" applyFont="1" applyFill="1" applyBorder="1" applyAlignment="1">
      <alignment horizontal="left" vertical="center" wrapText="1"/>
    </xf>
    <xf numFmtId="167" fontId="129" fillId="3" borderId="3" xfId="1" applyNumberFormat="1" applyFont="1" applyFill="1" applyBorder="1" applyAlignment="1">
      <alignment horizontal="right" vertical="center" wrapText="1"/>
    </xf>
    <xf numFmtId="0" fontId="126" fillId="3" borderId="0" xfId="0" applyFont="1" applyFill="1" applyAlignment="1">
      <alignment horizontal="center" vertical="center" wrapText="1"/>
    </xf>
    <xf numFmtId="43" fontId="129" fillId="2" borderId="3" xfId="1" applyFont="1" applyFill="1" applyBorder="1" applyAlignment="1">
      <alignment horizontal="right" vertical="center" wrapText="1"/>
    </xf>
    <xf numFmtId="0" fontId="129" fillId="2" borderId="3" xfId="0" applyFont="1" applyFill="1" applyBorder="1" applyAlignment="1">
      <alignment horizontal="right" vertical="center" wrapText="1"/>
    </xf>
    <xf numFmtId="0" fontId="127" fillId="2" borderId="7" xfId="0" applyFont="1" applyFill="1" applyBorder="1" applyAlignment="1">
      <alignment horizontal="center" vertical="center" wrapText="1"/>
    </xf>
    <xf numFmtId="3" fontId="129" fillId="2" borderId="7" xfId="0" applyNumberFormat="1" applyFont="1" applyFill="1" applyBorder="1" applyAlignment="1">
      <alignment horizontal="left" vertical="center" wrapText="1"/>
    </xf>
    <xf numFmtId="43" fontId="129" fillId="2" borderId="7" xfId="1" applyFont="1" applyFill="1" applyBorder="1" applyAlignment="1">
      <alignment horizontal="right" vertical="center" wrapText="1"/>
    </xf>
    <xf numFmtId="167" fontId="129" fillId="2" borderId="7" xfId="1" applyNumberFormat="1" applyFont="1" applyFill="1" applyBorder="1" applyAlignment="1">
      <alignment horizontal="right" vertical="center" wrapText="1"/>
    </xf>
    <xf numFmtId="0" fontId="129" fillId="2" borderId="7" xfId="0" applyFont="1" applyFill="1" applyBorder="1" applyAlignment="1">
      <alignment horizontal="right" vertical="center" wrapText="1"/>
    </xf>
    <xf numFmtId="0" fontId="129" fillId="0" borderId="7" xfId="0" applyFont="1" applyBorder="1" applyAlignment="1">
      <alignment horizontal="right" vertical="center" wrapText="1"/>
    </xf>
    <xf numFmtId="167" fontId="129" fillId="0" borderId="7" xfId="1" applyNumberFormat="1" applyFont="1" applyFill="1" applyBorder="1" applyAlignment="1">
      <alignment horizontal="right" vertical="center" wrapText="1"/>
    </xf>
    <xf numFmtId="0" fontId="129" fillId="0" borderId="0" xfId="0" applyFont="1" applyAlignment="1">
      <alignment horizontal="center" vertical="center" wrapText="1"/>
    </xf>
    <xf numFmtId="188" fontId="129" fillId="0" borderId="0" xfId="0" applyNumberFormat="1" applyFont="1" applyAlignment="1">
      <alignment horizontal="center" vertical="center" wrapText="1"/>
    </xf>
    <xf numFmtId="187" fontId="129" fillId="0" borderId="3" xfId="1" applyNumberFormat="1" applyFont="1" applyFill="1" applyBorder="1" applyAlignment="1">
      <alignment horizontal="center" vertical="center" wrapText="1"/>
    </xf>
    <xf numFmtId="168" fontId="129" fillId="0" borderId="3" xfId="1" applyNumberFormat="1" applyFont="1" applyFill="1" applyBorder="1" applyAlignment="1">
      <alignment horizontal="center" vertical="center" wrapText="1"/>
    </xf>
    <xf numFmtId="0" fontId="129" fillId="2" borderId="0" xfId="0" applyFont="1" applyFill="1" applyAlignment="1">
      <alignment horizontal="center" vertical="center" wrapText="1"/>
    </xf>
    <xf numFmtId="167" fontId="129" fillId="2" borderId="0" xfId="1" applyNumberFormat="1" applyFont="1" applyFill="1" applyBorder="1" applyAlignment="1">
      <alignment horizontal="center" vertical="center" wrapText="1"/>
    </xf>
    <xf numFmtId="181" fontId="52" fillId="2" borderId="8" xfId="0" applyNumberFormat="1" applyFont="1" applyFill="1" applyBorder="1" applyAlignment="1">
      <alignment horizontal="center" vertical="center" wrapText="1"/>
    </xf>
    <xf numFmtId="0" fontId="46" fillId="0" borderId="3" xfId="0" applyFont="1" applyBorder="1" applyAlignment="1">
      <alignment horizontal="justify" wrapText="1"/>
    </xf>
    <xf numFmtId="0" fontId="43" fillId="0" borderId="0" xfId="0" applyFont="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4" fillId="0" borderId="8" xfId="0" applyFont="1" applyBorder="1" applyAlignment="1">
      <alignment horizontal="justify" wrapText="1"/>
    </xf>
    <xf numFmtId="0" fontId="44" fillId="0" borderId="3" xfId="0" applyFont="1" applyBorder="1" applyAlignment="1">
      <alignment horizontal="justify" wrapText="1"/>
    </xf>
    <xf numFmtId="0" fontId="45" fillId="0" borderId="4" xfId="0" applyFont="1" applyBorder="1" applyAlignment="1">
      <alignment horizontal="center" vertical="center" wrapText="1"/>
    </xf>
    <xf numFmtId="0" fontId="46" fillId="0" borderId="8" xfId="0" applyFont="1" applyBorder="1" applyAlignment="1">
      <alignment horizontal="justify" wrapText="1"/>
    </xf>
    <xf numFmtId="0" fontId="46" fillId="0" borderId="7" xfId="0" applyFont="1" applyBorder="1" applyAlignment="1">
      <alignment horizontal="justify" wrapText="1"/>
    </xf>
    <xf numFmtId="0" fontId="49" fillId="2" borderId="0" xfId="0" applyFont="1" applyFill="1" applyAlignment="1">
      <alignment horizontal="left"/>
    </xf>
    <xf numFmtId="0" fontId="55" fillId="2" borderId="9" xfId="0" applyNumberFormat="1" applyFont="1" applyFill="1" applyBorder="1" applyAlignment="1">
      <alignment horizontal="center"/>
    </xf>
    <xf numFmtId="0" fontId="85" fillId="2" borderId="9" xfId="0" applyFont="1" applyFill="1" applyBorder="1" applyAlignment="1">
      <alignment horizontal="center"/>
    </xf>
    <xf numFmtId="0" fontId="103" fillId="2" borderId="0" xfId="0" applyNumberFormat="1" applyFont="1" applyFill="1" applyAlignment="1">
      <alignment horizontal="center"/>
    </xf>
    <xf numFmtId="0" fontId="116" fillId="2" borderId="0" xfId="0" applyFont="1" applyFill="1" applyAlignment="1">
      <alignment horizontal="center"/>
    </xf>
    <xf numFmtId="0" fontId="117" fillId="2" borderId="0" xfId="0" applyNumberFormat="1" applyFont="1" applyFill="1" applyAlignment="1">
      <alignment horizontal="center" vertical="center" wrapText="1"/>
    </xf>
    <xf numFmtId="0" fontId="118" fillId="2" borderId="0" xfId="0" applyFont="1" applyFill="1" applyAlignment="1">
      <alignment horizontal="center" vertical="center" wrapText="1"/>
    </xf>
    <xf numFmtId="0" fontId="55" fillId="2" borderId="0" xfId="28" applyFont="1" applyFill="1" applyBorder="1" applyAlignment="1">
      <alignment horizontal="center"/>
    </xf>
    <xf numFmtId="0" fontId="49" fillId="2" borderId="9" xfId="0" applyNumberFormat="1" applyFont="1" applyFill="1" applyBorder="1" applyAlignment="1">
      <alignment horizontal="right"/>
    </xf>
    <xf numFmtId="0" fontId="27" fillId="2" borderId="0" xfId="0" applyFont="1" applyFill="1" applyAlignment="1">
      <alignment horizontal="right"/>
    </xf>
    <xf numFmtId="0" fontId="19" fillId="2" borderId="0" xfId="0" applyFont="1" applyFill="1" applyAlignment="1">
      <alignment horizontal="center"/>
    </xf>
    <xf numFmtId="0" fontId="24" fillId="2" borderId="9" xfId="0" applyFont="1" applyFill="1" applyBorder="1" applyAlignment="1">
      <alignment horizontal="right"/>
    </xf>
    <xf numFmtId="0" fontId="24" fillId="2" borderId="0" xfId="28" applyFont="1" applyFill="1" applyAlignment="1">
      <alignment horizontal="center"/>
    </xf>
    <xf numFmtId="0" fontId="15" fillId="2" borderId="0" xfId="0" applyFont="1" applyFill="1" applyAlignment="1">
      <alignment horizontal="left" vertical="center" wrapText="1"/>
    </xf>
    <xf numFmtId="0" fontId="19" fillId="2" borderId="4" xfId="0" applyFont="1" applyFill="1" applyBorder="1" applyAlignment="1">
      <alignment horizontal="center" vertical="center" wrapText="1"/>
    </xf>
    <xf numFmtId="0" fontId="24" fillId="2" borderId="9" xfId="0" applyFont="1" applyFill="1" applyBorder="1" applyAlignment="1">
      <alignment horizontal="center"/>
    </xf>
    <xf numFmtId="0" fontId="103" fillId="2" borderId="0" xfId="0" applyFont="1" applyFill="1" applyAlignment="1">
      <alignment horizontal="center"/>
    </xf>
    <xf numFmtId="0" fontId="55" fillId="2" borderId="9" xfId="0" applyNumberFormat="1" applyFont="1" applyFill="1" applyBorder="1" applyAlignment="1">
      <alignment horizontal="right"/>
    </xf>
    <xf numFmtId="0" fontId="55" fillId="2" borderId="9" xfId="0" applyFont="1" applyFill="1" applyBorder="1" applyAlignment="1">
      <alignment horizontal="right"/>
    </xf>
    <xf numFmtId="167" fontId="49" fillId="2" borderId="0" xfId="1" applyNumberFormat="1" applyFont="1" applyFill="1" applyAlignment="1">
      <alignment horizontal="center"/>
    </xf>
    <xf numFmtId="0" fontId="52" fillId="2" borderId="13" xfId="0" applyNumberFormat="1" applyFont="1" applyFill="1" applyBorder="1" applyAlignment="1">
      <alignment horizontal="center" vertical="center"/>
    </xf>
    <xf numFmtId="0" fontId="52" fillId="2" borderId="14" xfId="0" applyFont="1" applyFill="1" applyBorder="1" applyAlignment="1">
      <alignment horizontal="center" vertical="center"/>
    </xf>
    <xf numFmtId="180" fontId="52" fillId="2" borderId="4" xfId="0" applyNumberFormat="1"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4" xfId="0" applyNumberFormat="1" applyFont="1" applyFill="1" applyBorder="1" applyAlignment="1">
      <alignment horizontal="center" vertical="center" wrapText="1"/>
    </xf>
    <xf numFmtId="0" fontId="52" fillId="2" borderId="4" xfId="2" applyNumberFormat="1" applyFont="1" applyFill="1" applyBorder="1" applyAlignment="1">
      <alignment horizontal="center" vertical="center" wrapText="1"/>
    </xf>
    <xf numFmtId="41" fontId="52" fillId="2" borderId="4" xfId="2" applyFont="1" applyFill="1" applyBorder="1" applyAlignment="1">
      <alignment horizontal="center" vertical="center" wrapText="1"/>
    </xf>
    <xf numFmtId="0" fontId="52" fillId="2" borderId="13" xfId="2" applyNumberFormat="1" applyFont="1" applyFill="1" applyBorder="1" applyAlignment="1">
      <alignment horizontal="center" vertical="center" wrapText="1"/>
    </xf>
    <xf numFmtId="0" fontId="52" fillId="2" borderId="2" xfId="2" applyNumberFormat="1" applyFont="1" applyFill="1" applyBorder="1" applyAlignment="1">
      <alignment horizontal="center" vertical="center" wrapText="1"/>
    </xf>
    <xf numFmtId="0" fontId="52" fillId="2" borderId="14" xfId="2" applyNumberFormat="1" applyFont="1" applyFill="1" applyBorder="1" applyAlignment="1">
      <alignment horizontal="center" vertical="center" wrapText="1"/>
    </xf>
    <xf numFmtId="0" fontId="31" fillId="2" borderId="0" xfId="0" applyNumberFormat="1" applyFont="1" applyFill="1" applyAlignment="1">
      <alignment horizontal="center"/>
    </xf>
    <xf numFmtId="0" fontId="31" fillId="2" borderId="0" xfId="0" applyFont="1" applyFill="1" applyAlignment="1">
      <alignment horizontal="center"/>
    </xf>
    <xf numFmtId="0" fontId="24" fillId="2" borderId="0" xfId="28" applyFont="1" applyFill="1" applyBorder="1" applyAlignment="1">
      <alignment horizontal="center"/>
    </xf>
    <xf numFmtId="0" fontId="24" fillId="2" borderId="9" xfId="0" applyNumberFormat="1" applyFont="1" applyFill="1" applyBorder="1" applyAlignment="1">
      <alignment horizontal="right"/>
    </xf>
    <xf numFmtId="0" fontId="111" fillId="2" borderId="0" xfId="28" applyFont="1" applyFill="1" applyBorder="1" applyAlignment="1">
      <alignment horizontal="center"/>
    </xf>
    <xf numFmtId="0" fontId="112" fillId="2" borderId="9" xfId="28" applyFont="1" applyFill="1" applyBorder="1" applyAlignment="1">
      <alignment horizontal="center"/>
    </xf>
    <xf numFmtId="0" fontId="49" fillId="2" borderId="0" xfId="0" applyFont="1" applyFill="1" applyAlignment="1">
      <alignment horizontal="center"/>
    </xf>
    <xf numFmtId="41" fontId="48" fillId="2" borderId="0" xfId="2" applyFont="1" applyFill="1" applyAlignment="1">
      <alignment horizontal="center"/>
    </xf>
    <xf numFmtId="0" fontId="110" fillId="2" borderId="0" xfId="28" applyFont="1" applyFill="1" applyBorder="1" applyAlignment="1">
      <alignment horizontal="center"/>
    </xf>
    <xf numFmtId="0" fontId="110" fillId="2" borderId="0" xfId="28" applyFont="1" applyFill="1" applyAlignment="1">
      <alignment horizontal="center" vertical="center" wrapText="1"/>
    </xf>
    <xf numFmtId="167" fontId="108" fillId="2" borderId="10" xfId="1" applyNumberFormat="1" applyFont="1" applyFill="1" applyBorder="1" applyAlignment="1">
      <alignment horizontal="center" vertical="center" wrapText="1"/>
    </xf>
    <xf numFmtId="167" fontId="108" fillId="2" borderId="15" xfId="1" applyNumberFormat="1" applyFont="1" applyFill="1" applyBorder="1" applyAlignment="1">
      <alignment horizontal="center" vertical="center" wrapText="1"/>
    </xf>
    <xf numFmtId="41" fontId="108" fillId="2" borderId="4" xfId="2" applyFont="1" applyFill="1" applyBorder="1" applyAlignment="1">
      <alignment horizontal="center" vertical="center" wrapText="1"/>
    </xf>
    <xf numFmtId="41" fontId="122" fillId="2" borderId="10" xfId="2" applyFont="1" applyFill="1" applyBorder="1" applyAlignment="1">
      <alignment horizontal="center" vertical="center" wrapText="1"/>
    </xf>
    <xf numFmtId="41" fontId="122" fillId="2" borderId="15" xfId="2" applyFont="1" applyFill="1" applyBorder="1" applyAlignment="1">
      <alignment horizontal="center" vertical="center" wrapText="1"/>
    </xf>
    <xf numFmtId="166" fontId="108" fillId="2" borderId="10" xfId="56" applyNumberFormat="1" applyFont="1" applyFill="1" applyBorder="1" applyAlignment="1">
      <alignment horizontal="center" vertical="center" wrapText="1"/>
    </xf>
    <xf numFmtId="166" fontId="108" fillId="2" borderId="15" xfId="56" applyNumberFormat="1" applyFont="1" applyFill="1" applyBorder="1" applyAlignment="1">
      <alignment horizontal="center" vertical="center" wrapText="1"/>
    </xf>
    <xf numFmtId="0" fontId="108" fillId="2" borderId="10" xfId="28" applyFont="1" applyFill="1" applyBorder="1" applyAlignment="1">
      <alignment horizontal="center" vertical="center" wrapText="1"/>
    </xf>
    <xf numFmtId="0" fontId="108" fillId="2" borderId="15" xfId="28" applyFont="1" applyFill="1" applyBorder="1" applyAlignment="1">
      <alignment horizontal="center" vertical="center" wrapText="1"/>
    </xf>
    <xf numFmtId="167" fontId="108" fillId="2" borderId="10" xfId="28" applyNumberFormat="1" applyFont="1" applyFill="1" applyBorder="1" applyAlignment="1">
      <alignment horizontal="center" vertical="center" wrapText="1"/>
    </xf>
    <xf numFmtId="167" fontId="108" fillId="2" borderId="15" xfId="28" applyNumberFormat="1" applyFont="1" applyFill="1" applyBorder="1" applyAlignment="1">
      <alignment horizontal="center" vertical="center" wrapText="1"/>
    </xf>
    <xf numFmtId="41" fontId="108" fillId="2" borderId="10" xfId="2" applyFont="1" applyFill="1" applyBorder="1" applyAlignment="1">
      <alignment horizontal="center" vertical="center" wrapText="1"/>
    </xf>
    <xf numFmtId="41" fontId="108" fillId="2" borderId="15" xfId="2" applyFont="1" applyFill="1" applyBorder="1" applyAlignment="1">
      <alignment horizontal="center" vertical="center" wrapText="1"/>
    </xf>
    <xf numFmtId="0" fontId="74" fillId="2" borderId="0" xfId="0" applyFont="1" applyFill="1" applyBorder="1" applyAlignment="1">
      <alignment horizontal="center" vertical="center" wrapText="1"/>
    </xf>
    <xf numFmtId="0" fontId="80" fillId="2" borderId="0" xfId="0" applyFont="1" applyFill="1" applyBorder="1" applyAlignment="1">
      <alignment horizontal="left"/>
    </xf>
    <xf numFmtId="0" fontId="24" fillId="2" borderId="0" xfId="0" applyFont="1" applyFill="1" applyBorder="1" applyAlignment="1">
      <alignment horizontal="center" vertical="center" wrapText="1"/>
    </xf>
    <xf numFmtId="0" fontId="39" fillId="2" borderId="0" xfId="0" applyFont="1" applyFill="1" applyAlignment="1">
      <alignment horizontal="center"/>
    </xf>
    <xf numFmtId="0" fontId="81" fillId="2" borderId="3" xfId="0" applyFont="1" applyFill="1" applyBorder="1" applyAlignment="1">
      <alignment horizontal="center" vertical="center" wrapText="1"/>
    </xf>
    <xf numFmtId="181" fontId="81" fillId="2" borderId="3" xfId="0" applyNumberFormat="1" applyFont="1" applyFill="1" applyBorder="1" applyAlignment="1">
      <alignment horizontal="center" vertical="center" wrapText="1"/>
    </xf>
    <xf numFmtId="0" fontId="79" fillId="2" borderId="0" xfId="0" applyFont="1" applyFill="1" applyAlignment="1">
      <alignment horizontal="center"/>
    </xf>
    <xf numFmtId="0" fontId="105" fillId="2" borderId="0" xfId="0" applyFont="1" applyFill="1" applyAlignment="1">
      <alignment horizontal="center" vertical="center" wrapText="1"/>
    </xf>
    <xf numFmtId="0" fontId="105" fillId="2" borderId="0" xfId="0" applyFont="1" applyFill="1" applyAlignment="1">
      <alignment horizontal="center"/>
    </xf>
    <xf numFmtId="0" fontId="106" fillId="2" borderId="0" xfId="28" applyFont="1" applyFill="1" applyBorder="1" applyAlignment="1">
      <alignment horizontal="center"/>
    </xf>
    <xf numFmtId="183" fontId="106" fillId="2" borderId="9" xfId="6" applyNumberFormat="1" applyFont="1" applyFill="1" applyBorder="1" applyAlignment="1">
      <alignment horizontal="right"/>
    </xf>
    <xf numFmtId="181" fontId="81" fillId="2" borderId="6" xfId="0" applyNumberFormat="1" applyFont="1" applyFill="1" applyBorder="1" applyAlignment="1">
      <alignment horizontal="center" vertical="center" wrapText="1"/>
    </xf>
    <xf numFmtId="181" fontId="81" fillId="2" borderId="8" xfId="0" applyNumberFormat="1" applyFont="1" applyFill="1" applyBorder="1" applyAlignment="1">
      <alignment horizontal="center" vertical="center" wrapText="1"/>
    </xf>
    <xf numFmtId="167" fontId="81" fillId="2" borderId="6" xfId="1" applyNumberFormat="1" applyFont="1" applyFill="1" applyBorder="1" applyAlignment="1">
      <alignment horizontal="center" vertical="center" wrapText="1"/>
    </xf>
    <xf numFmtId="167" fontId="81" fillId="2" borderId="8" xfId="1" applyNumberFormat="1" applyFont="1" applyFill="1" applyBorder="1" applyAlignment="1">
      <alignment horizontal="center" vertical="center" wrapText="1"/>
    </xf>
    <xf numFmtId="0" fontId="73" fillId="2" borderId="6" xfId="0" applyFont="1" applyFill="1" applyBorder="1" applyAlignment="1">
      <alignment horizontal="center" vertical="center" wrapText="1"/>
    </xf>
    <xf numFmtId="0" fontId="73" fillId="2" borderId="8" xfId="0" applyFont="1" applyFill="1" applyBorder="1" applyAlignment="1">
      <alignment horizontal="center" vertical="center" wrapText="1"/>
    </xf>
    <xf numFmtId="0" fontId="41" fillId="2" borderId="3" xfId="55" applyFont="1" applyFill="1" applyBorder="1" applyAlignment="1">
      <alignment horizontal="center" vertical="center" wrapText="1"/>
    </xf>
    <xf numFmtId="0" fontId="38" fillId="2" borderId="0" xfId="0" applyFont="1" applyFill="1" applyAlignment="1">
      <alignment horizontal="center" vertical="center" wrapText="1"/>
    </xf>
    <xf numFmtId="0" fontId="71" fillId="2" borderId="0" xfId="28" applyFont="1" applyFill="1" applyAlignment="1">
      <alignment horizontal="center" vertical="center" wrapText="1"/>
    </xf>
    <xf numFmtId="183" fontId="71" fillId="2" borderId="9" xfId="56" applyNumberFormat="1"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2" fillId="2" borderId="0" xfId="0" applyFont="1" applyFill="1" applyAlignment="1">
      <alignment horizontal="center"/>
    </xf>
    <xf numFmtId="0" fontId="126" fillId="2" borderId="16" xfId="0" applyFont="1" applyFill="1" applyBorder="1" applyAlignment="1">
      <alignment horizontal="center" vertical="center" wrapText="1"/>
    </xf>
    <xf numFmtId="0" fontId="127" fillId="0" borderId="4" xfId="0" applyFont="1" applyBorder="1" applyAlignment="1">
      <alignment horizontal="center" vertical="center" wrapText="1"/>
    </xf>
    <xf numFmtId="0" fontId="127" fillId="0" borderId="13" xfId="0" applyFont="1" applyBorder="1" applyAlignment="1">
      <alignment horizontal="center" vertical="center" wrapText="1"/>
    </xf>
    <xf numFmtId="0" fontId="127" fillId="0" borderId="14" xfId="0" applyFont="1" applyBorder="1" applyAlignment="1">
      <alignment horizontal="center" vertical="center" wrapText="1"/>
    </xf>
    <xf numFmtId="0" fontId="127" fillId="2" borderId="4" xfId="0" applyFont="1" applyFill="1" applyBorder="1" applyAlignment="1">
      <alignment horizontal="center" vertical="center" wrapText="1"/>
    </xf>
    <xf numFmtId="0" fontId="86" fillId="0" borderId="0" xfId="0" applyNumberFormat="1" applyFont="1" applyFill="1" applyBorder="1" applyAlignment="1">
      <alignment horizontal="left" vertical="top" wrapText="1" shrinkToFit="1"/>
    </xf>
    <xf numFmtId="0" fontId="86" fillId="0" borderId="0" xfId="0" applyNumberFormat="1" applyFont="1" applyFill="1" applyBorder="1" applyAlignment="1">
      <alignment horizontal="center" vertical="top" wrapText="1" shrinkToFit="1"/>
    </xf>
    <xf numFmtId="0" fontId="87" fillId="0" borderId="0" xfId="0" applyNumberFormat="1" applyFont="1" applyFill="1" applyBorder="1" applyAlignment="1">
      <alignment horizontal="center" vertical="top" wrapText="1" shrinkToFit="1"/>
    </xf>
    <xf numFmtId="0" fontId="88" fillId="0" borderId="0" xfId="0" applyNumberFormat="1" applyFont="1" applyFill="1" applyBorder="1" applyAlignment="1">
      <alignment horizontal="center" vertical="top" wrapText="1" shrinkToFit="1"/>
    </xf>
    <xf numFmtId="0" fontId="89" fillId="0" borderId="0" xfId="0" applyNumberFormat="1" applyFont="1" applyFill="1" applyBorder="1" applyAlignment="1">
      <alignment horizontal="center" wrapText="1" shrinkToFit="1"/>
    </xf>
    <xf numFmtId="0" fontId="90" fillId="0" borderId="18" xfId="0" applyNumberFormat="1" applyFont="1" applyFill="1" applyBorder="1" applyAlignment="1">
      <alignment horizontal="center" vertical="center" wrapText="1" shrinkToFit="1"/>
    </xf>
    <xf numFmtId="0" fontId="90" fillId="0" borderId="19" xfId="0" applyNumberFormat="1" applyFont="1" applyFill="1" applyBorder="1" applyAlignment="1">
      <alignment horizontal="center" vertical="center" wrapText="1" shrinkToFit="1"/>
    </xf>
    <xf numFmtId="0" fontId="90" fillId="0" borderId="21" xfId="0" applyNumberFormat="1" applyFont="1" applyFill="1" applyBorder="1" applyAlignment="1">
      <alignment horizontal="center" vertical="center" wrapText="1" shrinkToFit="1"/>
    </xf>
    <xf numFmtId="0" fontId="90" fillId="0" borderId="22" xfId="0" applyNumberFormat="1" applyFont="1" applyFill="1" applyBorder="1" applyAlignment="1">
      <alignment horizontal="center" vertical="center" wrapText="1" shrinkToFit="1"/>
    </xf>
    <xf numFmtId="4" fontId="87" fillId="0" borderId="21" xfId="0" applyNumberFormat="1" applyFont="1" applyFill="1" applyBorder="1" applyAlignment="1">
      <alignment horizontal="right" vertical="center" wrapText="1" shrinkToFit="1"/>
    </xf>
    <xf numFmtId="4" fontId="87" fillId="0" borderId="22" xfId="0" applyNumberFormat="1" applyFont="1" applyFill="1" applyBorder="1" applyAlignment="1">
      <alignment horizontal="right" vertical="center" wrapText="1" shrinkToFit="1"/>
    </xf>
    <xf numFmtId="0" fontId="90" fillId="0" borderId="20" xfId="0" applyNumberFormat="1" applyFont="1" applyFill="1" applyBorder="1" applyAlignment="1">
      <alignment horizontal="center" vertical="center" wrapText="1" shrinkToFit="1"/>
    </xf>
    <xf numFmtId="4" fontId="93" fillId="0" borderId="21" xfId="0" applyNumberFormat="1" applyFont="1" applyFill="1" applyBorder="1" applyAlignment="1">
      <alignment horizontal="right" vertical="center" wrapText="1" shrinkToFit="1"/>
    </xf>
    <xf numFmtId="4" fontId="93" fillId="0" borderId="22" xfId="0" applyNumberFormat="1" applyFont="1" applyFill="1" applyBorder="1" applyAlignment="1">
      <alignment horizontal="right" vertical="center" wrapText="1" shrinkToFit="1"/>
    </xf>
    <xf numFmtId="4" fontId="94" fillId="0" borderId="21" xfId="0" applyNumberFormat="1" applyFont="1" applyFill="1" applyBorder="1" applyAlignment="1">
      <alignment horizontal="right" vertical="center" wrapText="1" shrinkToFit="1"/>
    </xf>
    <xf numFmtId="4" fontId="94" fillId="0" borderId="22" xfId="0" applyNumberFormat="1" applyFont="1" applyFill="1" applyBorder="1" applyAlignment="1">
      <alignment horizontal="right" vertical="center" wrapText="1" shrinkToFit="1"/>
    </xf>
    <xf numFmtId="4" fontId="95" fillId="0" borderId="21" xfId="0" applyNumberFormat="1" applyFont="1" applyFill="1" applyBorder="1" applyAlignment="1">
      <alignment horizontal="right" vertical="center" wrapText="1" shrinkToFit="1"/>
    </xf>
    <xf numFmtId="4" fontId="95" fillId="0" borderId="22" xfId="0" applyNumberFormat="1" applyFont="1" applyFill="1" applyBorder="1" applyAlignment="1">
      <alignment horizontal="right" vertical="center" wrapText="1" shrinkToFit="1"/>
    </xf>
    <xf numFmtId="4" fontId="91" fillId="0" borderId="21" xfId="0" applyNumberFormat="1" applyFont="1" applyFill="1" applyBorder="1" applyAlignment="1">
      <alignment horizontal="right" vertical="center" wrapText="1" shrinkToFit="1"/>
    </xf>
    <xf numFmtId="4" fontId="91" fillId="0" borderId="22" xfId="0" applyNumberFormat="1" applyFont="1" applyFill="1" applyBorder="1" applyAlignment="1">
      <alignment horizontal="right" vertical="center" wrapText="1" shrinkToFit="1"/>
    </xf>
    <xf numFmtId="0" fontId="97" fillId="0" borderId="0" xfId="0" applyNumberFormat="1" applyFont="1" applyFill="1" applyBorder="1" applyAlignment="1">
      <alignment horizontal="center" vertical="center" wrapText="1" shrinkToFit="1"/>
    </xf>
    <xf numFmtId="0" fontId="98" fillId="0" borderId="0" xfId="0" applyNumberFormat="1" applyFont="1" applyFill="1" applyBorder="1" applyAlignment="1">
      <alignment horizontal="right" vertical="top" wrapText="1" shrinkToFit="1"/>
    </xf>
    <xf numFmtId="0" fontId="96" fillId="0" borderId="0" xfId="0" applyNumberFormat="1" applyFont="1" applyFill="1" applyBorder="1" applyAlignment="1">
      <alignment horizontal="left" vertical="top" wrapText="1" shrinkToFit="1"/>
    </xf>
    <xf numFmtId="0" fontId="15" fillId="0" borderId="4" xfId="0" applyFont="1" applyBorder="1" applyAlignment="1">
      <alignment horizontal="center"/>
    </xf>
    <xf numFmtId="0" fontId="19" fillId="0" borderId="0" xfId="0" applyFont="1" applyAlignment="1">
      <alignment horizontal="center"/>
    </xf>
    <xf numFmtId="0" fontId="57" fillId="0" borderId="0" xfId="0" applyFont="1" applyAlignment="1">
      <alignment horizontal="center"/>
    </xf>
    <xf numFmtId="0" fontId="19" fillId="0" borderId="9" xfId="0" applyFont="1" applyBorder="1" applyAlignment="1">
      <alignment horizontal="center"/>
    </xf>
    <xf numFmtId="0" fontId="58"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59"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59" fillId="0" borderId="4" xfId="0" applyFont="1" applyBorder="1" applyAlignment="1">
      <alignment horizontal="center" vertical="center" wrapText="1" shrinkToFit="1"/>
    </xf>
    <xf numFmtId="43" fontId="19" fillId="0" borderId="0" xfId="0" applyNumberFormat="1" applyFont="1" applyAlignment="1">
      <alignment horizontal="center"/>
    </xf>
    <xf numFmtId="0" fontId="22" fillId="0" borderId="0" xfId="0" applyFont="1" applyAlignment="1">
      <alignment horizontal="center"/>
    </xf>
    <xf numFmtId="0" fontId="108" fillId="2" borderId="4" xfId="0" applyFont="1" applyFill="1" applyBorder="1" applyAlignment="1">
      <alignment horizontal="center" vertical="center" wrapText="1"/>
    </xf>
    <xf numFmtId="0" fontId="48" fillId="2" borderId="4" xfId="0" applyFont="1" applyFill="1" applyBorder="1"/>
    <xf numFmtId="0" fontId="55" fillId="2" borderId="0" xfId="0" applyFont="1" applyFill="1" applyAlignment="1">
      <alignment horizontal="center" vertical="center" wrapText="1"/>
    </xf>
    <xf numFmtId="0" fontId="52" fillId="2" borderId="0" xfId="0" applyFont="1" applyFill="1" applyAlignment="1">
      <alignment horizontal="center" vertical="center" wrapText="1"/>
    </xf>
    <xf numFmtId="0" fontId="49" fillId="2" borderId="0" xfId="0" applyFont="1" applyFill="1"/>
    <xf numFmtId="0" fontId="55" fillId="2" borderId="0" xfId="0" applyFont="1" applyFill="1" applyBorder="1" applyAlignment="1">
      <alignment horizontal="right" vertical="center" wrapText="1"/>
    </xf>
    <xf numFmtId="0" fontId="49" fillId="2" borderId="0" xfId="0" applyFont="1" applyFill="1" applyBorder="1"/>
    <xf numFmtId="0" fontId="108" fillId="2" borderId="4" xfId="0" applyFont="1" applyFill="1" applyBorder="1" applyAlignment="1">
      <alignment horizontal="center" vertical="center"/>
    </xf>
    <xf numFmtId="0" fontId="83" fillId="0" borderId="12" xfId="0" applyFont="1" applyBorder="1" applyAlignment="1">
      <alignment horizontal="center" vertical="center"/>
    </xf>
    <xf numFmtId="0" fontId="83" fillId="0" borderId="15" xfId="0" applyFont="1" applyBorder="1" applyAlignment="1">
      <alignment horizontal="center" vertical="center"/>
    </xf>
    <xf numFmtId="0" fontId="83" fillId="0" borderId="12" xfId="0" applyFont="1" applyBorder="1" applyAlignment="1">
      <alignment horizontal="center" vertical="center" wrapText="1"/>
    </xf>
    <xf numFmtId="0" fontId="83" fillId="0" borderId="1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0" xfId="0" applyFont="1" applyBorder="1" applyAlignment="1">
      <alignment horizontal="center" vertical="center"/>
    </xf>
    <xf numFmtId="0" fontId="52" fillId="0" borderId="12" xfId="0" applyFont="1" applyBorder="1" applyAlignment="1">
      <alignment horizontal="center" vertical="center"/>
    </xf>
    <xf numFmtId="0" fontId="52" fillId="0" borderId="15" xfId="0" applyFont="1" applyBorder="1" applyAlignment="1">
      <alignment horizontal="center" vertical="center"/>
    </xf>
    <xf numFmtId="0" fontId="52" fillId="0" borderId="10" xfId="0" applyFont="1" applyBorder="1" applyAlignment="1">
      <alignment horizontal="center" vertical="center" wrapText="1"/>
    </xf>
    <xf numFmtId="0" fontId="83" fillId="0" borderId="0" xfId="0" applyFont="1" applyAlignment="1">
      <alignment horizontal="center" vertical="center" wrapText="1"/>
    </xf>
    <xf numFmtId="0" fontId="115" fillId="0" borderId="0" xfId="0" applyFont="1" applyAlignment="1">
      <alignment horizontal="center" vertical="center"/>
    </xf>
    <xf numFmtId="0" fontId="115" fillId="0" borderId="0" xfId="0" applyFont="1" applyAlignment="1">
      <alignment horizontal="right" vertical="center" wrapText="1"/>
    </xf>
    <xf numFmtId="0" fontId="52" fillId="2" borderId="12" xfId="0" applyFont="1" applyFill="1" applyBorder="1" applyAlignment="1">
      <alignment horizontal="center" vertical="center"/>
    </xf>
  </cellXfs>
  <cellStyles count="69">
    <cellStyle name="Bình thường" xfId="0" builtinId="0"/>
    <cellStyle name="Bình thường 2" xfId="55"/>
    <cellStyle name="Chuẩn 2" xfId="64"/>
    <cellStyle name="Chuẩn 2 2" xfId="60"/>
    <cellStyle name="Chuẩn 4" xfId="63"/>
    <cellStyle name="Comma [0] 2" xfId="3"/>
    <cellStyle name="Comma 12" xfId="4"/>
    <cellStyle name="Comma 12 3" xfId="5"/>
    <cellStyle name="Comma 2" xfId="6"/>
    <cellStyle name="Comma 2 2" xfId="56"/>
    <cellStyle name="Comma 6" xfId="7"/>
    <cellStyle name="Comma 6 3" xfId="8"/>
    <cellStyle name="Comma 8" xfId="66"/>
    <cellStyle name="Comma0" xfId="9"/>
    <cellStyle name="Currency0" xfId="10"/>
    <cellStyle name="Date" xfId="11"/>
    <cellStyle name="Dấu phảy [0]" xfId="2" builtinId="6"/>
    <cellStyle name="Dấu phảy 2" xfId="65"/>
    <cellStyle name="Dấu phảy 4" xfId="12"/>
    <cellStyle name="Dấu_phảy" xfId="1" builtinId="3"/>
    <cellStyle name="Fixed" xfId="13"/>
    <cellStyle name="Header1" xfId="14"/>
    <cellStyle name="Header2" xfId="15"/>
    <cellStyle name="n" xfId="16"/>
    <cellStyle name="Normal - Style1" xfId="17"/>
    <cellStyle name="Normal 11" xfId="51"/>
    <cellStyle name="Normal 2" xfId="18"/>
    <cellStyle name="Normal 2 3" xfId="19"/>
    <cellStyle name="Normal 2 5 2" xfId="20"/>
    <cellStyle name="Normal 2 5 2 2" xfId="57"/>
    <cellStyle name="Normal 2 9" xfId="68"/>
    <cellStyle name="Normal 3" xfId="21"/>
    <cellStyle name="Normal 3 2" xfId="61"/>
    <cellStyle name="Normal 4" xfId="22"/>
    <cellStyle name="Normal 4 2" xfId="67"/>
    <cellStyle name="Normal 4 2 3" xfId="50"/>
    <cellStyle name="Normal 5" xfId="23"/>
    <cellStyle name="Normal 5 6" xfId="53"/>
    <cellStyle name="Normal 6" xfId="24"/>
    <cellStyle name="Normal 6 2" xfId="58"/>
    <cellStyle name="Normal 6 2 2" xfId="52"/>
    <cellStyle name="Normal_060331 Bieu tinh chi thuong xuyen NSDP 2007 theo DM bc TTg" xfId="25"/>
    <cellStyle name="Normal_Bieu mau (CV )" xfId="54"/>
    <cellStyle name="Normal_Sheet1" xfId="26"/>
    <cellStyle name="Normal_Sheet1 2" xfId="27"/>
    <cellStyle name="Normal_Sheet3" xfId="28"/>
    <cellStyle name="Normal_Sheet3 2" xfId="62"/>
    <cellStyle name="Percent 2" xfId="29"/>
    <cellStyle name="Percent 2 2" xfId="59"/>
    <cellStyle name=" [0.00]_ Att. 1- Cover" xfId="30"/>
    <cellStyle name="_ Att. 1- Cover" xfId="31"/>
    <cellStyle name="?_ Att. 1- Cover" xfId="32"/>
    <cellStyle name="똿뗦먛귟 [0.00]_PRODUCT DETAIL Q1" xfId="33"/>
    <cellStyle name="똿뗦먛귟_PRODUCT DETAIL Q1" xfId="34"/>
    <cellStyle name="믅됞 [0.00]_PRODUCT DETAIL Q1" xfId="35"/>
    <cellStyle name="믅됞_PRODUCT DETAIL Q1" xfId="36"/>
    <cellStyle name="백분율_95" xfId="37"/>
    <cellStyle name="뷭?_BOOKSHIP" xfId="38"/>
    <cellStyle name="콤마 [0]_1202" xfId="39"/>
    <cellStyle name="콤마_1202" xfId="40"/>
    <cellStyle name="통화 [0]_1202" xfId="41"/>
    <cellStyle name="통화_1202" xfId="42"/>
    <cellStyle name="표준_(정보부문)월별인원계획" xfId="43"/>
    <cellStyle name="一般_00Q3902REV.1" xfId="44"/>
    <cellStyle name="千分位[0]_00Q3902REV.1" xfId="45"/>
    <cellStyle name="千分位_00Q3902REV.1" xfId="46"/>
    <cellStyle name="貨幣 [0]_00Q3902REV.1" xfId="47"/>
    <cellStyle name="貨幣[0]_BRE" xfId="48"/>
    <cellStyle name="貨幣_00Q3902REV.1"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GP\Documents\Zalo%20Received%20Files\D&#7920;%20TO&#193;N%20GIAO%20N&#258;M%202023%2013122022%20-%20b&#7843;n%20s&#7917;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UONG\Documents\Zalo%20Received%20Files\PH&#431;&#416;NG%20&#193;N%20PH&#194;N%20B&#7892;%20GI&#193;O%20D&#7908;C%20-%20s&#7917;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P\Documents\Zalo%20Received%20Files\1.%20BI&#7874;U%20D&#7920;%20TO&#193;N%20GIAO%20N&#258;M%202025%20(1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HDT thu 22H"/>
      <sheetName val="2.Chi tiet thu 22"/>
      <sheetName val="4.THDT chi 22"/>
      <sheetName val="3.TH-HX 2022"/>
      <sheetName val="5.Chi tiet huyen "/>
      <sheetName val="5a Giáo dục"/>
      <sheetName val="6,Vốn đtư,SNKT22"/>
      <sheetName val="6a"/>
      <sheetName val="7. TH chi xa 22"/>
      <sheetName val="K in- CT xã 2023"/>
      <sheetName val="LươngCS giao DT 2023"/>
      <sheetName val="11"/>
    </sheetNames>
    <sheetDataSet>
      <sheetData sheetId="0"/>
      <sheetData sheetId="1"/>
      <sheetData sheetId="2"/>
      <sheetData sheetId="3">
        <row r="7">
          <cell r="C7">
            <v>504234000</v>
          </cell>
        </row>
      </sheetData>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nh UBND"/>
      <sheetName val="BIEU TONG HOP   (2)"/>
      <sheetName val="MN"/>
      <sheetName val="Tiểu học"/>
      <sheetName val="THCS"/>
      <sheetName val="Chính sách"/>
    </sheetNames>
    <sheetDataSet>
      <sheetData sheetId="0"/>
      <sheetData sheetId="1"/>
      <sheetData sheetId="2">
        <row r="28">
          <cell r="V28">
            <v>50384042.541288003</v>
          </cell>
        </row>
      </sheetData>
      <sheetData sheetId="3">
        <row r="29">
          <cell r="V29">
            <v>59839294.585155994</v>
          </cell>
          <cell r="W29">
            <v>6480000</v>
          </cell>
        </row>
      </sheetData>
      <sheetData sheetId="4">
        <row r="28">
          <cell r="V28">
            <v>47594702.288739994</v>
          </cell>
          <cell r="W28">
            <v>6285600</v>
          </cell>
          <cell r="X28">
            <v>3349191.7022399991</v>
          </cell>
        </row>
        <row r="29">
          <cell r="V29">
            <v>5056271.370000001</v>
          </cell>
        </row>
        <row r="35">
          <cell r="V35">
            <v>81637.437180000008</v>
          </cell>
        </row>
        <row r="36">
          <cell r="V36">
            <v>57720.936000000002</v>
          </cell>
        </row>
        <row r="37">
          <cell r="R37">
            <v>8267.1887999999999</v>
          </cell>
        </row>
        <row r="38">
          <cell r="V38">
            <v>88380.626099999994</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row r="7">
          <cell r="F7">
            <v>152000</v>
          </cell>
          <cell r="H7">
            <v>141000</v>
          </cell>
          <cell r="J7">
            <v>158000</v>
          </cell>
          <cell r="L7">
            <v>150000</v>
          </cell>
          <cell r="N7">
            <v>134000</v>
          </cell>
          <cell r="P7">
            <v>143000</v>
          </cell>
          <cell r="R7">
            <v>269000</v>
          </cell>
          <cell r="T7">
            <v>205000</v>
          </cell>
          <cell r="V7">
            <v>193000</v>
          </cell>
          <cell r="X7">
            <v>278000</v>
          </cell>
          <cell r="Z7">
            <v>334000</v>
          </cell>
          <cell r="AB7">
            <v>170000</v>
          </cell>
          <cell r="AD7">
            <v>180000</v>
          </cell>
          <cell r="AF7">
            <v>88000</v>
          </cell>
          <cell r="AH7">
            <v>376000</v>
          </cell>
          <cell r="AJ7">
            <v>174000</v>
          </cell>
          <cell r="AL7">
            <v>1045000</v>
          </cell>
        </row>
      </sheetData>
      <sheetData sheetId="3"/>
      <sheetData sheetId="4"/>
      <sheetData sheetId="5"/>
      <sheetData sheetId="6"/>
      <sheetData sheetId="7"/>
      <sheetData sheetId="8">
        <row r="47">
          <cell r="D47">
            <v>45000</v>
          </cell>
        </row>
        <row r="53">
          <cell r="D53">
            <v>7500</v>
          </cell>
        </row>
        <row r="56">
          <cell r="D56">
            <v>15200</v>
          </cell>
        </row>
        <row r="60">
          <cell r="D60">
            <v>15800</v>
          </cell>
        </row>
        <row r="64">
          <cell r="D64">
            <v>16400</v>
          </cell>
        </row>
        <row r="70">
          <cell r="D70">
            <v>18500</v>
          </cell>
        </row>
        <row r="75">
          <cell r="D75">
            <v>30000</v>
          </cell>
        </row>
        <row r="80">
          <cell r="D80">
            <v>41700</v>
          </cell>
        </row>
        <row r="89">
          <cell r="D89">
            <v>24000</v>
          </cell>
        </row>
        <row r="93">
          <cell r="D93">
            <v>30800</v>
          </cell>
        </row>
        <row r="98">
          <cell r="D98">
            <v>38400</v>
          </cell>
        </row>
        <row r="106">
          <cell r="D106">
            <v>53600</v>
          </cell>
        </row>
        <row r="114">
          <cell r="D114">
            <v>12000</v>
          </cell>
        </row>
        <row r="118">
          <cell r="D118">
            <v>27500</v>
          </cell>
        </row>
        <row r="127">
          <cell r="D127">
            <v>24300</v>
          </cell>
        </row>
        <row r="134">
          <cell r="D134">
            <v>12000</v>
          </cell>
        </row>
        <row r="137">
          <cell r="D137">
            <v>9000</v>
          </cell>
        </row>
      </sheetData>
      <sheetData sheetId="9">
        <row r="9">
          <cell r="C9">
            <v>167803043.472</v>
          </cell>
        </row>
        <row r="15">
          <cell r="D15">
            <v>6938917.7960000001</v>
          </cell>
        </row>
      </sheetData>
      <sheetData sheetId="10">
        <row r="7">
          <cell r="J7">
            <v>0</v>
          </cell>
        </row>
        <row r="145">
          <cell r="F145">
            <v>0</v>
          </cell>
          <cell r="H145">
            <v>0</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2"/>
  <sheetViews>
    <sheetView topLeftCell="A37" workbookViewId="0">
      <selection activeCell="C12" sqref="C12:D12"/>
    </sheetView>
  </sheetViews>
  <sheetFormatPr defaultColWidth="9" defaultRowHeight="12.75"/>
  <cols>
    <col min="1" max="1" width="4.125" style="32" customWidth="1"/>
    <col min="2" max="2" width="11.625" style="32" customWidth="1"/>
    <col min="3" max="3" width="14.625" style="32" customWidth="1"/>
    <col min="4" max="4" width="51.125" style="32" customWidth="1"/>
    <col min="5" max="5" width="6.875" style="43" hidden="1" customWidth="1"/>
    <col min="6" max="16384" width="9" style="32"/>
  </cols>
  <sheetData>
    <row r="1" spans="1:5" ht="21.75" customHeight="1">
      <c r="A1" s="1151" t="s">
        <v>556</v>
      </c>
      <c r="B1" s="1151"/>
      <c r="C1" s="1151"/>
      <c r="D1" s="1151"/>
      <c r="E1" s="1151"/>
    </row>
    <row r="2" spans="1:5" ht="21.75" customHeight="1">
      <c r="A2" s="1151" t="s">
        <v>557</v>
      </c>
      <c r="B2" s="1151"/>
      <c r="C2" s="1151"/>
      <c r="D2" s="1151"/>
      <c r="E2" s="1151"/>
    </row>
    <row r="3" spans="1:5" ht="21.75" customHeight="1">
      <c r="A3" s="150"/>
      <c r="B3" s="150"/>
      <c r="C3" s="150"/>
      <c r="D3" s="150"/>
      <c r="E3" s="150"/>
    </row>
    <row r="4" spans="1:5" s="34" customFormat="1" ht="20.45" customHeight="1">
      <c r="A4" s="33" t="s">
        <v>71</v>
      </c>
      <c r="B4" s="33" t="s">
        <v>558</v>
      </c>
      <c r="C4" s="1152" t="s">
        <v>196</v>
      </c>
      <c r="D4" s="1153"/>
      <c r="E4" s="33" t="s">
        <v>559</v>
      </c>
    </row>
    <row r="5" spans="1:5" s="34" customFormat="1" ht="22.5" customHeight="1">
      <c r="A5" s="33" t="s">
        <v>39</v>
      </c>
      <c r="B5" s="33"/>
      <c r="C5" s="1152" t="s">
        <v>560</v>
      </c>
      <c r="D5" s="1153"/>
      <c r="E5" s="33"/>
    </row>
    <row r="6" spans="1:5" ht="15" customHeight="1">
      <c r="A6" s="35">
        <v>1</v>
      </c>
      <c r="B6" s="35" t="s">
        <v>561</v>
      </c>
      <c r="C6" s="1154" t="s">
        <v>772</v>
      </c>
      <c r="D6" s="1154"/>
      <c r="E6" s="35"/>
    </row>
    <row r="7" spans="1:5" ht="21.75" customHeight="1">
      <c r="A7" s="36">
        <v>2</v>
      </c>
      <c r="B7" s="36" t="s">
        <v>562</v>
      </c>
      <c r="C7" s="1155" t="s">
        <v>773</v>
      </c>
      <c r="D7" s="1150"/>
      <c r="E7" s="36"/>
    </row>
    <row r="8" spans="1:5" ht="21.75" customHeight="1">
      <c r="A8" s="36">
        <v>3</v>
      </c>
      <c r="B8" s="36" t="s">
        <v>563</v>
      </c>
      <c r="C8" s="1155" t="s">
        <v>774</v>
      </c>
      <c r="D8" s="1150"/>
      <c r="E8" s="36"/>
    </row>
    <row r="9" spans="1:5" ht="21.75" customHeight="1">
      <c r="A9" s="36">
        <v>4</v>
      </c>
      <c r="B9" s="36" t="s">
        <v>564</v>
      </c>
      <c r="C9" s="1155" t="s">
        <v>775</v>
      </c>
      <c r="D9" s="1150"/>
      <c r="E9" s="36"/>
    </row>
    <row r="10" spans="1:5" ht="21.75" customHeight="1">
      <c r="A10" s="36">
        <v>5</v>
      </c>
      <c r="B10" s="36" t="s">
        <v>565</v>
      </c>
      <c r="C10" s="1155" t="s">
        <v>776</v>
      </c>
      <c r="D10" s="1150"/>
      <c r="E10" s="36"/>
    </row>
    <row r="11" spans="1:5" ht="20.25" customHeight="1">
      <c r="A11" s="36">
        <v>6</v>
      </c>
      <c r="B11" s="36" t="s">
        <v>566</v>
      </c>
      <c r="C11" s="1155" t="s">
        <v>777</v>
      </c>
      <c r="D11" s="1150"/>
      <c r="E11" s="36"/>
    </row>
    <row r="12" spans="1:5" ht="32.25" customHeight="1">
      <c r="A12" s="36">
        <v>7</v>
      </c>
      <c r="B12" s="36" t="s">
        <v>567</v>
      </c>
      <c r="C12" s="1155" t="s">
        <v>778</v>
      </c>
      <c r="D12" s="1150"/>
      <c r="E12" s="36"/>
    </row>
    <row r="13" spans="1:5" ht="22.5" customHeight="1">
      <c r="A13" s="36">
        <v>8</v>
      </c>
      <c r="B13" s="36" t="s">
        <v>585</v>
      </c>
      <c r="C13" s="1155" t="s">
        <v>779</v>
      </c>
      <c r="D13" s="1150"/>
      <c r="E13" s="37"/>
    </row>
    <row r="14" spans="1:5" ht="21.75" customHeight="1">
      <c r="A14" s="36">
        <v>9</v>
      </c>
      <c r="B14" s="36" t="s">
        <v>568</v>
      </c>
      <c r="C14" s="1155" t="s">
        <v>780</v>
      </c>
      <c r="D14" s="1155"/>
      <c r="E14" s="37"/>
    </row>
    <row r="15" spans="1:5" ht="28.5" customHeight="1">
      <c r="A15" s="38" t="s">
        <v>41</v>
      </c>
      <c r="B15" s="38"/>
      <c r="C15" s="1156" t="s">
        <v>569</v>
      </c>
      <c r="D15" s="1156"/>
      <c r="E15" s="38"/>
    </row>
    <row r="16" spans="1:5" s="40" customFormat="1" ht="21.75" customHeight="1">
      <c r="A16" s="35">
        <v>1</v>
      </c>
      <c r="B16" s="39" t="s">
        <v>570</v>
      </c>
      <c r="C16" s="1157" t="s">
        <v>781</v>
      </c>
      <c r="D16" s="1157"/>
      <c r="E16" s="39"/>
    </row>
    <row r="17" spans="1:5" s="40" customFormat="1" ht="21.75" customHeight="1">
      <c r="A17" s="36">
        <v>2</v>
      </c>
      <c r="B17" s="41" t="s">
        <v>571</v>
      </c>
      <c r="C17" s="1150" t="s">
        <v>782</v>
      </c>
      <c r="D17" s="1150"/>
      <c r="E17" s="41"/>
    </row>
    <row r="18" spans="1:5" s="40" customFormat="1" ht="21.75" customHeight="1">
      <c r="A18" s="36">
        <v>3</v>
      </c>
      <c r="B18" s="41" t="s">
        <v>572</v>
      </c>
      <c r="C18" s="1150" t="s">
        <v>783</v>
      </c>
      <c r="D18" s="1150"/>
      <c r="E18" s="41"/>
    </row>
    <row r="19" spans="1:5" s="40" customFormat="1" ht="21.75" customHeight="1">
      <c r="A19" s="36">
        <v>4</v>
      </c>
      <c r="B19" s="41" t="s">
        <v>573</v>
      </c>
      <c r="C19" s="1150" t="s">
        <v>784</v>
      </c>
      <c r="D19" s="1150"/>
      <c r="E19" s="41"/>
    </row>
    <row r="20" spans="1:5" s="40" customFormat="1" ht="21.75" customHeight="1">
      <c r="A20" s="36">
        <v>5</v>
      </c>
      <c r="B20" s="41" t="s">
        <v>574</v>
      </c>
      <c r="C20" s="1150" t="s">
        <v>785</v>
      </c>
      <c r="D20" s="1150"/>
      <c r="E20" s="41"/>
    </row>
    <row r="21" spans="1:5" s="40" customFormat="1" ht="21.75" customHeight="1">
      <c r="A21" s="36">
        <v>6</v>
      </c>
      <c r="B21" s="41" t="s">
        <v>575</v>
      </c>
      <c r="C21" s="1150" t="s">
        <v>786</v>
      </c>
      <c r="D21" s="1150"/>
      <c r="E21" s="41"/>
    </row>
    <row r="22" spans="1:5" s="40" customFormat="1" ht="30" customHeight="1">
      <c r="A22" s="36">
        <v>7</v>
      </c>
      <c r="B22" s="41" t="s">
        <v>576</v>
      </c>
      <c r="C22" s="1150" t="s">
        <v>787</v>
      </c>
      <c r="D22" s="1150"/>
      <c r="E22" s="41"/>
    </row>
    <row r="23" spans="1:5" s="40" customFormat="1" ht="20.25" customHeight="1">
      <c r="A23" s="36">
        <v>8</v>
      </c>
      <c r="B23" s="41" t="s">
        <v>577</v>
      </c>
      <c r="C23" s="1150" t="s">
        <v>788</v>
      </c>
      <c r="D23" s="1150"/>
      <c r="E23" s="41"/>
    </row>
    <row r="24" spans="1:5" s="40" customFormat="1" ht="20.25" customHeight="1">
      <c r="A24" s="36">
        <v>9</v>
      </c>
      <c r="B24" s="41" t="s">
        <v>578</v>
      </c>
      <c r="C24" s="1150" t="s">
        <v>789</v>
      </c>
      <c r="D24" s="1150"/>
      <c r="E24" s="41"/>
    </row>
    <row r="25" spans="1:5" s="40" customFormat="1" ht="32.25" customHeight="1">
      <c r="A25" s="36">
        <v>10</v>
      </c>
      <c r="B25" s="41" t="s">
        <v>579</v>
      </c>
      <c r="C25" s="1150" t="s">
        <v>790</v>
      </c>
      <c r="D25" s="1150"/>
      <c r="E25" s="41"/>
    </row>
    <row r="26" spans="1:5" s="40" customFormat="1" ht="32.25" customHeight="1">
      <c r="A26" s="36"/>
      <c r="B26" s="41" t="s">
        <v>594</v>
      </c>
      <c r="C26" s="1150" t="s">
        <v>791</v>
      </c>
      <c r="D26" s="1150"/>
      <c r="E26" s="41"/>
    </row>
    <row r="27" spans="1:5" ht="35.25" customHeight="1">
      <c r="A27" s="36">
        <v>11</v>
      </c>
      <c r="B27" s="41" t="s">
        <v>580</v>
      </c>
      <c r="C27" s="1150" t="s">
        <v>792</v>
      </c>
      <c r="D27" s="1150"/>
      <c r="E27" s="36"/>
    </row>
    <row r="28" spans="1:5" ht="29.25" customHeight="1">
      <c r="A28" s="36">
        <v>12</v>
      </c>
      <c r="B28" s="41" t="s">
        <v>581</v>
      </c>
      <c r="C28" s="1150" t="s">
        <v>793</v>
      </c>
      <c r="D28" s="1150"/>
      <c r="E28" s="36"/>
    </row>
    <row r="29" spans="1:5" ht="29.25" customHeight="1">
      <c r="A29" s="36">
        <v>13</v>
      </c>
      <c r="B29" s="41" t="s">
        <v>586</v>
      </c>
      <c r="C29" s="1150" t="s">
        <v>794</v>
      </c>
      <c r="D29" s="1150"/>
      <c r="E29" s="36"/>
    </row>
    <row r="30" spans="1:5" ht="29.25" customHeight="1">
      <c r="A30" s="36">
        <v>14</v>
      </c>
      <c r="B30" s="41" t="s">
        <v>587</v>
      </c>
      <c r="C30" s="1150" t="s">
        <v>795</v>
      </c>
      <c r="D30" s="1150"/>
      <c r="E30" s="36"/>
    </row>
    <row r="31" spans="1:5" ht="34.5" customHeight="1">
      <c r="A31" s="36">
        <v>15</v>
      </c>
      <c r="B31" s="41" t="s">
        <v>588</v>
      </c>
      <c r="C31" s="1150" t="s">
        <v>796</v>
      </c>
      <c r="D31" s="1150"/>
      <c r="E31" s="36"/>
    </row>
    <row r="32" spans="1:5" ht="36" customHeight="1">
      <c r="A32" s="36">
        <v>16</v>
      </c>
      <c r="B32" s="41" t="s">
        <v>582</v>
      </c>
      <c r="C32" s="1150" t="s">
        <v>797</v>
      </c>
      <c r="D32" s="1150"/>
      <c r="E32" s="36"/>
    </row>
    <row r="33" spans="1:5" ht="22.5" customHeight="1">
      <c r="A33" s="36">
        <v>17</v>
      </c>
      <c r="B33" s="41" t="s">
        <v>583</v>
      </c>
      <c r="C33" s="1150" t="s">
        <v>798</v>
      </c>
      <c r="D33" s="1150"/>
      <c r="E33" s="36"/>
    </row>
    <row r="34" spans="1:5" ht="22.5" customHeight="1">
      <c r="A34" s="36">
        <v>18</v>
      </c>
      <c r="B34" s="41" t="s">
        <v>584</v>
      </c>
      <c r="C34" s="1150" t="s">
        <v>799</v>
      </c>
      <c r="D34" s="1150"/>
      <c r="E34" s="36"/>
    </row>
    <row r="35" spans="1:5" ht="37.5" customHeight="1">
      <c r="A35" s="36">
        <v>19</v>
      </c>
      <c r="B35" s="41" t="s">
        <v>589</v>
      </c>
      <c r="C35" s="1150" t="s">
        <v>800</v>
      </c>
      <c r="D35" s="1150"/>
      <c r="E35" s="37"/>
    </row>
    <row r="36" spans="1:5" ht="34.5" customHeight="1">
      <c r="A36" s="36">
        <v>20</v>
      </c>
      <c r="B36" s="41" t="s">
        <v>590</v>
      </c>
      <c r="C36" s="1150" t="s">
        <v>801</v>
      </c>
      <c r="D36" s="1150"/>
      <c r="E36" s="37"/>
    </row>
    <row r="37" spans="1:5" ht="34.5" customHeight="1">
      <c r="A37" s="36">
        <v>21</v>
      </c>
      <c r="B37" s="41" t="s">
        <v>591</v>
      </c>
      <c r="C37" s="1150" t="s">
        <v>802</v>
      </c>
      <c r="D37" s="1150"/>
      <c r="E37" s="36"/>
    </row>
    <row r="38" spans="1:5" ht="33.75" customHeight="1">
      <c r="A38" s="36">
        <v>22</v>
      </c>
      <c r="B38" s="41" t="s">
        <v>592</v>
      </c>
      <c r="C38" s="1150" t="s">
        <v>803</v>
      </c>
      <c r="D38" s="1150"/>
      <c r="E38" s="36"/>
    </row>
    <row r="39" spans="1:5" ht="25.35" customHeight="1">
      <c r="A39" s="36">
        <v>23</v>
      </c>
      <c r="B39" s="36" t="s">
        <v>806</v>
      </c>
      <c r="C39" s="1150" t="s">
        <v>805</v>
      </c>
      <c r="D39" s="1150"/>
      <c r="E39" s="36"/>
    </row>
    <row r="40" spans="1:5" ht="27" customHeight="1">
      <c r="A40" s="36">
        <v>24</v>
      </c>
      <c r="B40" s="36" t="s">
        <v>804</v>
      </c>
      <c r="C40" s="1150" t="s">
        <v>809</v>
      </c>
      <c r="D40" s="1150"/>
      <c r="E40" s="36"/>
    </row>
    <row r="41" spans="1:5" ht="27" customHeight="1">
      <c r="A41" s="36">
        <v>25</v>
      </c>
      <c r="B41" s="36" t="s">
        <v>807</v>
      </c>
      <c r="C41" s="1150" t="s">
        <v>810</v>
      </c>
      <c r="D41" s="1150"/>
      <c r="E41" s="36"/>
    </row>
    <row r="42" spans="1:5" ht="27" customHeight="1">
      <c r="A42" s="42">
        <v>26</v>
      </c>
      <c r="B42" s="42" t="s">
        <v>808</v>
      </c>
      <c r="C42" s="1158" t="s">
        <v>811</v>
      </c>
      <c r="D42" s="1158"/>
      <c r="E42" s="42"/>
    </row>
  </sheetData>
  <mergeCells count="41">
    <mergeCell ref="C39:D39"/>
    <mergeCell ref="C40:D40"/>
    <mergeCell ref="C41:D41"/>
    <mergeCell ref="C42:D42"/>
    <mergeCell ref="C36:D36"/>
    <mergeCell ref="C37:D37"/>
    <mergeCell ref="C38:D38"/>
    <mergeCell ref="C7:D7"/>
    <mergeCell ref="C20:D20"/>
    <mergeCell ref="C8:D8"/>
    <mergeCell ref="C9:D9"/>
    <mergeCell ref="C10:D10"/>
    <mergeCell ref="C11:D11"/>
    <mergeCell ref="C12:D12"/>
    <mergeCell ref="C14:D14"/>
    <mergeCell ref="C13:D13"/>
    <mergeCell ref="C15:D15"/>
    <mergeCell ref="C16:D16"/>
    <mergeCell ref="C17:D17"/>
    <mergeCell ref="C18:D18"/>
    <mergeCell ref="C19:D19"/>
    <mergeCell ref="A1:E1"/>
    <mergeCell ref="A2:E2"/>
    <mergeCell ref="C4:D4"/>
    <mergeCell ref="C5:D5"/>
    <mergeCell ref="C6:D6"/>
    <mergeCell ref="C27:D27"/>
    <mergeCell ref="C28:D28"/>
    <mergeCell ref="C32:D32"/>
    <mergeCell ref="C26:D26"/>
    <mergeCell ref="C35:D35"/>
    <mergeCell ref="C33:D33"/>
    <mergeCell ref="C34:D34"/>
    <mergeCell ref="C29:D29"/>
    <mergeCell ref="C30:D30"/>
    <mergeCell ref="C31:D31"/>
    <mergeCell ref="C21:D21"/>
    <mergeCell ref="C22:D22"/>
    <mergeCell ref="C23:D23"/>
    <mergeCell ref="C24:D24"/>
    <mergeCell ref="C25:D25"/>
  </mergeCells>
  <pageMargins left="0.7" right="0.2" top="0.56000000000000005" bottom="0.38" header="0.3" footer="0.2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66"/>
  <sheetViews>
    <sheetView zoomScale="120" zoomScaleNormal="120" workbookViewId="0">
      <selection activeCell="B66" sqref="B66"/>
    </sheetView>
  </sheetViews>
  <sheetFormatPr defaultColWidth="9" defaultRowHeight="15.75"/>
  <cols>
    <col min="1" max="1" width="6" style="455" customWidth="1"/>
    <col min="2" max="2" width="50.25" style="455" customWidth="1"/>
    <col min="3" max="3" width="3.75" style="456" hidden="1" customWidth="1"/>
    <col min="4" max="4" width="15.375" style="457" customWidth="1"/>
    <col min="5" max="5" width="14.875" style="455" customWidth="1"/>
    <col min="6" max="6" width="15.5" style="457" bestFit="1" customWidth="1"/>
    <col min="7" max="7" width="12.625" style="457" bestFit="1" customWidth="1"/>
    <col min="8" max="8" width="14.375" style="457" bestFit="1" customWidth="1"/>
    <col min="9" max="9" width="10.125" style="455" bestFit="1" customWidth="1"/>
    <col min="10" max="16384" width="9" style="455"/>
  </cols>
  <sheetData>
    <row r="1" spans="1:8">
      <c r="E1" s="455" t="s">
        <v>445</v>
      </c>
    </row>
    <row r="2" spans="1:8" ht="7.5" customHeight="1">
      <c r="A2" s="1230"/>
      <c r="B2" s="1230"/>
      <c r="C2" s="1230"/>
      <c r="D2" s="1230"/>
      <c r="E2" s="1230"/>
    </row>
    <row r="3" spans="1:8" ht="43.35" customHeight="1">
      <c r="A3" s="1230" t="s">
        <v>1460</v>
      </c>
      <c r="B3" s="1230"/>
      <c r="C3" s="1230"/>
      <c r="D3" s="1230"/>
      <c r="E3" s="1230"/>
    </row>
    <row r="4" spans="1:8" ht="15.75" customHeight="1">
      <c r="A4" s="1231" t="str">
        <f>'6.Vốn đtư,SNKT25'!A4:F4</f>
        <v xml:space="preserve">(Kèm theo Nghị quyết  số      /NQ-HĐND ngày       /12/2024 của Hội đồng nhân dân huyện Na Rì) </v>
      </c>
      <c r="B4" s="1231"/>
      <c r="C4" s="1231"/>
      <c r="D4" s="1231"/>
      <c r="E4" s="1231"/>
    </row>
    <row r="5" spans="1:8" ht="21.75" customHeight="1">
      <c r="C5" s="1232" t="s">
        <v>197</v>
      </c>
      <c r="D5" s="1232"/>
      <c r="E5" s="1232"/>
    </row>
    <row r="6" spans="1:8" s="681" customFormat="1" ht="34.5" customHeight="1">
      <c r="A6" s="458" t="s">
        <v>71</v>
      </c>
      <c r="B6" s="458" t="s">
        <v>495</v>
      </c>
      <c r="C6" s="459" t="s">
        <v>196</v>
      </c>
      <c r="D6" s="460" t="s">
        <v>494</v>
      </c>
      <c r="E6" s="458" t="s">
        <v>115</v>
      </c>
      <c r="F6" s="461"/>
      <c r="G6" s="461"/>
      <c r="H6" s="461"/>
    </row>
    <row r="7" spans="1:8" s="681" customFormat="1" ht="17.45" customHeight="1">
      <c r="A7" s="462" t="s">
        <v>36</v>
      </c>
      <c r="B7" s="462" t="s">
        <v>37</v>
      </c>
      <c r="C7" s="463" t="s">
        <v>179</v>
      </c>
      <c r="D7" s="464">
        <v>1</v>
      </c>
      <c r="E7" s="462">
        <v>2</v>
      </c>
      <c r="F7" s="461"/>
      <c r="G7" s="461"/>
      <c r="H7" s="461"/>
    </row>
    <row r="8" spans="1:8" s="468" customFormat="1" ht="20.25" customHeight="1">
      <c r="A8" s="458"/>
      <c r="B8" s="458" t="s">
        <v>188</v>
      </c>
      <c r="C8" s="465"/>
      <c r="D8" s="460">
        <f>+D9+D140</f>
        <v>6888700</v>
      </c>
      <c r="E8" s="466"/>
      <c r="F8" s="467"/>
      <c r="G8" s="467"/>
      <c r="H8" s="467"/>
    </row>
    <row r="9" spans="1:8" s="468" customFormat="1" ht="20.25" customHeight="1">
      <c r="A9" s="593" t="s">
        <v>39</v>
      </c>
      <c r="B9" s="594" t="s">
        <v>841</v>
      </c>
      <c r="C9" s="595"/>
      <c r="D9" s="596">
        <f>D10+D28+D46</f>
        <v>2306700</v>
      </c>
      <c r="E9" s="597"/>
      <c r="F9" s="467"/>
      <c r="G9" s="467"/>
      <c r="H9" s="467"/>
    </row>
    <row r="10" spans="1:8" s="475" customFormat="1" ht="20.25" customHeight="1">
      <c r="A10" s="469">
        <v>1</v>
      </c>
      <c r="B10" s="470" t="s">
        <v>416</v>
      </c>
      <c r="C10" s="471"/>
      <c r="D10" s="472">
        <f>SUM(D11:D27)</f>
        <v>425000</v>
      </c>
      <c r="E10" s="473"/>
      <c r="F10" s="474"/>
      <c r="G10" s="474"/>
      <c r="H10" s="474"/>
    </row>
    <row r="11" spans="1:8" s="475" customFormat="1" ht="20.25" customHeight="1">
      <c r="A11" s="476" t="s">
        <v>177</v>
      </c>
      <c r="B11" s="683" t="s">
        <v>414</v>
      </c>
      <c r="C11" s="471"/>
      <c r="D11" s="16">
        <v>25000</v>
      </c>
      <c r="E11" s="473"/>
      <c r="F11" s="474"/>
      <c r="G11" s="474"/>
      <c r="H11" s="474"/>
    </row>
    <row r="12" spans="1:8" s="475" customFormat="1" ht="20.25" customHeight="1">
      <c r="A12" s="476" t="s">
        <v>178</v>
      </c>
      <c r="B12" s="683" t="s">
        <v>446</v>
      </c>
      <c r="C12" s="471"/>
      <c r="D12" s="16">
        <v>25000</v>
      </c>
      <c r="E12" s="473"/>
      <c r="F12" s="474"/>
      <c r="G12" s="474"/>
      <c r="H12" s="474"/>
    </row>
    <row r="13" spans="1:8" s="475" customFormat="1" ht="20.25" customHeight="1">
      <c r="A13" s="476" t="s">
        <v>153</v>
      </c>
      <c r="B13" s="683" t="s">
        <v>463</v>
      </c>
      <c r="C13" s="471"/>
      <c r="D13" s="16">
        <v>25000</v>
      </c>
      <c r="E13" s="473"/>
      <c r="F13" s="474"/>
      <c r="G13" s="474"/>
      <c r="H13" s="474"/>
    </row>
    <row r="14" spans="1:8" s="475" customFormat="1" ht="20.25" customHeight="1">
      <c r="A14" s="476" t="s">
        <v>442</v>
      </c>
      <c r="B14" s="683" t="s">
        <v>464</v>
      </c>
      <c r="C14" s="471"/>
      <c r="D14" s="16">
        <v>25000</v>
      </c>
      <c r="E14" s="473"/>
      <c r="F14" s="474"/>
      <c r="G14" s="474"/>
      <c r="H14" s="474"/>
    </row>
    <row r="15" spans="1:8" s="475" customFormat="1" ht="20.25" customHeight="1">
      <c r="A15" s="476" t="s">
        <v>154</v>
      </c>
      <c r="B15" s="683" t="s">
        <v>465</v>
      </c>
      <c r="C15" s="471"/>
      <c r="D15" s="16">
        <v>25000</v>
      </c>
      <c r="E15" s="473"/>
      <c r="F15" s="474"/>
      <c r="G15" s="474"/>
      <c r="H15" s="474"/>
    </row>
    <row r="16" spans="1:8" s="475" customFormat="1" ht="20.25" customHeight="1">
      <c r="A16" s="476" t="s">
        <v>155</v>
      </c>
      <c r="B16" s="683" t="s">
        <v>466</v>
      </c>
      <c r="C16" s="471"/>
      <c r="D16" s="16">
        <v>25000</v>
      </c>
      <c r="E16" s="473"/>
      <c r="F16" s="474"/>
      <c r="G16" s="474"/>
      <c r="H16" s="474"/>
    </row>
    <row r="17" spans="1:8" s="475" customFormat="1" ht="20.25" customHeight="1">
      <c r="A17" s="476" t="s">
        <v>443</v>
      </c>
      <c r="B17" s="477" t="s">
        <v>467</v>
      </c>
      <c r="C17" s="471"/>
      <c r="D17" s="16">
        <v>25000</v>
      </c>
      <c r="E17" s="473"/>
      <c r="F17" s="474"/>
      <c r="G17" s="474"/>
      <c r="H17" s="474"/>
    </row>
    <row r="18" spans="1:8" s="475" customFormat="1" ht="20.25" customHeight="1">
      <c r="A18" s="476" t="s">
        <v>447</v>
      </c>
      <c r="B18" s="683" t="s">
        <v>468</v>
      </c>
      <c r="C18" s="471"/>
      <c r="D18" s="16">
        <v>25000</v>
      </c>
      <c r="E18" s="473"/>
      <c r="F18" s="474"/>
      <c r="G18" s="474"/>
      <c r="H18" s="474"/>
    </row>
    <row r="19" spans="1:8" s="475" customFormat="1" ht="20.25" customHeight="1">
      <c r="A19" s="476" t="s">
        <v>448</v>
      </c>
      <c r="B19" s="683" t="s">
        <v>469</v>
      </c>
      <c r="C19" s="471"/>
      <c r="D19" s="16">
        <v>25000</v>
      </c>
      <c r="E19" s="473"/>
      <c r="F19" s="474"/>
      <c r="G19" s="474"/>
      <c r="H19" s="474"/>
    </row>
    <row r="20" spans="1:8" s="475" customFormat="1" ht="20.25" customHeight="1">
      <c r="A20" s="476" t="s">
        <v>449</v>
      </c>
      <c r="B20" s="683" t="s">
        <v>470</v>
      </c>
      <c r="C20" s="471"/>
      <c r="D20" s="16">
        <v>25000</v>
      </c>
      <c r="E20" s="473"/>
      <c r="F20" s="474"/>
      <c r="G20" s="474"/>
      <c r="H20" s="474"/>
    </row>
    <row r="21" spans="1:8" s="475" customFormat="1" ht="20.25" customHeight="1">
      <c r="A21" s="476" t="s">
        <v>450</v>
      </c>
      <c r="B21" s="683" t="s">
        <v>415</v>
      </c>
      <c r="C21" s="471"/>
      <c r="D21" s="16">
        <v>25000</v>
      </c>
      <c r="E21" s="473"/>
      <c r="F21" s="474"/>
      <c r="G21" s="474"/>
      <c r="H21" s="474"/>
    </row>
    <row r="22" spans="1:8" s="475" customFormat="1" ht="20.25" customHeight="1">
      <c r="A22" s="476" t="s">
        <v>451</v>
      </c>
      <c r="B22" s="683" t="s">
        <v>471</v>
      </c>
      <c r="C22" s="471"/>
      <c r="D22" s="16">
        <v>25000</v>
      </c>
      <c r="E22" s="473"/>
      <c r="F22" s="474"/>
      <c r="G22" s="474"/>
      <c r="H22" s="474"/>
    </row>
    <row r="23" spans="1:8" s="475" customFormat="1" ht="20.25" customHeight="1">
      <c r="A23" s="476" t="s">
        <v>452</v>
      </c>
      <c r="B23" s="683" t="s">
        <v>472</v>
      </c>
      <c r="C23" s="471"/>
      <c r="D23" s="16">
        <v>25000</v>
      </c>
      <c r="E23" s="473"/>
      <c r="F23" s="474"/>
      <c r="G23" s="474"/>
      <c r="H23" s="474"/>
    </row>
    <row r="24" spans="1:8" s="475" customFormat="1" ht="20.25" customHeight="1">
      <c r="A24" s="476" t="s">
        <v>453</v>
      </c>
      <c r="B24" s="683" t="s">
        <v>473</v>
      </c>
      <c r="C24" s="471"/>
      <c r="D24" s="16">
        <v>25000</v>
      </c>
      <c r="E24" s="473"/>
      <c r="F24" s="474"/>
      <c r="G24" s="474"/>
      <c r="H24" s="474"/>
    </row>
    <row r="25" spans="1:8" s="475" customFormat="1" ht="20.25" customHeight="1">
      <c r="A25" s="476" t="s">
        <v>454</v>
      </c>
      <c r="B25" s="683" t="s">
        <v>474</v>
      </c>
      <c r="C25" s="471"/>
      <c r="D25" s="16">
        <v>25000</v>
      </c>
      <c r="E25" s="473"/>
      <c r="F25" s="474"/>
      <c r="G25" s="474"/>
      <c r="H25" s="474"/>
    </row>
    <row r="26" spans="1:8" s="475" customFormat="1" ht="20.25" customHeight="1">
      <c r="A26" s="476" t="s">
        <v>455</v>
      </c>
      <c r="B26" s="683" t="s">
        <v>475</v>
      </c>
      <c r="C26" s="471"/>
      <c r="D26" s="16">
        <v>25000</v>
      </c>
      <c r="E26" s="473"/>
      <c r="F26" s="474"/>
      <c r="G26" s="474"/>
      <c r="H26" s="474"/>
    </row>
    <row r="27" spans="1:8" s="475" customFormat="1" ht="20.25" customHeight="1">
      <c r="A27" s="476" t="s">
        <v>456</v>
      </c>
      <c r="B27" s="683" t="s">
        <v>476</v>
      </c>
      <c r="C27" s="471"/>
      <c r="D27" s="16">
        <v>25000</v>
      </c>
      <c r="E27" s="473"/>
      <c r="F27" s="474"/>
      <c r="G27" s="474"/>
      <c r="H27" s="474"/>
    </row>
    <row r="28" spans="1:8" s="475" customFormat="1" ht="30.95" customHeight="1">
      <c r="A28" s="775">
        <v>2</v>
      </c>
      <c r="B28" s="287" t="s">
        <v>1454</v>
      </c>
      <c r="C28" s="471"/>
      <c r="D28" s="10">
        <f>SUM(D29:D45)</f>
        <v>1460000</v>
      </c>
      <c r="E28" s="776"/>
      <c r="F28" s="474"/>
      <c r="G28" s="474"/>
      <c r="H28" s="474"/>
    </row>
    <row r="29" spans="1:8" s="475" customFormat="1" ht="20.25" customHeight="1">
      <c r="A29" s="476" t="s">
        <v>212</v>
      </c>
      <c r="B29" s="683" t="s">
        <v>414</v>
      </c>
      <c r="C29" s="471"/>
      <c r="D29" s="16">
        <v>45800</v>
      </c>
      <c r="E29" s="473"/>
      <c r="F29" s="474"/>
      <c r="G29" s="474"/>
      <c r="H29" s="474"/>
    </row>
    <row r="30" spans="1:8" s="475" customFormat="1" ht="20.25" customHeight="1">
      <c r="A30" s="476" t="s">
        <v>213</v>
      </c>
      <c r="B30" s="683" t="s">
        <v>446</v>
      </c>
      <c r="C30" s="471"/>
      <c r="D30" s="16">
        <v>140800</v>
      </c>
      <c r="E30" s="473"/>
      <c r="F30" s="474"/>
      <c r="G30" s="474"/>
      <c r="H30" s="474"/>
    </row>
    <row r="31" spans="1:8" s="475" customFormat="1" ht="20.25" customHeight="1">
      <c r="A31" s="476" t="s">
        <v>214</v>
      </c>
      <c r="B31" s="683" t="s">
        <v>463</v>
      </c>
      <c r="C31" s="471"/>
      <c r="D31" s="16">
        <v>96100</v>
      </c>
      <c r="E31" s="473"/>
      <c r="F31" s="474"/>
      <c r="G31" s="474"/>
      <c r="H31" s="474"/>
    </row>
    <row r="32" spans="1:8" s="475" customFormat="1" ht="20.25" customHeight="1">
      <c r="A32" s="476" t="s">
        <v>426</v>
      </c>
      <c r="B32" s="683" t="s">
        <v>464</v>
      </c>
      <c r="C32" s="471"/>
      <c r="D32" s="16">
        <v>123600</v>
      </c>
      <c r="E32" s="473"/>
      <c r="F32" s="474"/>
      <c r="G32" s="474"/>
      <c r="H32" s="474"/>
    </row>
    <row r="33" spans="1:8" s="475" customFormat="1" ht="20.25" customHeight="1">
      <c r="A33" s="476" t="s">
        <v>427</v>
      </c>
      <c r="B33" s="683" t="s">
        <v>465</v>
      </c>
      <c r="C33" s="471"/>
      <c r="D33" s="16">
        <v>70600</v>
      </c>
      <c r="E33" s="473"/>
      <c r="F33" s="474"/>
      <c r="G33" s="474"/>
      <c r="H33" s="474"/>
    </row>
    <row r="34" spans="1:8" s="475" customFormat="1" ht="20.25" customHeight="1">
      <c r="A34" s="476" t="s">
        <v>428</v>
      </c>
      <c r="B34" s="683" t="s">
        <v>466</v>
      </c>
      <c r="C34" s="471"/>
      <c r="D34" s="16">
        <v>51200</v>
      </c>
      <c r="E34" s="473"/>
      <c r="F34" s="474"/>
      <c r="G34" s="474"/>
      <c r="H34" s="474"/>
    </row>
    <row r="35" spans="1:8" s="475" customFormat="1" ht="20.25" customHeight="1">
      <c r="A35" s="476" t="s">
        <v>1361</v>
      </c>
      <c r="B35" s="477" t="s">
        <v>467</v>
      </c>
      <c r="C35" s="471"/>
      <c r="D35" s="16">
        <v>64800</v>
      </c>
      <c r="E35" s="473"/>
      <c r="F35" s="474"/>
      <c r="G35" s="474"/>
      <c r="H35" s="474"/>
    </row>
    <row r="36" spans="1:8" s="475" customFormat="1" ht="20.25" customHeight="1">
      <c r="A36" s="476" t="s">
        <v>429</v>
      </c>
      <c r="B36" s="683" t="s">
        <v>468</v>
      </c>
      <c r="C36" s="471"/>
      <c r="D36" s="16">
        <v>42500</v>
      </c>
      <c r="E36" s="473"/>
      <c r="F36" s="474"/>
      <c r="G36" s="474"/>
      <c r="H36" s="474"/>
    </row>
    <row r="37" spans="1:8" s="475" customFormat="1" ht="20.25" customHeight="1">
      <c r="A37" s="476" t="s">
        <v>430</v>
      </c>
      <c r="B37" s="683" t="s">
        <v>469</v>
      </c>
      <c r="C37" s="471"/>
      <c r="D37" s="16">
        <v>125100</v>
      </c>
      <c r="E37" s="473"/>
      <c r="F37" s="474"/>
      <c r="G37" s="474"/>
      <c r="H37" s="474"/>
    </row>
    <row r="38" spans="1:8" s="475" customFormat="1" ht="20.25" customHeight="1">
      <c r="A38" s="476" t="s">
        <v>431</v>
      </c>
      <c r="B38" s="683" t="s">
        <v>470</v>
      </c>
      <c r="C38" s="471"/>
      <c r="D38" s="16">
        <v>114100</v>
      </c>
      <c r="E38" s="473"/>
      <c r="F38" s="474"/>
      <c r="G38" s="474"/>
      <c r="H38" s="474"/>
    </row>
    <row r="39" spans="1:8" s="475" customFormat="1" ht="20.25" customHeight="1">
      <c r="A39" s="476" t="s">
        <v>1317</v>
      </c>
      <c r="B39" s="683" t="s">
        <v>415</v>
      </c>
      <c r="C39" s="471"/>
      <c r="D39" s="16">
        <v>91700</v>
      </c>
      <c r="E39" s="473"/>
      <c r="F39" s="474"/>
      <c r="G39" s="474"/>
      <c r="H39" s="474"/>
    </row>
    <row r="40" spans="1:8" s="475" customFormat="1" ht="20.25" customHeight="1">
      <c r="A40" s="476" t="s">
        <v>1318</v>
      </c>
      <c r="B40" s="683" t="s">
        <v>471</v>
      </c>
      <c r="C40" s="471"/>
      <c r="D40" s="16">
        <v>108500</v>
      </c>
      <c r="E40" s="473"/>
      <c r="F40" s="474"/>
      <c r="G40" s="474"/>
      <c r="H40" s="474"/>
    </row>
    <row r="41" spans="1:8" s="475" customFormat="1" ht="20.25" customHeight="1">
      <c r="A41" s="476" t="s">
        <v>1319</v>
      </c>
      <c r="B41" s="683" t="s">
        <v>472</v>
      </c>
      <c r="C41" s="471"/>
      <c r="D41" s="16">
        <v>82100</v>
      </c>
      <c r="E41" s="473"/>
      <c r="F41" s="474"/>
      <c r="G41" s="474"/>
      <c r="H41" s="474"/>
    </row>
    <row r="42" spans="1:8" s="475" customFormat="1" ht="20.25" customHeight="1">
      <c r="A42" s="476" t="s">
        <v>1320</v>
      </c>
      <c r="B42" s="683" t="s">
        <v>473</v>
      </c>
      <c r="C42" s="471"/>
      <c r="D42" s="16">
        <v>65000</v>
      </c>
      <c r="E42" s="473"/>
      <c r="F42" s="474"/>
      <c r="G42" s="474"/>
      <c r="H42" s="474"/>
    </row>
    <row r="43" spans="1:8" s="475" customFormat="1" ht="20.25" customHeight="1">
      <c r="A43" s="476" t="s">
        <v>1321</v>
      </c>
      <c r="B43" s="683" t="s">
        <v>474</v>
      </c>
      <c r="C43" s="471"/>
      <c r="D43" s="16">
        <v>90300</v>
      </c>
      <c r="E43" s="473"/>
      <c r="F43" s="474"/>
      <c r="G43" s="474"/>
      <c r="H43" s="474"/>
    </row>
    <row r="44" spans="1:8" s="475" customFormat="1" ht="20.25" customHeight="1">
      <c r="A44" s="476" t="s">
        <v>1322</v>
      </c>
      <c r="B44" s="683" t="s">
        <v>475</v>
      </c>
      <c r="C44" s="471"/>
      <c r="D44" s="16">
        <v>114000</v>
      </c>
      <c r="E44" s="473"/>
      <c r="F44" s="474"/>
      <c r="G44" s="474"/>
      <c r="H44" s="474"/>
    </row>
    <row r="45" spans="1:8" s="475" customFormat="1" ht="15">
      <c r="A45" s="476" t="s">
        <v>1323</v>
      </c>
      <c r="B45" s="683" t="s">
        <v>476</v>
      </c>
      <c r="C45" s="471"/>
      <c r="D45" s="16">
        <v>33800</v>
      </c>
      <c r="E45" s="473"/>
      <c r="F45" s="474"/>
      <c r="G45" s="474"/>
      <c r="H45" s="474"/>
    </row>
    <row r="46" spans="1:8" s="475" customFormat="1" ht="20.25" customHeight="1">
      <c r="A46" s="146">
        <v>3</v>
      </c>
      <c r="B46" s="470" t="s">
        <v>418</v>
      </c>
      <c r="C46" s="682"/>
      <c r="D46" s="481">
        <f>D47+D53+D56+D60+D64+D70+D75+D80+D89+D93+D98+D106+D114+D118+D127+D134+D137</f>
        <v>421700</v>
      </c>
      <c r="E46" s="682"/>
      <c r="F46" s="474"/>
      <c r="G46" s="474"/>
      <c r="H46" s="474"/>
    </row>
    <row r="47" spans="1:8" s="475" customFormat="1" ht="20.25" customHeight="1">
      <c r="A47" s="482" t="s">
        <v>0</v>
      </c>
      <c r="B47" s="483" t="s">
        <v>474</v>
      </c>
      <c r="C47" s="482"/>
      <c r="D47" s="484">
        <f>SUM(D48:D52)</f>
        <v>45000</v>
      </c>
      <c r="E47" s="1229" t="s">
        <v>492</v>
      </c>
      <c r="F47" s="474"/>
      <c r="G47" s="474"/>
      <c r="H47" s="474"/>
    </row>
    <row r="48" spans="1:8" s="475" customFormat="1" ht="20.25" customHeight="1">
      <c r="A48" s="478" t="s">
        <v>211</v>
      </c>
      <c r="B48" s="485" t="s">
        <v>519</v>
      </c>
      <c r="C48" s="682"/>
      <c r="D48" s="479">
        <v>10500</v>
      </c>
      <c r="E48" s="1229"/>
      <c r="F48" s="474"/>
      <c r="G48" s="474"/>
      <c r="H48" s="474"/>
    </row>
    <row r="49" spans="1:8" s="475" customFormat="1" ht="20.25" customHeight="1">
      <c r="A49" s="478" t="s">
        <v>211</v>
      </c>
      <c r="B49" s="485" t="s">
        <v>520</v>
      </c>
      <c r="C49" s="682"/>
      <c r="D49" s="479">
        <v>21000</v>
      </c>
      <c r="E49" s="1229"/>
      <c r="F49" s="474"/>
      <c r="G49" s="474"/>
      <c r="H49" s="474"/>
    </row>
    <row r="50" spans="1:8" s="475" customFormat="1" ht="20.25" customHeight="1">
      <c r="A50" s="478" t="s">
        <v>211</v>
      </c>
      <c r="B50" s="485" t="s">
        <v>357</v>
      </c>
      <c r="C50" s="682"/>
      <c r="D50" s="479">
        <v>4500</v>
      </c>
      <c r="E50" s="1229"/>
      <c r="F50" s="474"/>
      <c r="G50" s="474"/>
      <c r="H50" s="474"/>
    </row>
    <row r="51" spans="1:8" s="475" customFormat="1" ht="20.25" customHeight="1">
      <c r="A51" s="478" t="s">
        <v>211</v>
      </c>
      <c r="B51" s="485" t="s">
        <v>358</v>
      </c>
      <c r="C51" s="682"/>
      <c r="D51" s="479">
        <v>4500</v>
      </c>
      <c r="E51" s="1229"/>
      <c r="F51" s="474"/>
      <c r="G51" s="474"/>
      <c r="H51" s="474"/>
    </row>
    <row r="52" spans="1:8" s="475" customFormat="1" ht="20.25" customHeight="1">
      <c r="A52" s="478" t="s">
        <v>211</v>
      </c>
      <c r="B52" s="485" t="s">
        <v>359</v>
      </c>
      <c r="C52" s="682"/>
      <c r="D52" s="479">
        <v>4500</v>
      </c>
      <c r="E52" s="1229"/>
      <c r="F52" s="474"/>
      <c r="G52" s="474"/>
      <c r="H52" s="474"/>
    </row>
    <row r="53" spans="1:8" s="475" customFormat="1" ht="20.25" customHeight="1">
      <c r="A53" s="148" t="s">
        <v>2</v>
      </c>
      <c r="B53" s="486" t="s">
        <v>491</v>
      </c>
      <c r="C53" s="148"/>
      <c r="D53" s="481">
        <f>SUM(D54:D55)</f>
        <v>7500</v>
      </c>
      <c r="E53" s="1229" t="s">
        <v>491</v>
      </c>
      <c r="F53" s="474"/>
      <c r="G53" s="474"/>
      <c r="H53" s="474"/>
    </row>
    <row r="54" spans="1:8" s="475" customFormat="1" ht="20.25" customHeight="1">
      <c r="A54" s="478" t="s">
        <v>211</v>
      </c>
      <c r="B54" s="485" t="s">
        <v>360</v>
      </c>
      <c r="C54" s="682"/>
      <c r="D54" s="479">
        <v>6000</v>
      </c>
      <c r="E54" s="1229"/>
      <c r="F54" s="474"/>
      <c r="G54" s="474"/>
      <c r="H54" s="474"/>
    </row>
    <row r="55" spans="1:8" s="475" customFormat="1" ht="20.25" customHeight="1">
      <c r="A55" s="478" t="s">
        <v>211</v>
      </c>
      <c r="B55" s="485" t="s">
        <v>361</v>
      </c>
      <c r="C55" s="682"/>
      <c r="D55" s="479">
        <v>1500</v>
      </c>
      <c r="E55" s="1229"/>
      <c r="F55" s="474"/>
      <c r="G55" s="474"/>
      <c r="H55" s="474"/>
    </row>
    <row r="56" spans="1:8" s="475" customFormat="1" ht="20.25" customHeight="1">
      <c r="A56" s="148" t="s">
        <v>330</v>
      </c>
      <c r="B56" s="486" t="s">
        <v>1380</v>
      </c>
      <c r="C56" s="682"/>
      <c r="D56" s="481">
        <f>SUM(D57:D59)</f>
        <v>15200</v>
      </c>
      <c r="E56" s="1229" t="s">
        <v>490</v>
      </c>
      <c r="F56" s="474"/>
      <c r="G56" s="474"/>
      <c r="H56" s="474"/>
    </row>
    <row r="57" spans="1:8" s="475" customFormat="1" ht="20.25" customHeight="1">
      <c r="A57" s="478" t="s">
        <v>211</v>
      </c>
      <c r="B57" s="485" t="s">
        <v>362</v>
      </c>
      <c r="C57" s="682"/>
      <c r="D57" s="479">
        <v>10500</v>
      </c>
      <c r="E57" s="1229"/>
      <c r="F57" s="474"/>
      <c r="G57" s="474"/>
      <c r="H57" s="474"/>
    </row>
    <row r="58" spans="1:8" s="475" customFormat="1" ht="20.25" customHeight="1">
      <c r="A58" s="478" t="s">
        <v>211</v>
      </c>
      <c r="B58" s="485" t="s">
        <v>363</v>
      </c>
      <c r="C58" s="682"/>
      <c r="D58" s="479">
        <v>1700</v>
      </c>
      <c r="E58" s="1229"/>
      <c r="F58" s="474"/>
      <c r="G58" s="474"/>
      <c r="H58" s="474"/>
    </row>
    <row r="59" spans="1:8" s="475" customFormat="1" ht="20.25" customHeight="1">
      <c r="A59" s="478" t="s">
        <v>211</v>
      </c>
      <c r="B59" s="485" t="s">
        <v>364</v>
      </c>
      <c r="C59" s="682"/>
      <c r="D59" s="479">
        <v>3000</v>
      </c>
      <c r="E59" s="1229"/>
      <c r="F59" s="474"/>
      <c r="G59" s="474"/>
      <c r="H59" s="474"/>
    </row>
    <row r="60" spans="1:8" s="475" customFormat="1" ht="20.25" customHeight="1">
      <c r="A60" s="148" t="s">
        <v>331</v>
      </c>
      <c r="B60" s="486" t="s">
        <v>1381</v>
      </c>
      <c r="C60" s="682"/>
      <c r="D60" s="481">
        <f>SUM(D61:D63)</f>
        <v>15800</v>
      </c>
      <c r="E60" s="1229" t="s">
        <v>465</v>
      </c>
      <c r="F60" s="474"/>
      <c r="G60" s="474"/>
      <c r="H60" s="474"/>
    </row>
    <row r="61" spans="1:8" s="475" customFormat="1" ht="20.25" customHeight="1">
      <c r="A61" s="478" t="s">
        <v>211</v>
      </c>
      <c r="B61" s="485" t="s">
        <v>365</v>
      </c>
      <c r="C61" s="682"/>
      <c r="D61" s="479">
        <v>4500</v>
      </c>
      <c r="E61" s="1229"/>
      <c r="F61" s="474"/>
      <c r="G61" s="474"/>
      <c r="H61" s="474"/>
    </row>
    <row r="62" spans="1:8" s="475" customFormat="1" ht="20.25" customHeight="1">
      <c r="A62" s="478" t="s">
        <v>211</v>
      </c>
      <c r="B62" s="485" t="s">
        <v>366</v>
      </c>
      <c r="C62" s="682"/>
      <c r="D62" s="479">
        <v>6000</v>
      </c>
      <c r="E62" s="1229"/>
      <c r="F62" s="474"/>
      <c r="G62" s="474"/>
      <c r="H62" s="474"/>
    </row>
    <row r="63" spans="1:8" s="475" customFormat="1" ht="20.25" customHeight="1">
      <c r="A63" s="478" t="s">
        <v>211</v>
      </c>
      <c r="B63" s="485" t="s">
        <v>367</v>
      </c>
      <c r="C63" s="682"/>
      <c r="D63" s="479">
        <v>5300</v>
      </c>
      <c r="E63" s="1229"/>
      <c r="F63" s="474"/>
      <c r="G63" s="474"/>
      <c r="H63" s="474"/>
    </row>
    <row r="64" spans="1:8" s="475" customFormat="1" ht="20.25" customHeight="1">
      <c r="A64" s="148" t="s">
        <v>332</v>
      </c>
      <c r="B64" s="486" t="s">
        <v>1382</v>
      </c>
      <c r="C64" s="682"/>
      <c r="D64" s="472">
        <f>SUM(D65:D69)</f>
        <v>16400</v>
      </c>
      <c r="E64" s="1229" t="s">
        <v>472</v>
      </c>
      <c r="F64" s="474"/>
      <c r="G64" s="474"/>
      <c r="H64" s="474"/>
    </row>
    <row r="65" spans="1:8" s="475" customFormat="1" ht="20.25" customHeight="1">
      <c r="A65" s="478" t="s">
        <v>211</v>
      </c>
      <c r="B65" s="485" t="s">
        <v>368</v>
      </c>
      <c r="C65" s="682"/>
      <c r="D65" s="479">
        <v>2000</v>
      </c>
      <c r="E65" s="1229"/>
      <c r="F65" s="474"/>
      <c r="G65" s="474"/>
      <c r="H65" s="474"/>
    </row>
    <row r="66" spans="1:8" s="475" customFormat="1" ht="20.25" customHeight="1">
      <c r="A66" s="478" t="s">
        <v>211</v>
      </c>
      <c r="B66" s="485" t="s">
        <v>369</v>
      </c>
      <c r="C66" s="682"/>
      <c r="D66" s="479">
        <v>5300</v>
      </c>
      <c r="E66" s="1229"/>
      <c r="F66" s="474"/>
      <c r="G66" s="474"/>
      <c r="H66" s="474"/>
    </row>
    <row r="67" spans="1:8" s="475" customFormat="1" ht="20.25" customHeight="1">
      <c r="A67" s="478" t="s">
        <v>211</v>
      </c>
      <c r="B67" s="485" t="s">
        <v>370</v>
      </c>
      <c r="C67" s="682"/>
      <c r="D67" s="479">
        <v>2300</v>
      </c>
      <c r="E67" s="1229"/>
      <c r="F67" s="474"/>
      <c r="G67" s="474"/>
      <c r="H67" s="474"/>
    </row>
    <row r="68" spans="1:8" s="475" customFormat="1" ht="20.25" customHeight="1">
      <c r="A68" s="478" t="s">
        <v>211</v>
      </c>
      <c r="B68" s="485" t="s">
        <v>371</v>
      </c>
      <c r="C68" s="682"/>
      <c r="D68" s="479">
        <v>3000</v>
      </c>
      <c r="E68" s="1229"/>
      <c r="F68" s="474"/>
      <c r="G68" s="474"/>
      <c r="H68" s="474"/>
    </row>
    <row r="69" spans="1:8" s="475" customFormat="1" ht="20.25" customHeight="1">
      <c r="A69" s="478" t="s">
        <v>211</v>
      </c>
      <c r="B69" s="485" t="s">
        <v>372</v>
      </c>
      <c r="C69" s="682"/>
      <c r="D69" s="479">
        <v>3800</v>
      </c>
      <c r="E69" s="1229"/>
      <c r="F69" s="474"/>
      <c r="G69" s="474"/>
      <c r="H69" s="474"/>
    </row>
    <row r="70" spans="1:8" s="475" customFormat="1" ht="20.25" customHeight="1">
      <c r="A70" s="148" t="s">
        <v>333</v>
      </c>
      <c r="B70" s="486" t="s">
        <v>1383</v>
      </c>
      <c r="C70" s="682"/>
      <c r="D70" s="481">
        <f>SUM(D71:D74)</f>
        <v>18500</v>
      </c>
      <c r="E70" s="1229" t="s">
        <v>489</v>
      </c>
      <c r="F70" s="474"/>
      <c r="G70" s="474"/>
      <c r="H70" s="474"/>
    </row>
    <row r="71" spans="1:8" s="475" customFormat="1" ht="20.25" customHeight="1">
      <c r="A71" s="478" t="s">
        <v>211</v>
      </c>
      <c r="B71" s="485" t="s">
        <v>373</v>
      </c>
      <c r="C71" s="682"/>
      <c r="D71" s="479">
        <v>3000</v>
      </c>
      <c r="E71" s="1229"/>
      <c r="F71" s="474"/>
      <c r="G71" s="474"/>
      <c r="H71" s="474"/>
    </row>
    <row r="72" spans="1:8" s="475" customFormat="1" ht="20.25" customHeight="1">
      <c r="A72" s="478" t="s">
        <v>211</v>
      </c>
      <c r="B72" s="485" t="s">
        <v>374</v>
      </c>
      <c r="C72" s="682"/>
      <c r="D72" s="479">
        <v>2000</v>
      </c>
      <c r="E72" s="1229"/>
      <c r="F72" s="474"/>
      <c r="G72" s="474"/>
      <c r="H72" s="474"/>
    </row>
    <row r="73" spans="1:8" s="475" customFormat="1" ht="20.25" customHeight="1">
      <c r="A73" s="478" t="s">
        <v>211</v>
      </c>
      <c r="B73" s="485" t="s">
        <v>375</v>
      </c>
      <c r="C73" s="682"/>
      <c r="D73" s="479">
        <v>6000</v>
      </c>
      <c r="E73" s="1229"/>
      <c r="F73" s="474"/>
      <c r="G73" s="474"/>
      <c r="H73" s="474"/>
    </row>
    <row r="74" spans="1:8" s="475" customFormat="1" ht="20.25" customHeight="1">
      <c r="A74" s="478" t="s">
        <v>211</v>
      </c>
      <c r="B74" s="485" t="s">
        <v>376</v>
      </c>
      <c r="C74" s="682"/>
      <c r="D74" s="479">
        <v>7500</v>
      </c>
      <c r="E74" s="1229"/>
      <c r="F74" s="474"/>
      <c r="G74" s="474"/>
      <c r="H74" s="474"/>
    </row>
    <row r="75" spans="1:8" s="475" customFormat="1" ht="20.25" customHeight="1">
      <c r="A75" s="148" t="s">
        <v>334</v>
      </c>
      <c r="B75" s="486" t="s">
        <v>1384</v>
      </c>
      <c r="C75" s="682"/>
      <c r="D75" s="481">
        <f>SUM(D76:D79)</f>
        <v>30000</v>
      </c>
      <c r="E75" s="1229" t="s">
        <v>488</v>
      </c>
      <c r="F75" s="474"/>
      <c r="G75" s="474"/>
      <c r="H75" s="474"/>
    </row>
    <row r="76" spans="1:8" s="475" customFormat="1" ht="20.25" customHeight="1">
      <c r="A76" s="478" t="s">
        <v>211</v>
      </c>
      <c r="B76" s="485" t="s">
        <v>377</v>
      </c>
      <c r="C76" s="682"/>
      <c r="D76" s="479">
        <v>7500</v>
      </c>
      <c r="E76" s="1229"/>
      <c r="F76" s="474"/>
      <c r="G76" s="474"/>
      <c r="H76" s="474"/>
    </row>
    <row r="77" spans="1:8" s="475" customFormat="1" ht="20.25" customHeight="1">
      <c r="A77" s="478" t="s">
        <v>211</v>
      </c>
      <c r="B77" s="485" t="s">
        <v>378</v>
      </c>
      <c r="C77" s="682"/>
      <c r="D77" s="479">
        <v>10500</v>
      </c>
      <c r="E77" s="1229"/>
      <c r="F77" s="474"/>
      <c r="G77" s="474"/>
      <c r="H77" s="474"/>
    </row>
    <row r="78" spans="1:8" s="475" customFormat="1" ht="20.25" customHeight="1">
      <c r="A78" s="478" t="s">
        <v>211</v>
      </c>
      <c r="B78" s="485" t="s">
        <v>379</v>
      </c>
      <c r="C78" s="682"/>
      <c r="D78" s="479">
        <v>4500</v>
      </c>
      <c r="E78" s="1229"/>
      <c r="F78" s="474"/>
      <c r="G78" s="474"/>
      <c r="H78" s="474"/>
    </row>
    <row r="79" spans="1:8" s="475" customFormat="1" ht="20.25" customHeight="1">
      <c r="A79" s="478" t="s">
        <v>211</v>
      </c>
      <c r="B79" s="485" t="s">
        <v>380</v>
      </c>
      <c r="C79" s="682"/>
      <c r="D79" s="479">
        <v>7500</v>
      </c>
      <c r="E79" s="1229"/>
      <c r="F79" s="474"/>
      <c r="G79" s="474"/>
      <c r="H79" s="474"/>
    </row>
    <row r="80" spans="1:8" s="475" customFormat="1" ht="20.25" customHeight="1">
      <c r="A80" s="148" t="s">
        <v>847</v>
      </c>
      <c r="B80" s="486" t="s">
        <v>1385</v>
      </c>
      <c r="C80" s="682"/>
      <c r="D80" s="481">
        <f>SUM(D81:D88)</f>
        <v>41700</v>
      </c>
      <c r="E80" s="1229" t="s">
        <v>487</v>
      </c>
      <c r="F80" s="474"/>
      <c r="G80" s="474"/>
      <c r="H80" s="474"/>
    </row>
    <row r="81" spans="1:8" s="475" customFormat="1" ht="20.25" customHeight="1">
      <c r="A81" s="478" t="s">
        <v>211</v>
      </c>
      <c r="B81" s="485" t="s">
        <v>381</v>
      </c>
      <c r="C81" s="682"/>
      <c r="D81" s="479">
        <v>2300</v>
      </c>
      <c r="E81" s="1229"/>
      <c r="F81" s="474"/>
      <c r="G81" s="474"/>
      <c r="H81" s="474"/>
    </row>
    <row r="82" spans="1:8" s="475" customFormat="1" ht="20.25" customHeight="1">
      <c r="A82" s="478" t="s">
        <v>211</v>
      </c>
      <c r="B82" s="485" t="s">
        <v>382</v>
      </c>
      <c r="C82" s="682"/>
      <c r="D82" s="479">
        <v>2700</v>
      </c>
      <c r="E82" s="1229"/>
      <c r="F82" s="474"/>
      <c r="G82" s="474"/>
      <c r="H82" s="474"/>
    </row>
    <row r="83" spans="1:8" s="475" customFormat="1" ht="20.25" customHeight="1">
      <c r="A83" s="478" t="s">
        <v>211</v>
      </c>
      <c r="B83" s="485" t="s">
        <v>383</v>
      </c>
      <c r="C83" s="682"/>
      <c r="D83" s="479">
        <v>4500</v>
      </c>
      <c r="E83" s="1229"/>
      <c r="F83" s="474"/>
      <c r="G83" s="474"/>
      <c r="H83" s="474"/>
    </row>
    <row r="84" spans="1:8" s="475" customFormat="1" ht="20.25" customHeight="1">
      <c r="A84" s="478" t="s">
        <v>211</v>
      </c>
      <c r="B84" s="485" t="s">
        <v>384</v>
      </c>
      <c r="C84" s="682"/>
      <c r="D84" s="479">
        <v>3800</v>
      </c>
      <c r="E84" s="1229"/>
      <c r="F84" s="474"/>
      <c r="G84" s="474"/>
      <c r="H84" s="474"/>
    </row>
    <row r="85" spans="1:8" s="475" customFormat="1" ht="20.25" customHeight="1">
      <c r="A85" s="478" t="s">
        <v>211</v>
      </c>
      <c r="B85" s="485" t="s">
        <v>385</v>
      </c>
      <c r="C85" s="682"/>
      <c r="D85" s="479">
        <v>6000</v>
      </c>
      <c r="E85" s="1229"/>
      <c r="F85" s="474"/>
      <c r="G85" s="474"/>
      <c r="H85" s="474"/>
    </row>
    <row r="86" spans="1:8" s="475" customFormat="1" ht="20.25" customHeight="1">
      <c r="A86" s="478" t="s">
        <v>211</v>
      </c>
      <c r="B86" s="485" t="s">
        <v>386</v>
      </c>
      <c r="C86" s="682"/>
      <c r="D86" s="479">
        <v>11300</v>
      </c>
      <c r="E86" s="1229"/>
      <c r="F86" s="474"/>
      <c r="G86" s="474"/>
      <c r="H86" s="474"/>
    </row>
    <row r="87" spans="1:8" s="475" customFormat="1" ht="20.25" customHeight="1">
      <c r="A87" s="478" t="s">
        <v>211</v>
      </c>
      <c r="B87" s="485" t="s">
        <v>387</v>
      </c>
      <c r="C87" s="682"/>
      <c r="D87" s="479">
        <v>9000</v>
      </c>
      <c r="E87" s="1229"/>
      <c r="F87" s="474"/>
      <c r="G87" s="474"/>
      <c r="H87" s="474"/>
    </row>
    <row r="88" spans="1:8" s="475" customFormat="1" ht="20.25" customHeight="1">
      <c r="A88" s="478" t="s">
        <v>211</v>
      </c>
      <c r="B88" s="485" t="s">
        <v>388</v>
      </c>
      <c r="C88" s="682"/>
      <c r="D88" s="479">
        <v>2100</v>
      </c>
      <c r="E88" s="1229"/>
      <c r="F88" s="474"/>
      <c r="G88" s="474"/>
      <c r="H88" s="474"/>
    </row>
    <row r="89" spans="1:8" s="475" customFormat="1" ht="20.25" customHeight="1">
      <c r="A89" s="148" t="s">
        <v>1261</v>
      </c>
      <c r="B89" s="486" t="s">
        <v>1386</v>
      </c>
      <c r="C89" s="682"/>
      <c r="D89" s="481">
        <f>SUM(D90:D92)</f>
        <v>24000</v>
      </c>
      <c r="E89" s="1229" t="s">
        <v>486</v>
      </c>
      <c r="F89" s="474"/>
      <c r="G89" s="474"/>
      <c r="H89" s="474"/>
    </row>
    <row r="90" spans="1:8" s="475" customFormat="1" ht="20.25" customHeight="1">
      <c r="A90" s="478" t="s">
        <v>211</v>
      </c>
      <c r="B90" s="485" t="s">
        <v>389</v>
      </c>
      <c r="C90" s="682"/>
      <c r="D90" s="479">
        <v>4500</v>
      </c>
      <c r="E90" s="1229"/>
      <c r="F90" s="474"/>
      <c r="G90" s="474"/>
      <c r="H90" s="474"/>
    </row>
    <row r="91" spans="1:8" s="475" customFormat="1" ht="20.25" customHeight="1">
      <c r="A91" s="478" t="s">
        <v>211</v>
      </c>
      <c r="B91" s="485" t="s">
        <v>390</v>
      </c>
      <c r="C91" s="682"/>
      <c r="D91" s="479">
        <v>13500</v>
      </c>
      <c r="E91" s="1229"/>
      <c r="F91" s="474"/>
      <c r="G91" s="474"/>
      <c r="H91" s="474"/>
    </row>
    <row r="92" spans="1:8" s="475" customFormat="1" ht="20.25" customHeight="1">
      <c r="A92" s="478" t="s">
        <v>211</v>
      </c>
      <c r="B92" s="485" t="s">
        <v>391</v>
      </c>
      <c r="C92" s="682"/>
      <c r="D92" s="479">
        <v>6000</v>
      </c>
      <c r="E92" s="1229"/>
      <c r="F92" s="474"/>
      <c r="G92" s="474"/>
      <c r="H92" s="474"/>
    </row>
    <row r="93" spans="1:8" s="475" customFormat="1" ht="20.25" customHeight="1">
      <c r="A93" s="148" t="s">
        <v>1285</v>
      </c>
      <c r="B93" s="486" t="s">
        <v>466</v>
      </c>
      <c r="C93" s="682"/>
      <c r="D93" s="472">
        <f>SUM(D94:D97)</f>
        <v>30800</v>
      </c>
      <c r="E93" s="1229" t="s">
        <v>485</v>
      </c>
      <c r="F93" s="474"/>
      <c r="G93" s="474"/>
      <c r="H93" s="474"/>
    </row>
    <row r="94" spans="1:8" s="475" customFormat="1" ht="20.25" customHeight="1">
      <c r="A94" s="478" t="s">
        <v>211</v>
      </c>
      <c r="B94" s="485" t="s">
        <v>392</v>
      </c>
      <c r="C94" s="682"/>
      <c r="D94" s="479">
        <v>20300</v>
      </c>
      <c r="E94" s="1229"/>
      <c r="F94" s="474"/>
      <c r="G94" s="474"/>
      <c r="H94" s="474"/>
    </row>
    <row r="95" spans="1:8" s="475" customFormat="1" ht="20.25" customHeight="1">
      <c r="A95" s="478" t="s">
        <v>211</v>
      </c>
      <c r="B95" s="485" t="s">
        <v>393</v>
      </c>
      <c r="C95" s="682"/>
      <c r="D95" s="479">
        <v>3000</v>
      </c>
      <c r="E95" s="1229"/>
      <c r="F95" s="474"/>
      <c r="G95" s="474"/>
      <c r="H95" s="474"/>
    </row>
    <row r="96" spans="1:8" s="475" customFormat="1" ht="20.25" customHeight="1">
      <c r="A96" s="478" t="s">
        <v>211</v>
      </c>
      <c r="B96" s="485" t="s">
        <v>394</v>
      </c>
      <c r="C96" s="682"/>
      <c r="D96" s="479">
        <v>6000</v>
      </c>
      <c r="E96" s="1229"/>
      <c r="F96" s="474"/>
      <c r="G96" s="474"/>
      <c r="H96" s="474"/>
    </row>
    <row r="97" spans="1:8" s="475" customFormat="1" ht="20.25" customHeight="1">
      <c r="A97" s="478" t="s">
        <v>211</v>
      </c>
      <c r="B97" s="485" t="s">
        <v>395</v>
      </c>
      <c r="C97" s="682"/>
      <c r="D97" s="479">
        <v>1500</v>
      </c>
      <c r="E97" s="1229"/>
      <c r="F97" s="474"/>
      <c r="G97" s="474"/>
      <c r="H97" s="474"/>
    </row>
    <row r="98" spans="1:8" s="475" customFormat="1" ht="20.25" customHeight="1">
      <c r="A98" s="148" t="s">
        <v>1298</v>
      </c>
      <c r="B98" s="486" t="s">
        <v>1387</v>
      </c>
      <c r="C98" s="682"/>
      <c r="D98" s="481">
        <f>SUM(D99:D105)</f>
        <v>38400</v>
      </c>
      <c r="E98" s="1229" t="s">
        <v>470</v>
      </c>
      <c r="F98" s="474"/>
      <c r="G98" s="474"/>
      <c r="H98" s="474"/>
    </row>
    <row r="99" spans="1:8" s="475" customFormat="1" ht="20.25" customHeight="1">
      <c r="A99" s="478" t="s">
        <v>211</v>
      </c>
      <c r="B99" s="485" t="s">
        <v>396</v>
      </c>
      <c r="C99" s="682"/>
      <c r="D99" s="479">
        <v>6000</v>
      </c>
      <c r="E99" s="1229"/>
      <c r="F99" s="474"/>
      <c r="G99" s="474"/>
      <c r="H99" s="474"/>
    </row>
    <row r="100" spans="1:8" s="475" customFormat="1" ht="20.25" customHeight="1">
      <c r="A100" s="478" t="s">
        <v>211</v>
      </c>
      <c r="B100" s="485" t="s">
        <v>397</v>
      </c>
      <c r="C100" s="682"/>
      <c r="D100" s="479">
        <v>6000</v>
      </c>
      <c r="E100" s="1229"/>
      <c r="F100" s="474"/>
      <c r="G100" s="474"/>
      <c r="H100" s="474"/>
    </row>
    <row r="101" spans="1:8" s="475" customFormat="1" ht="20.25" customHeight="1">
      <c r="A101" s="478" t="s">
        <v>211</v>
      </c>
      <c r="B101" s="485" t="s">
        <v>398</v>
      </c>
      <c r="C101" s="682"/>
      <c r="D101" s="479">
        <v>5400</v>
      </c>
      <c r="E101" s="1229"/>
      <c r="F101" s="474"/>
      <c r="G101" s="474"/>
      <c r="H101" s="474"/>
    </row>
    <row r="102" spans="1:8" s="475" customFormat="1" ht="20.25" customHeight="1">
      <c r="A102" s="478" t="s">
        <v>211</v>
      </c>
      <c r="B102" s="485" t="s">
        <v>399</v>
      </c>
      <c r="C102" s="682"/>
      <c r="D102" s="479">
        <v>1500</v>
      </c>
      <c r="E102" s="1229"/>
      <c r="F102" s="474"/>
      <c r="G102" s="474"/>
      <c r="H102" s="474"/>
    </row>
    <row r="103" spans="1:8" s="475" customFormat="1" ht="20.25" customHeight="1">
      <c r="A103" s="478" t="s">
        <v>211</v>
      </c>
      <c r="B103" s="485" t="s">
        <v>1563</v>
      </c>
      <c r="C103" s="682"/>
      <c r="D103" s="479">
        <v>7500</v>
      </c>
      <c r="E103" s="1229"/>
      <c r="F103" s="474"/>
      <c r="G103" s="474"/>
      <c r="H103" s="474"/>
    </row>
    <row r="104" spans="1:8" s="475" customFormat="1" ht="20.25" customHeight="1">
      <c r="A104" s="478" t="s">
        <v>211</v>
      </c>
      <c r="B104" s="485" t="s">
        <v>1562</v>
      </c>
      <c r="C104" s="682"/>
      <c r="D104" s="479">
        <v>3000</v>
      </c>
      <c r="E104" s="1229"/>
      <c r="F104" s="474"/>
      <c r="G104" s="474"/>
      <c r="H104" s="474"/>
    </row>
    <row r="105" spans="1:8" s="475" customFormat="1" ht="20.25" customHeight="1">
      <c r="A105" s="478" t="s">
        <v>211</v>
      </c>
      <c r="B105" s="485" t="s">
        <v>1579</v>
      </c>
      <c r="C105" s="682"/>
      <c r="D105" s="479">
        <v>9000</v>
      </c>
      <c r="E105" s="1229"/>
      <c r="F105" s="474"/>
      <c r="G105" s="474"/>
      <c r="H105" s="474"/>
    </row>
    <row r="106" spans="1:8" s="475" customFormat="1" ht="20.25" customHeight="1">
      <c r="A106" s="148" t="s">
        <v>1299</v>
      </c>
      <c r="B106" s="486" t="s">
        <v>1388</v>
      </c>
      <c r="C106" s="682"/>
      <c r="D106" s="481">
        <f>SUM(D107:D113)</f>
        <v>53600</v>
      </c>
      <c r="E106" s="1229" t="s">
        <v>484</v>
      </c>
      <c r="F106" s="474"/>
      <c r="G106" s="474"/>
      <c r="H106" s="474"/>
    </row>
    <row r="107" spans="1:8" s="475" customFormat="1" ht="20.25" customHeight="1">
      <c r="A107" s="478" t="s">
        <v>211</v>
      </c>
      <c r="B107" s="485" t="s">
        <v>1578</v>
      </c>
      <c r="C107" s="682"/>
      <c r="D107" s="479">
        <v>7500</v>
      </c>
      <c r="E107" s="1229"/>
      <c r="F107" s="474"/>
      <c r="G107" s="474"/>
      <c r="H107" s="474"/>
    </row>
    <row r="108" spans="1:8" s="475" customFormat="1" ht="20.25" customHeight="1">
      <c r="A108" s="478" t="s">
        <v>211</v>
      </c>
      <c r="B108" s="485" t="s">
        <v>1577</v>
      </c>
      <c r="C108" s="487"/>
      <c r="D108" s="479">
        <v>7500</v>
      </c>
      <c r="E108" s="1229"/>
      <c r="F108" s="474"/>
      <c r="G108" s="474"/>
      <c r="H108" s="474"/>
    </row>
    <row r="109" spans="1:8" s="475" customFormat="1" ht="20.25" customHeight="1">
      <c r="A109" s="478" t="s">
        <v>211</v>
      </c>
      <c r="B109" s="485" t="s">
        <v>1564</v>
      </c>
      <c r="C109" s="487"/>
      <c r="D109" s="479">
        <v>10500</v>
      </c>
      <c r="E109" s="1229"/>
      <c r="F109" s="474"/>
      <c r="G109" s="474"/>
      <c r="H109" s="474"/>
    </row>
    <row r="110" spans="1:8" s="475" customFormat="1" ht="20.25" customHeight="1">
      <c r="A110" s="478" t="s">
        <v>211</v>
      </c>
      <c r="B110" s="485" t="s">
        <v>1565</v>
      </c>
      <c r="C110" s="682"/>
      <c r="D110" s="479">
        <v>7500</v>
      </c>
      <c r="E110" s="1229"/>
      <c r="F110" s="474"/>
      <c r="G110" s="474"/>
      <c r="H110" s="474"/>
    </row>
    <row r="111" spans="1:8" s="475" customFormat="1" ht="20.25" customHeight="1">
      <c r="A111" s="478" t="s">
        <v>211</v>
      </c>
      <c r="B111" s="485" t="s">
        <v>1566</v>
      </c>
      <c r="C111" s="682"/>
      <c r="D111" s="479">
        <v>3000</v>
      </c>
      <c r="E111" s="1229"/>
      <c r="F111" s="474"/>
      <c r="G111" s="474"/>
      <c r="H111" s="474"/>
    </row>
    <row r="112" spans="1:8" s="475" customFormat="1" ht="20.25" customHeight="1">
      <c r="A112" s="478" t="s">
        <v>211</v>
      </c>
      <c r="B112" s="485" t="s">
        <v>1567</v>
      </c>
      <c r="C112" s="682"/>
      <c r="D112" s="479">
        <v>3000</v>
      </c>
      <c r="E112" s="1229"/>
      <c r="F112" s="474"/>
      <c r="G112" s="474"/>
      <c r="H112" s="474"/>
    </row>
    <row r="113" spans="1:8" s="475" customFormat="1" ht="20.25" customHeight="1">
      <c r="A113" s="478" t="s">
        <v>211</v>
      </c>
      <c r="B113" s="485" t="s">
        <v>1568</v>
      </c>
      <c r="C113" s="682"/>
      <c r="D113" s="479">
        <v>14600</v>
      </c>
      <c r="E113" s="1229"/>
      <c r="F113" s="474"/>
      <c r="G113" s="474"/>
      <c r="H113" s="474"/>
    </row>
    <row r="114" spans="1:8" s="475" customFormat="1" ht="20.25" customHeight="1">
      <c r="A114" s="148" t="s">
        <v>1300</v>
      </c>
      <c r="B114" s="486" t="s">
        <v>473</v>
      </c>
      <c r="C114" s="682"/>
      <c r="D114" s="481">
        <f>SUM(D115:D117)</f>
        <v>12000</v>
      </c>
      <c r="E114" s="1229" t="s">
        <v>483</v>
      </c>
      <c r="F114" s="474"/>
      <c r="G114" s="474"/>
      <c r="H114" s="474"/>
    </row>
    <row r="115" spans="1:8" s="475" customFormat="1" ht="20.25" customHeight="1">
      <c r="A115" s="478" t="s">
        <v>211</v>
      </c>
      <c r="B115" s="485" t="s">
        <v>1569</v>
      </c>
      <c r="C115" s="682"/>
      <c r="D115" s="479">
        <v>4500</v>
      </c>
      <c r="E115" s="1229"/>
      <c r="F115" s="474"/>
      <c r="G115" s="474"/>
      <c r="H115" s="474"/>
    </row>
    <row r="116" spans="1:8" s="475" customFormat="1" ht="20.25" customHeight="1">
      <c r="A116" s="478" t="s">
        <v>211</v>
      </c>
      <c r="B116" s="485" t="s">
        <v>1570</v>
      </c>
      <c r="C116" s="682"/>
      <c r="D116" s="479">
        <v>3000</v>
      </c>
      <c r="E116" s="1229"/>
      <c r="F116" s="474"/>
      <c r="G116" s="474"/>
      <c r="H116" s="474"/>
    </row>
    <row r="117" spans="1:8" s="475" customFormat="1" ht="20.25" customHeight="1">
      <c r="A117" s="478" t="s">
        <v>211</v>
      </c>
      <c r="B117" s="485" t="s">
        <v>1571</v>
      </c>
      <c r="C117" s="682"/>
      <c r="D117" s="479">
        <v>4500</v>
      </c>
      <c r="E117" s="1229"/>
      <c r="F117" s="474"/>
      <c r="G117" s="474"/>
      <c r="H117" s="474"/>
    </row>
    <row r="118" spans="1:8" s="475" customFormat="1" ht="20.25" customHeight="1">
      <c r="A118" s="148" t="s">
        <v>1434</v>
      </c>
      <c r="B118" s="486" t="s">
        <v>446</v>
      </c>
      <c r="C118" s="682"/>
      <c r="D118" s="481">
        <f>SUM(D119:D126)</f>
        <v>27500</v>
      </c>
      <c r="E118" s="1229" t="s">
        <v>482</v>
      </c>
      <c r="F118" s="474"/>
      <c r="G118" s="474"/>
      <c r="H118" s="474"/>
    </row>
    <row r="119" spans="1:8" s="475" customFormat="1" ht="20.25" customHeight="1">
      <c r="A119" s="478" t="s">
        <v>211</v>
      </c>
      <c r="B119" s="485" t="s">
        <v>1575</v>
      </c>
      <c r="C119" s="682"/>
      <c r="D119" s="479">
        <v>10500</v>
      </c>
      <c r="E119" s="1229"/>
      <c r="F119" s="474"/>
      <c r="G119" s="474"/>
      <c r="H119" s="474"/>
    </row>
    <row r="120" spans="1:8" s="475" customFormat="1" ht="20.25" customHeight="1">
      <c r="A120" s="478" t="s">
        <v>211</v>
      </c>
      <c r="B120" s="485" t="s">
        <v>1572</v>
      </c>
      <c r="C120" s="682"/>
      <c r="D120" s="479">
        <v>2000</v>
      </c>
      <c r="E120" s="1229"/>
      <c r="F120" s="474"/>
      <c r="G120" s="474"/>
      <c r="H120" s="474"/>
    </row>
    <row r="121" spans="1:8" s="475" customFormat="1" ht="21" customHeight="1">
      <c r="A121" s="478" t="s">
        <v>211</v>
      </c>
      <c r="B121" s="485" t="s">
        <v>521</v>
      </c>
      <c r="C121" s="682"/>
      <c r="D121" s="479">
        <v>7500</v>
      </c>
      <c r="E121" s="1229"/>
      <c r="F121" s="474"/>
      <c r="G121" s="474"/>
      <c r="H121" s="474"/>
    </row>
    <row r="122" spans="1:8" s="475" customFormat="1" ht="21" customHeight="1">
      <c r="A122" s="478" t="s">
        <v>211</v>
      </c>
      <c r="B122" s="485" t="s">
        <v>400</v>
      </c>
      <c r="C122" s="682"/>
      <c r="D122" s="479">
        <v>1500</v>
      </c>
      <c r="E122" s="1229"/>
      <c r="F122" s="474"/>
      <c r="G122" s="474"/>
      <c r="H122" s="474"/>
    </row>
    <row r="123" spans="1:8" s="475" customFormat="1" ht="15">
      <c r="A123" s="478" t="s">
        <v>211</v>
      </c>
      <c r="B123" s="485" t="s">
        <v>401</v>
      </c>
      <c r="C123" s="682"/>
      <c r="D123" s="479">
        <v>1500</v>
      </c>
      <c r="E123" s="1229"/>
      <c r="F123" s="474"/>
      <c r="G123" s="474"/>
      <c r="H123" s="474"/>
    </row>
    <row r="124" spans="1:8" s="475" customFormat="1" ht="21" customHeight="1">
      <c r="A124" s="478" t="s">
        <v>211</v>
      </c>
      <c r="B124" s="485" t="s">
        <v>402</v>
      </c>
      <c r="C124" s="682"/>
      <c r="D124" s="479">
        <v>1500</v>
      </c>
      <c r="E124" s="1229"/>
      <c r="F124" s="474"/>
      <c r="G124" s="474"/>
      <c r="H124" s="474"/>
    </row>
    <row r="125" spans="1:8" s="475" customFormat="1" ht="21" customHeight="1">
      <c r="A125" s="478" t="s">
        <v>211</v>
      </c>
      <c r="B125" s="485" t="s">
        <v>403</v>
      </c>
      <c r="C125" s="682"/>
      <c r="D125" s="479">
        <v>1500</v>
      </c>
      <c r="E125" s="1229"/>
      <c r="F125" s="474"/>
      <c r="G125" s="474"/>
      <c r="H125" s="474"/>
    </row>
    <row r="126" spans="1:8" s="475" customFormat="1" ht="21" customHeight="1">
      <c r="A126" s="478" t="s">
        <v>211</v>
      </c>
      <c r="B126" s="485" t="s">
        <v>404</v>
      </c>
      <c r="C126" s="682"/>
      <c r="D126" s="479">
        <v>1500</v>
      </c>
      <c r="E126" s="1229"/>
      <c r="F126" s="474"/>
      <c r="G126" s="474"/>
      <c r="H126" s="474"/>
    </row>
    <row r="127" spans="1:8" s="475" customFormat="1" ht="21" customHeight="1">
      <c r="A127" s="148" t="s">
        <v>1461</v>
      </c>
      <c r="B127" s="486" t="s">
        <v>471</v>
      </c>
      <c r="C127" s="682"/>
      <c r="D127" s="481">
        <f>SUM(D128:D133)</f>
        <v>24300</v>
      </c>
      <c r="E127" s="1229" t="s">
        <v>481</v>
      </c>
      <c r="F127" s="474"/>
      <c r="G127" s="474"/>
      <c r="H127" s="474"/>
    </row>
    <row r="128" spans="1:8" s="475" customFormat="1" ht="18.75" customHeight="1">
      <c r="A128" s="478" t="s">
        <v>211</v>
      </c>
      <c r="B128" s="485" t="s">
        <v>1573</v>
      </c>
      <c r="C128" s="682"/>
      <c r="D128" s="479">
        <v>6800</v>
      </c>
      <c r="E128" s="1229"/>
      <c r="F128" s="474"/>
      <c r="G128" s="474"/>
      <c r="H128" s="474"/>
    </row>
    <row r="129" spans="1:8" s="475" customFormat="1" ht="18.75" customHeight="1">
      <c r="A129" s="478" t="s">
        <v>211</v>
      </c>
      <c r="B129" s="485" t="s">
        <v>405</v>
      </c>
      <c r="C129" s="682"/>
      <c r="D129" s="479">
        <v>6800</v>
      </c>
      <c r="E129" s="1229"/>
      <c r="F129" s="474"/>
      <c r="G129" s="474"/>
      <c r="H129" s="474"/>
    </row>
    <row r="130" spans="1:8" s="475" customFormat="1" ht="18.75" customHeight="1">
      <c r="A130" s="478" t="s">
        <v>211</v>
      </c>
      <c r="B130" s="485" t="s">
        <v>406</v>
      </c>
      <c r="C130" s="682"/>
      <c r="D130" s="479">
        <v>1500</v>
      </c>
      <c r="E130" s="1229"/>
      <c r="F130" s="474"/>
      <c r="G130" s="474"/>
      <c r="H130" s="474"/>
    </row>
    <row r="131" spans="1:8" s="475" customFormat="1" ht="18.75" customHeight="1">
      <c r="A131" s="478" t="s">
        <v>211</v>
      </c>
      <c r="B131" s="485" t="s">
        <v>407</v>
      </c>
      <c r="C131" s="682"/>
      <c r="D131" s="479">
        <v>4100</v>
      </c>
      <c r="E131" s="1229"/>
      <c r="F131" s="474"/>
      <c r="G131" s="474"/>
      <c r="H131" s="474"/>
    </row>
    <row r="132" spans="1:8" s="475" customFormat="1" ht="18.75" customHeight="1">
      <c r="A132" s="478" t="s">
        <v>211</v>
      </c>
      <c r="B132" s="485" t="s">
        <v>408</v>
      </c>
      <c r="C132" s="682"/>
      <c r="D132" s="479">
        <v>3600</v>
      </c>
      <c r="E132" s="1229"/>
      <c r="F132" s="474"/>
      <c r="G132" s="474"/>
      <c r="H132" s="474"/>
    </row>
    <row r="133" spans="1:8" s="475" customFormat="1" ht="18.75" customHeight="1">
      <c r="A133" s="478" t="s">
        <v>211</v>
      </c>
      <c r="B133" s="485" t="s">
        <v>409</v>
      </c>
      <c r="C133" s="682"/>
      <c r="D133" s="479">
        <v>1500</v>
      </c>
      <c r="E133" s="1229"/>
      <c r="F133" s="474"/>
      <c r="G133" s="474"/>
      <c r="H133" s="474"/>
    </row>
    <row r="134" spans="1:8" s="475" customFormat="1" ht="18.75" customHeight="1">
      <c r="A134" s="148" t="s">
        <v>1462</v>
      </c>
      <c r="B134" s="486" t="s">
        <v>1389</v>
      </c>
      <c r="C134" s="682"/>
      <c r="D134" s="481">
        <f>SUM(D135:D136)</f>
        <v>12000</v>
      </c>
      <c r="E134" s="1229" t="s">
        <v>480</v>
      </c>
      <c r="F134" s="474"/>
      <c r="G134" s="474"/>
      <c r="H134" s="474"/>
    </row>
    <row r="135" spans="1:8" s="475" customFormat="1" ht="18.75" customHeight="1">
      <c r="A135" s="478" t="s">
        <v>211</v>
      </c>
      <c r="B135" s="485" t="s">
        <v>410</v>
      </c>
      <c r="C135" s="682"/>
      <c r="D135" s="479">
        <v>9000</v>
      </c>
      <c r="E135" s="1229"/>
      <c r="F135" s="474"/>
      <c r="G135" s="474"/>
      <c r="H135" s="474"/>
    </row>
    <row r="136" spans="1:8" s="475" customFormat="1" ht="18.75" customHeight="1">
      <c r="A136" s="478" t="s">
        <v>211</v>
      </c>
      <c r="B136" s="485" t="s">
        <v>1574</v>
      </c>
      <c r="C136" s="682"/>
      <c r="D136" s="479">
        <v>3000</v>
      </c>
      <c r="E136" s="1229"/>
      <c r="F136" s="474"/>
      <c r="G136" s="474"/>
      <c r="H136" s="474"/>
    </row>
    <row r="137" spans="1:8" s="475" customFormat="1" ht="15">
      <c r="A137" s="148" t="s">
        <v>1463</v>
      </c>
      <c r="B137" s="486" t="s">
        <v>1390</v>
      </c>
      <c r="C137" s="682"/>
      <c r="D137" s="481">
        <f>SUM(D138:D139)</f>
        <v>9000</v>
      </c>
      <c r="E137" s="1229" t="s">
        <v>467</v>
      </c>
      <c r="F137" s="474"/>
      <c r="G137" s="474"/>
      <c r="H137" s="474"/>
    </row>
    <row r="138" spans="1:8" s="475" customFormat="1" ht="15">
      <c r="A138" s="478" t="s">
        <v>211</v>
      </c>
      <c r="B138" s="485" t="s">
        <v>411</v>
      </c>
      <c r="C138" s="682"/>
      <c r="D138" s="479">
        <v>6000</v>
      </c>
      <c r="E138" s="1229"/>
      <c r="F138" s="474"/>
      <c r="G138" s="474"/>
      <c r="H138" s="474"/>
    </row>
    <row r="139" spans="1:8" s="475" customFormat="1" ht="15">
      <c r="A139" s="478" t="s">
        <v>211</v>
      </c>
      <c r="B139" s="485" t="s">
        <v>1576</v>
      </c>
      <c r="C139" s="682"/>
      <c r="D139" s="479">
        <v>3000</v>
      </c>
      <c r="E139" s="1229"/>
      <c r="F139" s="474"/>
      <c r="G139" s="474"/>
      <c r="H139" s="474"/>
    </row>
    <row r="140" spans="1:8" s="490" customFormat="1" ht="20.25" customHeight="1">
      <c r="A140" s="146" t="s">
        <v>41</v>
      </c>
      <c r="B140" s="488" t="s">
        <v>842</v>
      </c>
      <c r="C140" s="146"/>
      <c r="D140" s="10">
        <f>+D141+D145+D148</f>
        <v>4582000</v>
      </c>
      <c r="E140" s="146"/>
      <c r="F140" s="489"/>
      <c r="G140" s="489"/>
      <c r="H140" s="489"/>
    </row>
    <row r="141" spans="1:8" s="468" customFormat="1" ht="20.25" customHeight="1">
      <c r="A141" s="480">
        <v>1</v>
      </c>
      <c r="B141" s="491" t="s">
        <v>413</v>
      </c>
      <c r="C141" s="480"/>
      <c r="D141" s="479">
        <f>SUM(D142:D144)</f>
        <v>1500000</v>
      </c>
      <c r="E141" s="480"/>
    </row>
    <row r="142" spans="1:8" s="496" customFormat="1" ht="19.5" customHeight="1">
      <c r="A142" s="492" t="s">
        <v>72</v>
      </c>
      <c r="B142" s="493" t="s">
        <v>463</v>
      </c>
      <c r="C142" s="494"/>
      <c r="D142" s="495">
        <f>+'7. TH chi xa 25'!F52</f>
        <v>909400</v>
      </c>
      <c r="E142" s="494"/>
    </row>
    <row r="143" spans="1:8" s="496" customFormat="1" ht="19.5" customHeight="1">
      <c r="A143" s="492" t="s">
        <v>72</v>
      </c>
      <c r="B143" s="493" t="s">
        <v>472</v>
      </c>
      <c r="C143" s="494"/>
      <c r="D143" s="495">
        <f>+'7. TH chi xa 25'!P52</f>
        <v>321700</v>
      </c>
      <c r="E143" s="494"/>
    </row>
    <row r="144" spans="1:8" s="496" customFormat="1" ht="19.5" customHeight="1">
      <c r="A144" s="492" t="s">
        <v>72</v>
      </c>
      <c r="B144" s="493" t="s">
        <v>843</v>
      </c>
      <c r="C144" s="494"/>
      <c r="D144" s="495">
        <f>+'7. TH chi xa 25'!T52</f>
        <v>268900</v>
      </c>
      <c r="E144" s="494"/>
    </row>
    <row r="145" spans="1:8" s="468" customFormat="1" ht="19.5" customHeight="1">
      <c r="A145" s="480">
        <v>2</v>
      </c>
      <c r="B145" s="491" t="s">
        <v>1545</v>
      </c>
      <c r="C145" s="480"/>
      <c r="D145" s="479">
        <f>+D146+D147</f>
        <v>2999000</v>
      </c>
      <c r="E145" s="480"/>
    </row>
    <row r="146" spans="1:8" s="496" customFormat="1" ht="30">
      <c r="A146" s="492" t="s">
        <v>72</v>
      </c>
      <c r="B146" s="493" t="s">
        <v>1547</v>
      </c>
      <c r="C146" s="494"/>
      <c r="D146" s="495">
        <v>499000</v>
      </c>
      <c r="E146" s="1227" t="s">
        <v>843</v>
      </c>
    </row>
    <row r="147" spans="1:8" s="496" customFormat="1" ht="30">
      <c r="A147" s="492" t="s">
        <v>72</v>
      </c>
      <c r="B147" s="493" t="s">
        <v>1546</v>
      </c>
      <c r="C147" s="494"/>
      <c r="D147" s="495">
        <v>2500000</v>
      </c>
      <c r="E147" s="1228"/>
    </row>
    <row r="148" spans="1:8" s="497" customFormat="1" ht="30">
      <c r="A148" s="684">
        <v>3</v>
      </c>
      <c r="B148" s="683" t="s">
        <v>1316</v>
      </c>
      <c r="C148" s="684"/>
      <c r="D148" s="16">
        <f>+D149</f>
        <v>83000</v>
      </c>
      <c r="E148" s="684"/>
    </row>
    <row r="149" spans="1:8" s="496" customFormat="1" ht="19.5" customHeight="1">
      <c r="A149" s="149" t="s">
        <v>72</v>
      </c>
      <c r="B149" s="147" t="s">
        <v>843</v>
      </c>
      <c r="C149" s="498"/>
      <c r="D149" s="499">
        <f>+'7. TH chi xa 25'!T53</f>
        <v>83000</v>
      </c>
      <c r="E149" s="149"/>
      <c r="F149" s="500"/>
      <c r="G149" s="500"/>
      <c r="H149" s="500"/>
    </row>
    <row r="150" spans="1:8" s="468" customFormat="1" ht="15">
      <c r="D150" s="467"/>
    </row>
    <row r="151" spans="1:8" s="468" customFormat="1" ht="15">
      <c r="D151" s="467"/>
    </row>
    <row r="152" spans="1:8">
      <c r="C152" s="455"/>
      <c r="F152" s="455"/>
      <c r="G152" s="455"/>
      <c r="H152" s="455"/>
    </row>
    <row r="153" spans="1:8">
      <c r="C153" s="455"/>
      <c r="F153" s="455"/>
      <c r="G153" s="455"/>
      <c r="H153" s="455"/>
    </row>
    <row r="154" spans="1:8">
      <c r="C154" s="455"/>
      <c r="F154" s="455"/>
      <c r="G154" s="455"/>
      <c r="H154" s="455"/>
    </row>
    <row r="155" spans="1:8">
      <c r="C155" s="455"/>
      <c r="F155" s="455"/>
      <c r="G155" s="455"/>
      <c r="H155" s="455"/>
    </row>
    <row r="156" spans="1:8">
      <c r="C156" s="455"/>
      <c r="F156" s="455"/>
      <c r="G156" s="455"/>
      <c r="H156" s="455"/>
    </row>
    <row r="157" spans="1:8">
      <c r="C157" s="455"/>
      <c r="F157" s="455"/>
      <c r="G157" s="455"/>
      <c r="H157" s="455"/>
    </row>
    <row r="158" spans="1:8">
      <c r="C158" s="455"/>
      <c r="F158" s="455"/>
      <c r="G158" s="455"/>
      <c r="H158" s="455"/>
    </row>
    <row r="159" spans="1:8">
      <c r="C159" s="455"/>
      <c r="F159" s="455"/>
      <c r="G159" s="455"/>
      <c r="H159" s="455"/>
    </row>
    <row r="160" spans="1:8">
      <c r="C160" s="455"/>
      <c r="F160" s="455"/>
      <c r="G160" s="455"/>
      <c r="H160" s="455"/>
    </row>
    <row r="161" spans="3:8">
      <c r="C161" s="455"/>
      <c r="F161" s="455"/>
      <c r="G161" s="455"/>
      <c r="H161" s="455"/>
    </row>
    <row r="162" spans="3:8">
      <c r="C162" s="455"/>
      <c r="F162" s="455"/>
      <c r="G162" s="455"/>
      <c r="H162" s="455"/>
    </row>
    <row r="163" spans="3:8">
      <c r="C163" s="455"/>
      <c r="F163" s="455"/>
      <c r="G163" s="455"/>
      <c r="H163" s="455"/>
    </row>
    <row r="164" spans="3:8">
      <c r="C164" s="455"/>
      <c r="F164" s="455"/>
      <c r="G164" s="455"/>
      <c r="H164" s="455"/>
    </row>
    <row r="165" spans="3:8">
      <c r="C165" s="455"/>
      <c r="F165" s="455"/>
      <c r="G165" s="455"/>
      <c r="H165" s="455"/>
    </row>
    <row r="166" spans="3:8">
      <c r="C166" s="455"/>
      <c r="F166" s="455"/>
      <c r="G166" s="455"/>
      <c r="H166" s="455"/>
    </row>
    <row r="167" spans="3:8">
      <c r="C167" s="455"/>
      <c r="F167" s="455"/>
      <c r="G167" s="455"/>
      <c r="H167" s="455"/>
    </row>
    <row r="168" spans="3:8">
      <c r="C168" s="455"/>
      <c r="F168" s="455"/>
      <c r="G168" s="455"/>
      <c r="H168" s="455"/>
    </row>
    <row r="169" spans="3:8">
      <c r="C169" s="455"/>
      <c r="F169" s="455"/>
      <c r="G169" s="455"/>
      <c r="H169" s="455"/>
    </row>
    <row r="170" spans="3:8">
      <c r="C170" s="455"/>
      <c r="F170" s="455"/>
      <c r="G170" s="455"/>
      <c r="H170" s="455"/>
    </row>
    <row r="171" spans="3:8">
      <c r="C171" s="455"/>
      <c r="F171" s="455"/>
      <c r="G171" s="455"/>
      <c r="H171" s="455"/>
    </row>
    <row r="172" spans="3:8">
      <c r="C172" s="455"/>
      <c r="F172" s="455"/>
      <c r="G172" s="455"/>
      <c r="H172" s="455"/>
    </row>
    <row r="173" spans="3:8">
      <c r="C173" s="455"/>
      <c r="F173" s="455"/>
      <c r="G173" s="455"/>
      <c r="H173" s="455"/>
    </row>
    <row r="174" spans="3:8">
      <c r="C174" s="455"/>
      <c r="F174" s="455"/>
      <c r="G174" s="455"/>
      <c r="H174" s="455"/>
    </row>
    <row r="175" spans="3:8">
      <c r="C175" s="455"/>
      <c r="F175" s="455"/>
      <c r="G175" s="455"/>
      <c r="H175" s="455"/>
    </row>
    <row r="176" spans="3:8">
      <c r="C176" s="455"/>
      <c r="F176" s="455"/>
      <c r="G176" s="455"/>
      <c r="H176" s="455"/>
    </row>
    <row r="177" spans="3:8">
      <c r="C177" s="455"/>
      <c r="F177" s="455"/>
      <c r="G177" s="455"/>
      <c r="H177" s="455"/>
    </row>
    <row r="178" spans="3:8">
      <c r="C178" s="455"/>
      <c r="F178" s="455"/>
      <c r="G178" s="455"/>
      <c r="H178" s="455"/>
    </row>
    <row r="179" spans="3:8">
      <c r="C179" s="455"/>
      <c r="F179" s="455"/>
      <c r="G179" s="455"/>
      <c r="H179" s="455"/>
    </row>
    <row r="180" spans="3:8">
      <c r="C180" s="455"/>
      <c r="F180" s="455"/>
      <c r="G180" s="455"/>
      <c r="H180" s="455"/>
    </row>
    <row r="181" spans="3:8">
      <c r="C181" s="455"/>
      <c r="F181" s="455"/>
      <c r="G181" s="455"/>
      <c r="H181" s="455"/>
    </row>
    <row r="182" spans="3:8">
      <c r="C182" s="455"/>
      <c r="F182" s="455"/>
      <c r="G182" s="455"/>
      <c r="H182" s="455"/>
    </row>
    <row r="183" spans="3:8">
      <c r="C183" s="455"/>
      <c r="F183" s="455"/>
      <c r="G183" s="455"/>
      <c r="H183" s="455"/>
    </row>
    <row r="184" spans="3:8">
      <c r="C184" s="455"/>
      <c r="F184" s="455"/>
      <c r="G184" s="455"/>
      <c r="H184" s="455"/>
    </row>
    <row r="185" spans="3:8">
      <c r="C185" s="455"/>
      <c r="F185" s="455"/>
      <c r="G185" s="455"/>
      <c r="H185" s="455"/>
    </row>
    <row r="186" spans="3:8">
      <c r="C186" s="455"/>
      <c r="F186" s="455"/>
      <c r="G186" s="455"/>
      <c r="H186" s="455"/>
    </row>
    <row r="187" spans="3:8">
      <c r="C187" s="455"/>
      <c r="F187" s="455"/>
      <c r="G187" s="455"/>
      <c r="H187" s="455"/>
    </row>
    <row r="188" spans="3:8">
      <c r="C188" s="455"/>
      <c r="F188" s="455"/>
      <c r="G188" s="455"/>
      <c r="H188" s="455"/>
    </row>
    <row r="189" spans="3:8">
      <c r="C189" s="455"/>
      <c r="F189" s="455"/>
      <c r="G189" s="455"/>
      <c r="H189" s="455"/>
    </row>
    <row r="190" spans="3:8">
      <c r="C190" s="455"/>
      <c r="F190" s="455"/>
      <c r="G190" s="455"/>
      <c r="H190" s="455"/>
    </row>
    <row r="191" spans="3:8">
      <c r="C191" s="455"/>
      <c r="F191" s="455"/>
      <c r="G191" s="455"/>
      <c r="H191" s="455"/>
    </row>
    <row r="192" spans="3:8">
      <c r="C192" s="455"/>
      <c r="F192" s="455"/>
      <c r="G192" s="455"/>
      <c r="H192" s="455"/>
    </row>
    <row r="193" spans="3:8">
      <c r="C193" s="455"/>
      <c r="F193" s="455"/>
      <c r="G193" s="455"/>
      <c r="H193" s="455"/>
    </row>
    <row r="194" spans="3:8">
      <c r="C194" s="455"/>
      <c r="F194" s="455"/>
      <c r="G194" s="455"/>
      <c r="H194" s="455"/>
    </row>
    <row r="195" spans="3:8">
      <c r="C195" s="455"/>
      <c r="F195" s="455"/>
      <c r="G195" s="455"/>
      <c r="H195" s="455"/>
    </row>
    <row r="196" spans="3:8">
      <c r="C196" s="455"/>
      <c r="F196" s="455"/>
      <c r="G196" s="455"/>
      <c r="H196" s="455"/>
    </row>
    <row r="197" spans="3:8">
      <c r="C197" s="455"/>
      <c r="F197" s="455"/>
      <c r="G197" s="455"/>
      <c r="H197" s="455"/>
    </row>
    <row r="198" spans="3:8">
      <c r="C198" s="455"/>
      <c r="F198" s="455"/>
      <c r="G198" s="455"/>
      <c r="H198" s="455"/>
    </row>
    <row r="199" spans="3:8">
      <c r="C199" s="455"/>
      <c r="F199" s="455"/>
      <c r="G199" s="455"/>
      <c r="H199" s="455"/>
    </row>
    <row r="200" spans="3:8">
      <c r="C200" s="455"/>
      <c r="F200" s="455"/>
      <c r="G200" s="455"/>
      <c r="H200" s="455"/>
    </row>
    <row r="201" spans="3:8">
      <c r="C201" s="455"/>
      <c r="F201" s="455"/>
      <c r="G201" s="455"/>
      <c r="H201" s="455"/>
    </row>
    <row r="202" spans="3:8">
      <c r="C202" s="455"/>
      <c r="F202" s="455"/>
      <c r="G202" s="455"/>
      <c r="H202" s="455"/>
    </row>
    <row r="203" spans="3:8">
      <c r="C203" s="455"/>
      <c r="F203" s="455"/>
      <c r="G203" s="455"/>
      <c r="H203" s="455"/>
    </row>
    <row r="204" spans="3:8">
      <c r="C204" s="455"/>
      <c r="F204" s="455"/>
      <c r="G204" s="455"/>
      <c r="H204" s="455"/>
    </row>
    <row r="205" spans="3:8">
      <c r="C205" s="455"/>
      <c r="F205" s="455"/>
      <c r="G205" s="455"/>
      <c r="H205" s="455"/>
    </row>
    <row r="206" spans="3:8">
      <c r="C206" s="455"/>
      <c r="F206" s="455"/>
      <c r="G206" s="455"/>
      <c r="H206" s="455"/>
    </row>
    <row r="207" spans="3:8">
      <c r="C207" s="455"/>
      <c r="F207" s="455"/>
      <c r="G207" s="455"/>
      <c r="H207" s="455"/>
    </row>
    <row r="208" spans="3:8">
      <c r="C208" s="455"/>
      <c r="F208" s="455"/>
      <c r="G208" s="455"/>
      <c r="H208" s="455"/>
    </row>
    <row r="209" spans="3:8">
      <c r="C209" s="455"/>
      <c r="F209" s="455"/>
      <c r="G209" s="455"/>
      <c r="H209" s="455"/>
    </row>
    <row r="210" spans="3:8">
      <c r="C210" s="455"/>
      <c r="F210" s="455"/>
      <c r="G210" s="455"/>
      <c r="H210" s="455"/>
    </row>
    <row r="211" spans="3:8">
      <c r="C211" s="455"/>
      <c r="F211" s="455"/>
      <c r="G211" s="455"/>
      <c r="H211" s="455"/>
    </row>
    <row r="212" spans="3:8">
      <c r="C212" s="455"/>
      <c r="F212" s="455"/>
      <c r="G212" s="455"/>
      <c r="H212" s="455"/>
    </row>
    <row r="213" spans="3:8">
      <c r="C213" s="455"/>
      <c r="F213" s="455"/>
      <c r="G213" s="455"/>
      <c r="H213" s="455"/>
    </row>
    <row r="214" spans="3:8">
      <c r="C214" s="455"/>
      <c r="F214" s="455"/>
      <c r="G214" s="455"/>
      <c r="H214" s="455"/>
    </row>
    <row r="215" spans="3:8">
      <c r="C215" s="455"/>
      <c r="F215" s="455"/>
      <c r="G215" s="455"/>
      <c r="H215" s="455"/>
    </row>
    <row r="216" spans="3:8">
      <c r="C216" s="455"/>
      <c r="F216" s="455"/>
      <c r="G216" s="455"/>
      <c r="H216" s="455"/>
    </row>
    <row r="217" spans="3:8">
      <c r="C217" s="455"/>
      <c r="F217" s="455"/>
      <c r="G217" s="455"/>
      <c r="H217" s="455"/>
    </row>
    <row r="218" spans="3:8">
      <c r="C218" s="455"/>
      <c r="F218" s="455"/>
      <c r="G218" s="455"/>
      <c r="H218" s="455"/>
    </row>
    <row r="219" spans="3:8">
      <c r="C219" s="455"/>
      <c r="F219" s="455"/>
      <c r="G219" s="455"/>
      <c r="H219" s="455"/>
    </row>
    <row r="220" spans="3:8">
      <c r="C220" s="455"/>
      <c r="F220" s="455"/>
      <c r="G220" s="455"/>
      <c r="H220" s="455"/>
    </row>
    <row r="221" spans="3:8">
      <c r="C221" s="455"/>
      <c r="F221" s="455"/>
      <c r="G221" s="455"/>
      <c r="H221" s="455"/>
    </row>
    <row r="222" spans="3:8">
      <c r="C222" s="455"/>
      <c r="F222" s="455"/>
      <c r="G222" s="455"/>
      <c r="H222" s="455"/>
    </row>
    <row r="223" spans="3:8">
      <c r="C223" s="455"/>
      <c r="F223" s="455"/>
      <c r="G223" s="455"/>
      <c r="H223" s="455"/>
    </row>
    <row r="224" spans="3:8">
      <c r="C224" s="455"/>
      <c r="F224" s="455"/>
      <c r="G224" s="455"/>
      <c r="H224" s="455"/>
    </row>
    <row r="225" spans="3:8">
      <c r="C225" s="455"/>
      <c r="F225" s="455"/>
      <c r="G225" s="455"/>
      <c r="H225" s="455"/>
    </row>
    <row r="226" spans="3:8">
      <c r="C226" s="455"/>
      <c r="F226" s="455"/>
      <c r="G226" s="455"/>
      <c r="H226" s="455"/>
    </row>
    <row r="227" spans="3:8">
      <c r="C227" s="455"/>
      <c r="F227" s="455"/>
      <c r="G227" s="455"/>
      <c r="H227" s="455"/>
    </row>
    <row r="228" spans="3:8">
      <c r="C228" s="455"/>
      <c r="F228" s="455"/>
      <c r="G228" s="455"/>
      <c r="H228" s="455"/>
    </row>
    <row r="229" spans="3:8">
      <c r="C229" s="455"/>
      <c r="F229" s="455"/>
      <c r="G229" s="455"/>
      <c r="H229" s="455"/>
    </row>
    <row r="230" spans="3:8">
      <c r="C230" s="455"/>
      <c r="F230" s="455"/>
      <c r="G230" s="455"/>
      <c r="H230" s="455"/>
    </row>
    <row r="231" spans="3:8">
      <c r="C231" s="455"/>
      <c r="F231" s="455"/>
      <c r="G231" s="455"/>
      <c r="H231" s="455"/>
    </row>
    <row r="232" spans="3:8">
      <c r="C232" s="455"/>
      <c r="F232" s="455"/>
      <c r="G232" s="455"/>
      <c r="H232" s="455"/>
    </row>
    <row r="233" spans="3:8">
      <c r="C233" s="455"/>
      <c r="F233" s="455"/>
      <c r="G233" s="455"/>
      <c r="H233" s="455"/>
    </row>
    <row r="234" spans="3:8">
      <c r="C234" s="455"/>
      <c r="F234" s="455"/>
      <c r="G234" s="455"/>
      <c r="H234" s="455"/>
    </row>
    <row r="235" spans="3:8">
      <c r="C235" s="455"/>
      <c r="F235" s="455"/>
      <c r="G235" s="455"/>
      <c r="H235" s="455"/>
    </row>
    <row r="236" spans="3:8">
      <c r="C236" s="455"/>
      <c r="F236" s="455"/>
      <c r="G236" s="455"/>
      <c r="H236" s="455"/>
    </row>
    <row r="237" spans="3:8">
      <c r="C237" s="455"/>
      <c r="F237" s="455"/>
      <c r="G237" s="455"/>
      <c r="H237" s="455"/>
    </row>
    <row r="238" spans="3:8">
      <c r="C238" s="455"/>
      <c r="F238" s="455"/>
      <c r="G238" s="455"/>
      <c r="H238" s="455"/>
    </row>
    <row r="239" spans="3:8">
      <c r="C239" s="455"/>
      <c r="F239" s="455"/>
      <c r="G239" s="455"/>
      <c r="H239" s="455"/>
    </row>
    <row r="240" spans="3:8">
      <c r="C240" s="455"/>
      <c r="F240" s="455"/>
      <c r="G240" s="455"/>
      <c r="H240" s="455"/>
    </row>
    <row r="241" spans="3:8">
      <c r="C241" s="455"/>
      <c r="F241" s="455"/>
      <c r="G241" s="455"/>
      <c r="H241" s="455"/>
    </row>
    <row r="242" spans="3:8">
      <c r="C242" s="455"/>
      <c r="F242" s="455"/>
      <c r="G242" s="455"/>
      <c r="H242" s="455"/>
    </row>
    <row r="243" spans="3:8">
      <c r="C243" s="455"/>
      <c r="F243" s="455"/>
      <c r="G243" s="455"/>
      <c r="H243" s="455"/>
    </row>
    <row r="244" spans="3:8">
      <c r="C244" s="455"/>
      <c r="F244" s="455"/>
      <c r="G244" s="455"/>
      <c r="H244" s="455"/>
    </row>
    <row r="245" spans="3:8">
      <c r="C245" s="455"/>
      <c r="F245" s="455"/>
      <c r="G245" s="455"/>
      <c r="H245" s="455"/>
    </row>
    <row r="246" spans="3:8">
      <c r="C246" s="455"/>
      <c r="F246" s="455"/>
      <c r="G246" s="455"/>
      <c r="H246" s="455"/>
    </row>
    <row r="247" spans="3:8">
      <c r="C247" s="455"/>
      <c r="F247" s="455"/>
      <c r="G247" s="455"/>
      <c r="H247" s="455"/>
    </row>
    <row r="248" spans="3:8">
      <c r="C248" s="455"/>
      <c r="F248" s="455"/>
      <c r="G248" s="455"/>
      <c r="H248" s="455"/>
    </row>
    <row r="249" spans="3:8">
      <c r="C249" s="455"/>
      <c r="F249" s="455"/>
      <c r="G249" s="455"/>
      <c r="H249" s="455"/>
    </row>
    <row r="250" spans="3:8">
      <c r="C250" s="455"/>
      <c r="F250" s="455"/>
      <c r="G250" s="455"/>
      <c r="H250" s="455"/>
    </row>
    <row r="251" spans="3:8">
      <c r="C251" s="455"/>
      <c r="F251" s="455"/>
      <c r="G251" s="455"/>
      <c r="H251" s="455"/>
    </row>
    <row r="252" spans="3:8">
      <c r="C252" s="455"/>
      <c r="F252" s="455"/>
      <c r="G252" s="455"/>
      <c r="H252" s="455"/>
    </row>
    <row r="253" spans="3:8">
      <c r="C253" s="455"/>
      <c r="F253" s="455"/>
      <c r="G253" s="455"/>
      <c r="H253" s="455"/>
    </row>
    <row r="254" spans="3:8">
      <c r="C254" s="455"/>
      <c r="F254" s="455"/>
      <c r="G254" s="455"/>
      <c r="H254" s="455"/>
    </row>
    <row r="255" spans="3:8">
      <c r="C255" s="455"/>
      <c r="F255" s="455"/>
      <c r="G255" s="455"/>
      <c r="H255" s="455"/>
    </row>
    <row r="256" spans="3:8">
      <c r="C256" s="455"/>
      <c r="F256" s="455"/>
      <c r="G256" s="455"/>
      <c r="H256" s="455"/>
    </row>
    <row r="257" spans="3:8">
      <c r="C257" s="455"/>
      <c r="F257" s="455"/>
      <c r="G257" s="455"/>
      <c r="H257" s="455"/>
    </row>
    <row r="258" spans="3:8">
      <c r="C258" s="455"/>
      <c r="F258" s="455"/>
      <c r="G258" s="455"/>
      <c r="H258" s="455"/>
    </row>
    <row r="259" spans="3:8">
      <c r="C259" s="455"/>
      <c r="F259" s="455"/>
      <c r="G259" s="455"/>
      <c r="H259" s="455"/>
    </row>
    <row r="260" spans="3:8">
      <c r="C260" s="455"/>
      <c r="F260" s="455"/>
      <c r="G260" s="455"/>
      <c r="H260" s="455"/>
    </row>
    <row r="261" spans="3:8">
      <c r="C261" s="455"/>
      <c r="F261" s="455"/>
      <c r="G261" s="455"/>
      <c r="H261" s="455"/>
    </row>
    <row r="262" spans="3:8">
      <c r="C262" s="455"/>
      <c r="F262" s="455"/>
      <c r="G262" s="455"/>
      <c r="H262" s="455"/>
    </row>
    <row r="263" spans="3:8">
      <c r="C263" s="455"/>
      <c r="F263" s="455"/>
      <c r="G263" s="455"/>
      <c r="H263" s="455"/>
    </row>
    <row r="264" spans="3:8">
      <c r="C264" s="455"/>
      <c r="F264" s="455"/>
      <c r="G264" s="455"/>
      <c r="H264" s="455"/>
    </row>
    <row r="265" spans="3:8">
      <c r="C265" s="455"/>
      <c r="F265" s="455"/>
      <c r="G265" s="455"/>
      <c r="H265" s="455"/>
    </row>
    <row r="266" spans="3:8">
      <c r="C266" s="455"/>
      <c r="F266" s="455"/>
      <c r="G266" s="455"/>
      <c r="H266" s="455"/>
    </row>
  </sheetData>
  <mergeCells count="22">
    <mergeCell ref="E118:E126"/>
    <mergeCell ref="E89:E92"/>
    <mergeCell ref="E93:E97"/>
    <mergeCell ref="E98:E105"/>
    <mergeCell ref="E106:E113"/>
    <mergeCell ref="E114:E117"/>
    <mergeCell ref="E146:E147"/>
    <mergeCell ref="E127:E133"/>
    <mergeCell ref="E134:E136"/>
    <mergeCell ref="E137:E139"/>
    <mergeCell ref="A2:E2"/>
    <mergeCell ref="A3:E3"/>
    <mergeCell ref="A4:E4"/>
    <mergeCell ref="C5:E5"/>
    <mergeCell ref="E47:E52"/>
    <mergeCell ref="E53:E55"/>
    <mergeCell ref="E56:E59"/>
    <mergeCell ref="E75:E79"/>
    <mergeCell ref="E60:E63"/>
    <mergeCell ref="E64:E69"/>
    <mergeCell ref="E70:E74"/>
    <mergeCell ref="E80:E88"/>
  </mergeCells>
  <pageMargins left="0.69" right="0.25" top="0.28000000000000003" bottom="0.46" header="0.26" footer="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V72"/>
  <sheetViews>
    <sheetView workbookViewId="0">
      <pane xSplit="2" ySplit="7" topLeftCell="C8" activePane="bottomRight" state="frozen"/>
      <selection activeCell="J22" sqref="J22"/>
      <selection pane="topRight" activeCell="J22" sqref="J22"/>
      <selection pane="bottomLeft" activeCell="J22" sqref="J22"/>
      <selection pane="bottomRight" activeCell="F23" sqref="F23"/>
    </sheetView>
  </sheetViews>
  <sheetFormatPr defaultColWidth="9" defaultRowHeight="15.75"/>
  <cols>
    <col min="1" max="1" width="6" style="1003" customWidth="1"/>
    <col min="2" max="2" width="61.875" style="990" customWidth="1"/>
    <col min="3" max="3" width="15.625" style="990" customWidth="1"/>
    <col min="4" max="20" width="15.125" style="990" customWidth="1"/>
    <col min="21" max="21" width="10.125" style="990" customWidth="1"/>
    <col min="22" max="16384" width="9" style="990"/>
  </cols>
  <sheetData>
    <row r="1" spans="1:22">
      <c r="B1" s="719" t="s">
        <v>267</v>
      </c>
      <c r="C1" s="1004"/>
      <c r="D1" s="1004"/>
      <c r="E1" s="1005"/>
      <c r="F1" s="1005"/>
      <c r="G1" s="1005"/>
      <c r="H1" s="1005"/>
      <c r="I1" s="1005"/>
      <c r="J1" s="1005"/>
      <c r="K1" s="1005"/>
      <c r="L1" s="1005"/>
      <c r="M1" s="1005"/>
      <c r="N1" s="1005"/>
      <c r="O1" s="1005"/>
      <c r="P1" s="1005"/>
      <c r="Q1" s="1005"/>
      <c r="R1" s="1005"/>
      <c r="S1" s="1005"/>
      <c r="T1" s="1005"/>
    </row>
    <row r="2" spans="1:22" s="408" customFormat="1" ht="21" customHeight="1">
      <c r="A2" s="1236" t="s">
        <v>110</v>
      </c>
      <c r="B2" s="1236"/>
      <c r="C2" s="1236"/>
      <c r="D2" s="1006"/>
      <c r="E2" s="1006"/>
      <c r="F2" s="1006"/>
      <c r="G2" s="1006"/>
      <c r="H2" s="1006"/>
      <c r="I2" s="1006"/>
      <c r="J2" s="1006"/>
      <c r="K2" s="1006"/>
      <c r="L2" s="1006"/>
      <c r="M2" s="1006"/>
      <c r="N2" s="1006"/>
      <c r="O2" s="1006"/>
      <c r="P2" s="1006"/>
      <c r="Q2" s="1006"/>
      <c r="R2" s="1006"/>
      <c r="S2" s="1006"/>
      <c r="T2" s="1006"/>
    </row>
    <row r="3" spans="1:22" s="408" customFormat="1" ht="21" customHeight="1">
      <c r="A3" s="1236" t="s">
        <v>1377</v>
      </c>
      <c r="B3" s="1236"/>
      <c r="C3" s="1007"/>
      <c r="D3" s="1008"/>
      <c r="E3" s="1008"/>
      <c r="F3" s="1008"/>
      <c r="G3" s="1008"/>
      <c r="H3" s="1008"/>
      <c r="I3" s="1008"/>
      <c r="J3" s="1008"/>
      <c r="K3" s="1008"/>
      <c r="L3" s="1008"/>
      <c r="M3" s="1008"/>
      <c r="N3" s="1008"/>
      <c r="O3" s="1008"/>
      <c r="P3" s="1008"/>
      <c r="Q3" s="1008"/>
      <c r="R3" s="1008"/>
      <c r="S3" s="1008"/>
      <c r="T3" s="1008"/>
    </row>
    <row r="4" spans="1:22" s="317" customFormat="1" ht="14.25" customHeight="1">
      <c r="A4" s="1009" t="str">
        <f>+'6a'!A4:E4</f>
        <v xml:space="preserve">(Kèm theo Nghị quyết  số      /NQ-HĐND ngày       /12/2024 của Hội đồng nhân dân huyện Na Rì) </v>
      </c>
      <c r="B4" s="1009"/>
      <c r="C4" s="1009"/>
      <c r="D4" s="1010"/>
      <c r="E4" s="1010"/>
      <c r="F4" s="1010"/>
      <c r="G4" s="1010"/>
      <c r="H4" s="1010"/>
      <c r="I4" s="1010"/>
      <c r="J4" s="1010"/>
      <c r="K4" s="1010"/>
      <c r="L4" s="1010"/>
      <c r="M4" s="1010"/>
      <c r="N4" s="1010"/>
      <c r="O4" s="1010"/>
      <c r="P4" s="1010"/>
      <c r="Q4" s="1010"/>
      <c r="R4" s="1010"/>
      <c r="S4" s="1010"/>
      <c r="T4" s="1010"/>
    </row>
    <row r="5" spans="1:22" ht="19.5" customHeight="1">
      <c r="A5" s="988"/>
      <c r="B5" s="1011" t="s">
        <v>187</v>
      </c>
      <c r="C5" s="1012"/>
      <c r="D5" s="1012"/>
      <c r="E5" s="1012"/>
      <c r="F5" s="1012"/>
      <c r="G5" s="1012"/>
      <c r="H5" s="1012"/>
      <c r="I5" s="1012"/>
      <c r="J5" s="1012"/>
      <c r="K5" s="1012"/>
      <c r="L5" s="1012"/>
      <c r="M5" s="1012"/>
      <c r="N5" s="1012"/>
      <c r="O5" s="1012"/>
      <c r="P5" s="1012"/>
      <c r="Q5" s="1012"/>
      <c r="R5" s="1012"/>
      <c r="S5" s="1012"/>
      <c r="T5" s="1012"/>
      <c r="V5" s="1005"/>
    </row>
    <row r="6" spans="1:22" s="408" customFormat="1" ht="7.5" customHeight="1">
      <c r="A6" s="1233" t="s">
        <v>71</v>
      </c>
      <c r="B6" s="1233" t="s">
        <v>135</v>
      </c>
      <c r="C6" s="1235" t="s">
        <v>188</v>
      </c>
      <c r="D6" s="1233" t="s">
        <v>22</v>
      </c>
      <c r="E6" s="1233" t="s">
        <v>23</v>
      </c>
      <c r="F6" s="1233" t="s">
        <v>24</v>
      </c>
      <c r="G6" s="1233" t="s">
        <v>25</v>
      </c>
      <c r="H6" s="1233" t="s">
        <v>26</v>
      </c>
      <c r="I6" s="1233" t="s">
        <v>27</v>
      </c>
      <c r="J6" s="1233" t="s">
        <v>28</v>
      </c>
      <c r="K6" s="1233" t="s">
        <v>29</v>
      </c>
      <c r="L6" s="1233" t="s">
        <v>286</v>
      </c>
      <c r="M6" s="1233" t="s">
        <v>296</v>
      </c>
      <c r="N6" s="1233" t="s">
        <v>289</v>
      </c>
      <c r="O6" s="1233" t="s">
        <v>288</v>
      </c>
      <c r="P6" s="1233" t="s">
        <v>30</v>
      </c>
      <c r="Q6" s="1233" t="s">
        <v>74</v>
      </c>
      <c r="R6" s="1233" t="s">
        <v>32</v>
      </c>
      <c r="S6" s="1233" t="s">
        <v>43</v>
      </c>
      <c r="T6" s="1233" t="s">
        <v>128</v>
      </c>
    </row>
    <row r="7" spans="1:22" s="408" customFormat="1" ht="19.5" customHeight="1">
      <c r="A7" s="1234"/>
      <c r="B7" s="1234"/>
      <c r="C7" s="1235"/>
      <c r="D7" s="1234"/>
      <c r="E7" s="1234"/>
      <c r="F7" s="1234"/>
      <c r="G7" s="1234"/>
      <c r="H7" s="1234"/>
      <c r="I7" s="1234"/>
      <c r="J7" s="1234"/>
      <c r="K7" s="1234"/>
      <c r="L7" s="1234"/>
      <c r="M7" s="1234"/>
      <c r="N7" s="1234"/>
      <c r="O7" s="1234"/>
      <c r="P7" s="1234"/>
      <c r="Q7" s="1234"/>
      <c r="R7" s="1234"/>
      <c r="S7" s="1234"/>
      <c r="T7" s="1234"/>
    </row>
    <row r="8" spans="1:22" ht="19.5" customHeight="1">
      <c r="A8" s="1013" t="s">
        <v>36</v>
      </c>
      <c r="B8" s="1013" t="s">
        <v>37</v>
      </c>
      <c r="C8" s="1013" t="s">
        <v>179</v>
      </c>
      <c r="D8" s="1013">
        <v>1</v>
      </c>
      <c r="E8" s="1013">
        <v>2</v>
      </c>
      <c r="F8" s="1013">
        <v>3</v>
      </c>
      <c r="G8" s="1013">
        <v>4</v>
      </c>
      <c r="H8" s="1013">
        <v>5</v>
      </c>
      <c r="I8" s="1013">
        <v>6</v>
      </c>
      <c r="J8" s="1013">
        <v>7</v>
      </c>
      <c r="K8" s="1013">
        <v>9</v>
      </c>
      <c r="L8" s="1013">
        <v>10</v>
      </c>
      <c r="M8" s="1013">
        <v>11</v>
      </c>
      <c r="N8" s="1013">
        <v>12</v>
      </c>
      <c r="O8" s="1013">
        <v>13</v>
      </c>
      <c r="P8" s="1013">
        <v>16</v>
      </c>
      <c r="Q8" s="1013">
        <v>17</v>
      </c>
      <c r="R8" s="1013">
        <v>18</v>
      </c>
      <c r="S8" s="1013">
        <v>21</v>
      </c>
      <c r="T8" s="1013">
        <v>22</v>
      </c>
    </row>
    <row r="9" spans="1:22" s="1015" customFormat="1" ht="20.100000000000001" customHeight="1">
      <c r="A9" s="504" t="s">
        <v>36</v>
      </c>
      <c r="B9" s="505" t="s">
        <v>111</v>
      </c>
      <c r="C9" s="1014">
        <f>C10+C11</f>
        <v>169923339.472</v>
      </c>
      <c r="D9" s="1014">
        <f>D10+D11</f>
        <v>11764637.796</v>
      </c>
      <c r="E9" s="1014">
        <f>E10+E11</f>
        <v>10552806.576000001</v>
      </c>
      <c r="F9" s="1014">
        <f t="shared" ref="F9:T9" si="0">F10+F11</f>
        <v>8425630.4479999989</v>
      </c>
      <c r="G9" s="1014">
        <f t="shared" si="0"/>
        <v>10842808.003999999</v>
      </c>
      <c r="H9" s="1014">
        <f>H10+H11</f>
        <v>8492793.4879999999</v>
      </c>
      <c r="I9" s="1014">
        <f t="shared" si="0"/>
        <v>10314228.168</v>
      </c>
      <c r="J9" s="1014">
        <f t="shared" si="0"/>
        <v>8876167.9480000008</v>
      </c>
      <c r="K9" s="1014">
        <f t="shared" si="0"/>
        <v>7875562.1880000001</v>
      </c>
      <c r="L9" s="1014">
        <f t="shared" si="0"/>
        <v>10311040.072000001</v>
      </c>
      <c r="M9" s="1014">
        <f t="shared" si="0"/>
        <v>12311220.699999999</v>
      </c>
      <c r="N9" s="1014">
        <f t="shared" si="0"/>
        <v>10508127.199999999</v>
      </c>
      <c r="O9" s="1014">
        <f t="shared" si="0"/>
        <v>9076685.0480000004</v>
      </c>
      <c r="P9" s="1014">
        <f t="shared" si="0"/>
        <v>8680574.3839999996</v>
      </c>
      <c r="Q9" s="1014">
        <f t="shared" si="0"/>
        <v>9458461.4560000002</v>
      </c>
      <c r="R9" s="1014">
        <f t="shared" si="0"/>
        <v>11196961.987999998</v>
      </c>
      <c r="S9" s="1014">
        <f t="shared" si="0"/>
        <v>9962024.1600000001</v>
      </c>
      <c r="T9" s="1014">
        <f t="shared" si="0"/>
        <v>11273609.848000001</v>
      </c>
    </row>
    <row r="10" spans="1:22" s="1015" customFormat="1" ht="20.100000000000001" customHeight="1">
      <c r="A10" s="284" t="s">
        <v>39</v>
      </c>
      <c r="B10" s="285" t="s">
        <v>112</v>
      </c>
      <c r="C10" s="1016">
        <f>SUM(D10:T10)</f>
        <v>4190000</v>
      </c>
      <c r="D10" s="1016">
        <f>+'[3]2.Chi tiet thu xa'!F7</f>
        <v>152000</v>
      </c>
      <c r="E10" s="1016">
        <f>+'[3]2.Chi tiet thu xa'!H7</f>
        <v>141000</v>
      </c>
      <c r="F10" s="1016">
        <f>+'[3]2.Chi tiet thu xa'!J7</f>
        <v>158000</v>
      </c>
      <c r="G10" s="1016">
        <f>+'[3]2.Chi tiet thu xa'!L7</f>
        <v>150000</v>
      </c>
      <c r="H10" s="1016">
        <f>+'[3]2.Chi tiet thu xa'!N7</f>
        <v>134000</v>
      </c>
      <c r="I10" s="1016">
        <f>+'[3]2.Chi tiet thu xa'!P7</f>
        <v>143000</v>
      </c>
      <c r="J10" s="1016">
        <f>+'[3]2.Chi tiet thu xa'!R7</f>
        <v>269000</v>
      </c>
      <c r="K10" s="1016">
        <f>+'[3]2.Chi tiet thu xa'!T7</f>
        <v>205000</v>
      </c>
      <c r="L10" s="1016">
        <f>+'[3]2.Chi tiet thu xa'!V7</f>
        <v>193000</v>
      </c>
      <c r="M10" s="1016">
        <f>+'[3]2.Chi tiet thu xa'!X7</f>
        <v>278000</v>
      </c>
      <c r="N10" s="1016">
        <f>+'[3]2.Chi tiet thu xa'!Z7</f>
        <v>334000</v>
      </c>
      <c r="O10" s="1016">
        <f>+'[3]2.Chi tiet thu xa'!AB7</f>
        <v>170000</v>
      </c>
      <c r="P10" s="1016">
        <f>+'[3]2.Chi tiet thu xa'!AD7</f>
        <v>180000</v>
      </c>
      <c r="Q10" s="1016">
        <f>+'[3]2.Chi tiet thu xa'!AF7</f>
        <v>88000</v>
      </c>
      <c r="R10" s="1016">
        <f>+'[3]2.Chi tiet thu xa'!AH7</f>
        <v>376000</v>
      </c>
      <c r="S10" s="1016">
        <f>+'[3]2.Chi tiet thu xa'!AJ7</f>
        <v>174000</v>
      </c>
      <c r="T10" s="1016">
        <f>+'[3]2.Chi tiet thu xa'!AL7</f>
        <v>1045000</v>
      </c>
    </row>
    <row r="11" spans="1:22" s="1015" customFormat="1" ht="20.100000000000001" customHeight="1">
      <c r="A11" s="284" t="s">
        <v>41</v>
      </c>
      <c r="B11" s="285" t="s">
        <v>48</v>
      </c>
      <c r="C11" s="1016">
        <f>SUM(C12:C13)</f>
        <v>165733339.472</v>
      </c>
      <c r="D11" s="1016">
        <f t="shared" ref="D11:S11" si="1">SUM(D12:D13)</f>
        <v>11612637.796</v>
      </c>
      <c r="E11" s="1016">
        <f t="shared" si="1"/>
        <v>10411806.576000001</v>
      </c>
      <c r="F11" s="1016">
        <f t="shared" si="1"/>
        <v>8267630.4479999999</v>
      </c>
      <c r="G11" s="1016">
        <f t="shared" si="1"/>
        <v>10692808.003999999</v>
      </c>
      <c r="H11" s="1016">
        <f t="shared" si="1"/>
        <v>8358793.4879999999</v>
      </c>
      <c r="I11" s="1016">
        <f t="shared" si="1"/>
        <v>10171228.168</v>
      </c>
      <c r="J11" s="1016">
        <f t="shared" si="1"/>
        <v>8607167.9480000008</v>
      </c>
      <c r="K11" s="1016">
        <f t="shared" si="1"/>
        <v>7670562.1880000001</v>
      </c>
      <c r="L11" s="1016">
        <f t="shared" si="1"/>
        <v>10118040.072000001</v>
      </c>
      <c r="M11" s="1016">
        <f t="shared" si="1"/>
        <v>12033220.699999999</v>
      </c>
      <c r="N11" s="1016">
        <f t="shared" si="1"/>
        <v>10174127.199999999</v>
      </c>
      <c r="O11" s="1016">
        <f t="shared" si="1"/>
        <v>8906685.0480000004</v>
      </c>
      <c r="P11" s="1016">
        <f t="shared" si="1"/>
        <v>8500574.3839999996</v>
      </c>
      <c r="Q11" s="1016">
        <f t="shared" si="1"/>
        <v>9370461.4560000002</v>
      </c>
      <c r="R11" s="1016">
        <f t="shared" si="1"/>
        <v>10820961.987999998</v>
      </c>
      <c r="S11" s="1016">
        <f t="shared" si="1"/>
        <v>9788024.1600000001</v>
      </c>
      <c r="T11" s="1016">
        <f>SUM(T12:T13)</f>
        <v>10228609.848000001</v>
      </c>
    </row>
    <row r="12" spans="1:22" s="802" customFormat="1" ht="20.100000000000001" customHeight="1">
      <c r="A12" s="286">
        <v>1</v>
      </c>
      <c r="B12" s="289" t="s">
        <v>209</v>
      </c>
      <c r="C12" s="508">
        <f>SUM(D12:T12)</f>
        <v>112564449.47200002</v>
      </c>
      <c r="D12" s="508">
        <f>+D15-D10</f>
        <v>6806857.7960000001</v>
      </c>
      <c r="E12" s="508">
        <f t="shared" ref="E12:T12" si="2">+E15-E10</f>
        <v>6459266.5760000004</v>
      </c>
      <c r="F12" s="508">
        <f t="shared" si="2"/>
        <v>6170350.4479999999</v>
      </c>
      <c r="G12" s="508">
        <f t="shared" si="2"/>
        <v>6702008.0039999988</v>
      </c>
      <c r="H12" s="508">
        <f t="shared" si="2"/>
        <v>6079463.4879999999</v>
      </c>
      <c r="I12" s="508">
        <f t="shared" si="2"/>
        <v>6313058.1679999996</v>
      </c>
      <c r="J12" s="508">
        <f t="shared" si="2"/>
        <v>6613247.9480000008</v>
      </c>
      <c r="K12" s="508">
        <f t="shared" si="2"/>
        <v>5977812.1880000001</v>
      </c>
      <c r="L12" s="508">
        <f t="shared" si="2"/>
        <v>7083600.0720000006</v>
      </c>
      <c r="M12" s="508">
        <f t="shared" si="2"/>
        <v>7678670.7000000002</v>
      </c>
      <c r="N12" s="508">
        <f t="shared" si="2"/>
        <v>7584427.2000000002</v>
      </c>
      <c r="O12" s="508">
        <f t="shared" si="2"/>
        <v>7731085.0480000004</v>
      </c>
      <c r="P12" s="508">
        <f t="shared" si="2"/>
        <v>6054384.3839999996</v>
      </c>
      <c r="Q12" s="508">
        <f t="shared" si="2"/>
        <v>6315521.4560000002</v>
      </c>
      <c r="R12" s="508">
        <f t="shared" si="2"/>
        <v>6944511.987999999</v>
      </c>
      <c r="S12" s="508">
        <f t="shared" si="2"/>
        <v>6185014.1599999992</v>
      </c>
      <c r="T12" s="508">
        <f t="shared" si="2"/>
        <v>5865169.8480000002</v>
      </c>
    </row>
    <row r="13" spans="1:22" s="802" customFormat="1" ht="20.100000000000001" customHeight="1">
      <c r="A13" s="286">
        <v>2</v>
      </c>
      <c r="B13" s="289" t="s">
        <v>210</v>
      </c>
      <c r="C13" s="508">
        <f>SUM(D13:T13)</f>
        <v>53168890</v>
      </c>
      <c r="D13" s="508">
        <f>+D43</f>
        <v>4805780</v>
      </c>
      <c r="E13" s="508">
        <f t="shared" ref="E13:T13" si="3">+E43</f>
        <v>3952540</v>
      </c>
      <c r="F13" s="508">
        <f t="shared" si="3"/>
        <v>2097280</v>
      </c>
      <c r="G13" s="508">
        <f t="shared" si="3"/>
        <v>3990800</v>
      </c>
      <c r="H13" s="508">
        <f t="shared" si="3"/>
        <v>2279330</v>
      </c>
      <c r="I13" s="508">
        <f t="shared" si="3"/>
        <v>3858170</v>
      </c>
      <c r="J13" s="508">
        <f t="shared" si="3"/>
        <v>1993920</v>
      </c>
      <c r="K13" s="508">
        <f t="shared" si="3"/>
        <v>1692750</v>
      </c>
      <c r="L13" s="508">
        <f t="shared" si="3"/>
        <v>3034440</v>
      </c>
      <c r="M13" s="508">
        <f t="shared" si="3"/>
        <v>4354550</v>
      </c>
      <c r="N13" s="508">
        <f t="shared" si="3"/>
        <v>2589700</v>
      </c>
      <c r="O13" s="508">
        <f t="shared" si="3"/>
        <v>1175600</v>
      </c>
      <c r="P13" s="508">
        <f t="shared" si="3"/>
        <v>2446190</v>
      </c>
      <c r="Q13" s="508">
        <f t="shared" si="3"/>
        <v>3054940</v>
      </c>
      <c r="R13" s="508">
        <f t="shared" si="3"/>
        <v>3876450</v>
      </c>
      <c r="S13" s="508">
        <f t="shared" si="3"/>
        <v>3603010</v>
      </c>
      <c r="T13" s="508">
        <f t="shared" si="3"/>
        <v>4363440</v>
      </c>
    </row>
    <row r="14" spans="1:22" s="1018" customFormat="1" ht="20.100000000000001" customHeight="1">
      <c r="A14" s="284" t="s">
        <v>37</v>
      </c>
      <c r="B14" s="284" t="s">
        <v>113</v>
      </c>
      <c r="C14" s="1016">
        <f t="shared" ref="C14:T14" si="4">+C15+C43</f>
        <v>169923339.472</v>
      </c>
      <c r="D14" s="1016">
        <f t="shared" si="4"/>
        <v>11764637.796</v>
      </c>
      <c r="E14" s="1016">
        <f t="shared" si="4"/>
        <v>10552806.576000001</v>
      </c>
      <c r="F14" s="1016">
        <f t="shared" si="4"/>
        <v>8425630.4479999989</v>
      </c>
      <c r="G14" s="1016">
        <f t="shared" si="4"/>
        <v>10842808.003999999</v>
      </c>
      <c r="H14" s="1016">
        <f t="shared" si="4"/>
        <v>8492793.4879999999</v>
      </c>
      <c r="I14" s="1016">
        <f t="shared" si="4"/>
        <v>10314228.168</v>
      </c>
      <c r="J14" s="1016">
        <f t="shared" si="4"/>
        <v>8876167.9480000008</v>
      </c>
      <c r="K14" s="1016">
        <f t="shared" si="4"/>
        <v>7875562.1880000001</v>
      </c>
      <c r="L14" s="1016">
        <f t="shared" si="4"/>
        <v>10311040.072000001</v>
      </c>
      <c r="M14" s="1016">
        <f t="shared" si="4"/>
        <v>12311220.699999999</v>
      </c>
      <c r="N14" s="1016">
        <f t="shared" si="4"/>
        <v>10508127.199999999</v>
      </c>
      <c r="O14" s="1016">
        <f t="shared" si="4"/>
        <v>9076685.0480000004</v>
      </c>
      <c r="P14" s="1016">
        <f t="shared" si="4"/>
        <v>8680574.3839999996</v>
      </c>
      <c r="Q14" s="1016">
        <f t="shared" si="4"/>
        <v>9458461.4560000002</v>
      </c>
      <c r="R14" s="1016">
        <f t="shared" si="4"/>
        <v>11196961.987999998</v>
      </c>
      <c r="S14" s="1016">
        <f t="shared" si="4"/>
        <v>9962024.1600000001</v>
      </c>
      <c r="T14" s="1016">
        <f t="shared" si="4"/>
        <v>11273609.848000001</v>
      </c>
      <c r="U14" s="659"/>
      <c r="V14" s="1017"/>
    </row>
    <row r="15" spans="1:22" s="1018" customFormat="1" ht="20.100000000000001" customHeight="1">
      <c r="A15" s="284" t="s">
        <v>39</v>
      </c>
      <c r="B15" s="285" t="s">
        <v>425</v>
      </c>
      <c r="C15" s="1016">
        <f t="shared" ref="C15:T15" si="5">+C16+C17+C42</f>
        <v>116754449.47199999</v>
      </c>
      <c r="D15" s="1016">
        <f t="shared" si="5"/>
        <v>6958857.7960000001</v>
      </c>
      <c r="E15" s="1016">
        <f t="shared" si="5"/>
        <v>6600266.5760000004</v>
      </c>
      <c r="F15" s="1016">
        <f t="shared" si="5"/>
        <v>6328350.4479999999</v>
      </c>
      <c r="G15" s="1016">
        <f t="shared" si="5"/>
        <v>6852008.0039999988</v>
      </c>
      <c r="H15" s="1016">
        <f t="shared" si="5"/>
        <v>6213463.4879999999</v>
      </c>
      <c r="I15" s="1016">
        <f t="shared" si="5"/>
        <v>6456058.1679999996</v>
      </c>
      <c r="J15" s="1016">
        <f t="shared" si="5"/>
        <v>6882247.9480000008</v>
      </c>
      <c r="K15" s="1016">
        <f t="shared" si="5"/>
        <v>6182812.1880000001</v>
      </c>
      <c r="L15" s="1016">
        <f t="shared" si="5"/>
        <v>7276600.0720000006</v>
      </c>
      <c r="M15" s="1016">
        <f t="shared" si="5"/>
        <v>7956670.7000000002</v>
      </c>
      <c r="N15" s="1016">
        <f t="shared" si="5"/>
        <v>7918427.2000000002</v>
      </c>
      <c r="O15" s="1016">
        <f t="shared" si="5"/>
        <v>7901085.0480000004</v>
      </c>
      <c r="P15" s="1016">
        <f t="shared" si="5"/>
        <v>6234384.3839999996</v>
      </c>
      <c r="Q15" s="1016">
        <f t="shared" si="5"/>
        <v>6403521.4560000002</v>
      </c>
      <c r="R15" s="1016">
        <f t="shared" si="5"/>
        <v>7320511.987999999</v>
      </c>
      <c r="S15" s="1016">
        <f t="shared" si="5"/>
        <v>6359014.1599999992</v>
      </c>
      <c r="T15" s="1016">
        <f t="shared" si="5"/>
        <v>6910169.8480000002</v>
      </c>
      <c r="U15" s="659"/>
      <c r="V15" s="1017"/>
    </row>
    <row r="16" spans="1:22" s="1018" customFormat="1" ht="20.100000000000001" customHeight="1">
      <c r="A16" s="1019">
        <v>1</v>
      </c>
      <c r="B16" s="1020" t="s">
        <v>158</v>
      </c>
      <c r="C16" s="1016">
        <f>SUM(D16:T16)</f>
        <v>0</v>
      </c>
      <c r="D16" s="1016"/>
      <c r="E16" s="1016"/>
      <c r="F16" s="1016">
        <f>'[3]K in- CT xã 2025'!J7</f>
        <v>0</v>
      </c>
      <c r="G16" s="1016"/>
      <c r="H16" s="1016"/>
      <c r="I16" s="1016"/>
      <c r="J16" s="1016"/>
      <c r="K16" s="1016"/>
      <c r="L16" s="1016"/>
      <c r="M16" s="1016"/>
      <c r="N16" s="1016"/>
      <c r="O16" s="1016"/>
      <c r="P16" s="1016"/>
      <c r="Q16" s="1016"/>
      <c r="R16" s="1016"/>
      <c r="S16" s="1016"/>
      <c r="T16" s="1016"/>
    </row>
    <row r="17" spans="1:21" s="1018" customFormat="1" ht="20.25" customHeight="1">
      <c r="A17" s="1019">
        <v>2</v>
      </c>
      <c r="B17" s="1020" t="s">
        <v>523</v>
      </c>
      <c r="C17" s="1016">
        <v>114464349.47199999</v>
      </c>
      <c r="D17" s="1016">
        <v>6822357.7960000001</v>
      </c>
      <c r="E17" s="1016">
        <v>6470766.5760000004</v>
      </c>
      <c r="F17" s="1016">
        <v>6204250.4479999999</v>
      </c>
      <c r="G17" s="1016">
        <v>6717608.0039999988</v>
      </c>
      <c r="H17" s="1016">
        <v>6091563.4879999999</v>
      </c>
      <c r="I17" s="1016">
        <v>6329458.1679999996</v>
      </c>
      <c r="J17" s="1016">
        <v>6747247.9480000008</v>
      </c>
      <c r="K17" s="1016">
        <v>6061512.1880000001</v>
      </c>
      <c r="L17" s="1016">
        <v>7133900.0720000006</v>
      </c>
      <c r="M17" s="1016">
        <v>7800570.7000000002</v>
      </c>
      <c r="N17" s="1016">
        <v>7763127.2000000002</v>
      </c>
      <c r="O17" s="1016">
        <v>7746085.0480000004</v>
      </c>
      <c r="P17" s="1016">
        <v>6112084.3839999996</v>
      </c>
      <c r="Q17" s="1016">
        <v>6277921.4560000002</v>
      </c>
      <c r="R17" s="1016">
        <v>7176911.987999999</v>
      </c>
      <c r="S17" s="1016">
        <v>6234314.1599999992</v>
      </c>
      <c r="T17" s="1016">
        <v>6774669.8480000002</v>
      </c>
    </row>
    <row r="18" spans="1:21" s="657" customFormat="1" ht="20.25" customHeight="1">
      <c r="A18" s="1021" t="s">
        <v>212</v>
      </c>
      <c r="B18" s="1022" t="s">
        <v>522</v>
      </c>
      <c r="C18" s="508">
        <v>2306700</v>
      </c>
      <c r="D18" s="508">
        <v>89300</v>
      </c>
      <c r="E18" s="508">
        <v>193300</v>
      </c>
      <c r="F18" s="508">
        <v>162800</v>
      </c>
      <c r="G18" s="508">
        <v>163800</v>
      </c>
      <c r="H18" s="508">
        <v>111400</v>
      </c>
      <c r="I18" s="508">
        <v>107000</v>
      </c>
      <c r="J18" s="508">
        <v>98800</v>
      </c>
      <c r="K18" s="508">
        <v>79500</v>
      </c>
      <c r="L18" s="508">
        <v>180100</v>
      </c>
      <c r="M18" s="508">
        <v>177500</v>
      </c>
      <c r="N18" s="508">
        <v>170300</v>
      </c>
      <c r="O18" s="508">
        <v>157800</v>
      </c>
      <c r="P18" s="508">
        <v>123500</v>
      </c>
      <c r="Q18" s="508">
        <v>102000</v>
      </c>
      <c r="R18" s="508">
        <v>160300</v>
      </c>
      <c r="S18" s="508">
        <v>163000</v>
      </c>
      <c r="T18" s="508">
        <v>66300</v>
      </c>
    </row>
    <row r="19" spans="1:21" s="657" customFormat="1" ht="20.25" customHeight="1">
      <c r="A19" s="1021" t="s">
        <v>213</v>
      </c>
      <c r="B19" s="1023" t="s">
        <v>268</v>
      </c>
      <c r="C19" s="508">
        <v>270000</v>
      </c>
      <c r="D19" s="508">
        <v>30000</v>
      </c>
      <c r="E19" s="508">
        <v>30000</v>
      </c>
      <c r="F19" s="508">
        <v>10000</v>
      </c>
      <c r="G19" s="508">
        <v>10000</v>
      </c>
      <c r="H19" s="508">
        <v>10000</v>
      </c>
      <c r="I19" s="508">
        <v>10000</v>
      </c>
      <c r="J19" s="508">
        <v>10000</v>
      </c>
      <c r="K19" s="508">
        <v>10000</v>
      </c>
      <c r="L19" s="508">
        <v>30000</v>
      </c>
      <c r="M19" s="508">
        <v>10000</v>
      </c>
      <c r="N19" s="508">
        <v>30000</v>
      </c>
      <c r="O19" s="508">
        <v>30000</v>
      </c>
      <c r="P19" s="508">
        <v>10000</v>
      </c>
      <c r="Q19" s="508">
        <v>10000</v>
      </c>
      <c r="R19" s="508">
        <v>10000</v>
      </c>
      <c r="S19" s="508">
        <v>10000</v>
      </c>
      <c r="T19" s="508">
        <v>10000</v>
      </c>
    </row>
    <row r="20" spans="1:21" s="657" customFormat="1" ht="20.25" customHeight="1">
      <c r="A20" s="1021" t="s">
        <v>214</v>
      </c>
      <c r="B20" s="1023" t="s">
        <v>49</v>
      </c>
      <c r="C20" s="508">
        <v>98338898.671999991</v>
      </c>
      <c r="D20" s="508">
        <v>6081698.3760000002</v>
      </c>
      <c r="E20" s="508">
        <v>5462107.3119999999</v>
      </c>
      <c r="F20" s="508">
        <v>5202619.4000000004</v>
      </c>
      <c r="G20" s="508">
        <v>5934449.1599999992</v>
      </c>
      <c r="H20" s="508">
        <v>5369489.7199999997</v>
      </c>
      <c r="I20" s="508">
        <v>5521498.8879999993</v>
      </c>
      <c r="J20" s="508">
        <v>5892066.1600000011</v>
      </c>
      <c r="K20" s="508">
        <v>5344533.76</v>
      </c>
      <c r="L20" s="508">
        <v>6096567.2560000001</v>
      </c>
      <c r="M20" s="508">
        <v>6519060.4000000004</v>
      </c>
      <c r="N20" s="508">
        <v>6249929.2000000002</v>
      </c>
      <c r="O20" s="508">
        <v>6489605.2000000002</v>
      </c>
      <c r="P20" s="508">
        <v>5303122.9679999994</v>
      </c>
      <c r="Q20" s="508">
        <v>5541592.3600000003</v>
      </c>
      <c r="R20" s="508">
        <v>6286441.6319999993</v>
      </c>
      <c r="S20" s="508">
        <v>5478973.6479999991</v>
      </c>
      <c r="T20" s="508">
        <v>5565143.2320000008</v>
      </c>
    </row>
    <row r="21" spans="1:21" s="657" customFormat="1" ht="21" customHeight="1">
      <c r="A21" s="1021" t="s">
        <v>433</v>
      </c>
      <c r="B21" s="1023" t="s">
        <v>144</v>
      </c>
      <c r="C21" s="508">
        <v>72685827.071999997</v>
      </c>
      <c r="D21" s="508">
        <v>4669594.3760000002</v>
      </c>
      <c r="E21" s="508">
        <v>4020381.3119999999</v>
      </c>
      <c r="F21" s="508">
        <v>3768189.4000000004</v>
      </c>
      <c r="G21" s="508">
        <v>4344880.76</v>
      </c>
      <c r="H21" s="508">
        <v>4209164.12</v>
      </c>
      <c r="I21" s="508">
        <v>4270449.2879999997</v>
      </c>
      <c r="J21" s="508">
        <v>4373718.5600000005</v>
      </c>
      <c r="K21" s="508">
        <v>4250138.5600000005</v>
      </c>
      <c r="L21" s="508">
        <v>4347182.0559999999</v>
      </c>
      <c r="M21" s="508">
        <v>4494111.6000000006</v>
      </c>
      <c r="N21" s="508">
        <v>4381926.4000000004</v>
      </c>
      <c r="O21" s="508">
        <v>4602434.8000000007</v>
      </c>
      <c r="P21" s="508">
        <v>3982705.3679999998</v>
      </c>
      <c r="Q21" s="508">
        <v>4483861.5600000005</v>
      </c>
      <c r="R21" s="508">
        <v>4417184.432</v>
      </c>
      <c r="S21" s="508">
        <v>4348192.8479999993</v>
      </c>
      <c r="T21" s="508">
        <v>3721711.6320000002</v>
      </c>
      <c r="U21" s="1024">
        <f t="shared" ref="U21" si="6">+U22+U24+U23-U25</f>
        <v>0</v>
      </c>
    </row>
    <row r="22" spans="1:21" s="1028" customFormat="1" ht="18" customHeight="1">
      <c r="A22" s="1025" t="s">
        <v>1</v>
      </c>
      <c r="B22" s="1026" t="s">
        <v>182</v>
      </c>
      <c r="C22" s="1027">
        <v>61112133.072000004</v>
      </c>
      <c r="D22" s="1027">
        <v>3982354.3759999997</v>
      </c>
      <c r="E22" s="1027">
        <v>3331141.3119999999</v>
      </c>
      <c r="F22" s="1027">
        <v>3086525.4000000004</v>
      </c>
      <c r="G22" s="1027">
        <v>3683640.76</v>
      </c>
      <c r="H22" s="1027">
        <v>3559348.12</v>
      </c>
      <c r="I22" s="1027">
        <v>3590785.2879999997</v>
      </c>
      <c r="J22" s="1027">
        <v>3694284.5600000005</v>
      </c>
      <c r="K22" s="1027">
        <v>3608136.5600000005</v>
      </c>
      <c r="L22" s="1027">
        <v>3642670.0559999999</v>
      </c>
      <c r="M22" s="1027">
        <v>3767413.6000000006</v>
      </c>
      <c r="N22" s="1027">
        <v>3712910.4000000004</v>
      </c>
      <c r="O22" s="1027">
        <v>3933584.8000000003</v>
      </c>
      <c r="P22" s="1027">
        <v>3289791.3679999998</v>
      </c>
      <c r="Q22" s="1027">
        <v>3805947.5600000005</v>
      </c>
      <c r="R22" s="1027">
        <v>3733710.432</v>
      </c>
      <c r="S22" s="1027">
        <v>3661928.8479999998</v>
      </c>
      <c r="T22" s="1027">
        <v>3027959.6320000002</v>
      </c>
    </row>
    <row r="23" spans="1:21" s="1028" customFormat="1" ht="18" customHeight="1">
      <c r="A23" s="1025" t="s">
        <v>1</v>
      </c>
      <c r="B23" s="1026" t="s">
        <v>341</v>
      </c>
      <c r="C23" s="1027">
        <v>1524744</v>
      </c>
      <c r="D23" s="1027">
        <v>84240</v>
      </c>
      <c r="E23" s="1027">
        <v>84240</v>
      </c>
      <c r="F23" s="1027">
        <v>92664</v>
      </c>
      <c r="G23" s="1027">
        <v>84240</v>
      </c>
      <c r="H23" s="1027">
        <v>75815.999999999985</v>
      </c>
      <c r="I23" s="1027">
        <v>92664</v>
      </c>
      <c r="J23" s="1027">
        <v>92664</v>
      </c>
      <c r="K23" s="1027">
        <v>67392</v>
      </c>
      <c r="L23" s="1027">
        <v>109512</v>
      </c>
      <c r="M23" s="1027">
        <v>101088</v>
      </c>
      <c r="N23" s="1027">
        <v>75815.999999999985</v>
      </c>
      <c r="O23" s="1027">
        <v>84240</v>
      </c>
      <c r="P23" s="1027">
        <v>92664</v>
      </c>
      <c r="Q23" s="1027">
        <v>92664</v>
      </c>
      <c r="R23" s="1027">
        <v>92664</v>
      </c>
      <c r="S23" s="1027">
        <v>92664</v>
      </c>
      <c r="T23" s="1027">
        <v>109512</v>
      </c>
    </row>
    <row r="24" spans="1:21" s="1028" customFormat="1" ht="18" customHeight="1">
      <c r="A24" s="1025" t="s">
        <v>215</v>
      </c>
      <c r="B24" s="1026" t="s">
        <v>1359</v>
      </c>
      <c r="C24" s="1027">
        <v>7843000</v>
      </c>
      <c r="D24" s="1027">
        <v>460000</v>
      </c>
      <c r="E24" s="1027">
        <v>460000</v>
      </c>
      <c r="F24" s="1027">
        <v>460000</v>
      </c>
      <c r="G24" s="1027">
        <v>460000</v>
      </c>
      <c r="H24" s="1027">
        <v>460000</v>
      </c>
      <c r="I24" s="1027">
        <v>460000</v>
      </c>
      <c r="J24" s="1027">
        <v>460000</v>
      </c>
      <c r="K24" s="1027">
        <v>460000</v>
      </c>
      <c r="L24" s="1027">
        <v>460000</v>
      </c>
      <c r="M24" s="1027">
        <v>483000</v>
      </c>
      <c r="N24" s="1027">
        <v>460000</v>
      </c>
      <c r="O24" s="1027">
        <v>460000</v>
      </c>
      <c r="P24" s="1027">
        <v>460000</v>
      </c>
      <c r="Q24" s="1027">
        <v>460000</v>
      </c>
      <c r="R24" s="1027">
        <v>460000</v>
      </c>
      <c r="S24" s="1027">
        <v>460000</v>
      </c>
      <c r="T24" s="1027">
        <v>460000</v>
      </c>
    </row>
    <row r="25" spans="1:21" s="1028" customFormat="1" ht="23.25" customHeight="1">
      <c r="A25" s="1025"/>
      <c r="B25" s="1029" t="s">
        <v>1331</v>
      </c>
      <c r="C25" s="1027">
        <v>784300</v>
      </c>
      <c r="D25" s="1027">
        <v>46000</v>
      </c>
      <c r="E25" s="1027">
        <v>46000</v>
      </c>
      <c r="F25" s="1027">
        <v>46000</v>
      </c>
      <c r="G25" s="1027">
        <v>46000</v>
      </c>
      <c r="H25" s="1027">
        <v>46000</v>
      </c>
      <c r="I25" s="1027">
        <v>46000</v>
      </c>
      <c r="J25" s="1027">
        <v>46000</v>
      </c>
      <c r="K25" s="1027">
        <v>46000</v>
      </c>
      <c r="L25" s="1027">
        <v>46000</v>
      </c>
      <c r="M25" s="1027">
        <v>48300</v>
      </c>
      <c r="N25" s="1027">
        <v>46000</v>
      </c>
      <c r="O25" s="1027">
        <v>46000</v>
      </c>
      <c r="P25" s="1027">
        <v>46000</v>
      </c>
      <c r="Q25" s="1027">
        <v>46000</v>
      </c>
      <c r="R25" s="1027">
        <v>46000</v>
      </c>
      <c r="S25" s="1027">
        <v>46000</v>
      </c>
      <c r="T25" s="1027">
        <v>46000</v>
      </c>
    </row>
    <row r="26" spans="1:21" s="1028" customFormat="1" ht="18" customHeight="1">
      <c r="A26" s="1025" t="s">
        <v>215</v>
      </c>
      <c r="B26" s="1029" t="s">
        <v>1332</v>
      </c>
      <c r="C26" s="1027">
        <v>2990250</v>
      </c>
      <c r="D26" s="1027">
        <v>189000</v>
      </c>
      <c r="E26" s="1027">
        <v>191000</v>
      </c>
      <c r="F26" s="1027">
        <v>175000</v>
      </c>
      <c r="G26" s="1027">
        <v>163000</v>
      </c>
      <c r="H26" s="1027">
        <v>160000</v>
      </c>
      <c r="I26" s="1027">
        <v>173000</v>
      </c>
      <c r="J26" s="1027">
        <v>172770</v>
      </c>
      <c r="K26" s="1027">
        <v>160610</v>
      </c>
      <c r="L26" s="1027">
        <v>181000</v>
      </c>
      <c r="M26" s="1027">
        <v>190910</v>
      </c>
      <c r="N26" s="1027">
        <v>179200</v>
      </c>
      <c r="O26" s="1027">
        <v>170610</v>
      </c>
      <c r="P26" s="1027">
        <v>186250</v>
      </c>
      <c r="Q26" s="1027">
        <v>171250</v>
      </c>
      <c r="R26" s="1027">
        <v>176810</v>
      </c>
      <c r="S26" s="1027">
        <v>179600</v>
      </c>
      <c r="T26" s="1027">
        <v>170240</v>
      </c>
    </row>
    <row r="27" spans="1:21" s="657" customFormat="1" ht="23.25" customHeight="1">
      <c r="A27" s="1021" t="s">
        <v>211</v>
      </c>
      <c r="B27" s="1030" t="s">
        <v>340</v>
      </c>
      <c r="C27" s="508">
        <v>19428348.000000004</v>
      </c>
      <c r="D27" s="508">
        <v>1037287.2000000001</v>
      </c>
      <c r="E27" s="508">
        <v>1083882</v>
      </c>
      <c r="F27" s="508">
        <v>1086982.8</v>
      </c>
      <c r="G27" s="508">
        <v>1213599.6000000001</v>
      </c>
      <c r="H27" s="508">
        <v>858280.8</v>
      </c>
      <c r="I27" s="508">
        <v>924580.8</v>
      </c>
      <c r="J27" s="508">
        <v>1150718.3999999999</v>
      </c>
      <c r="K27" s="508">
        <v>806649.60000000009</v>
      </c>
      <c r="L27" s="508">
        <v>1329880.8</v>
      </c>
      <c r="M27" s="508">
        <v>1570180.8</v>
      </c>
      <c r="N27" s="508">
        <v>1456449.6</v>
      </c>
      <c r="O27" s="508">
        <v>1476880.8</v>
      </c>
      <c r="P27" s="508">
        <v>994372.8</v>
      </c>
      <c r="Q27" s="508">
        <v>758949.60000000009</v>
      </c>
      <c r="R27" s="508">
        <v>1424649.6</v>
      </c>
      <c r="S27" s="508">
        <v>830499.60000000009</v>
      </c>
      <c r="T27" s="508">
        <v>1424503.2</v>
      </c>
    </row>
    <row r="28" spans="1:21" s="657" customFormat="1" ht="16.5" customHeight="1">
      <c r="A28" s="1021" t="s">
        <v>211</v>
      </c>
      <c r="B28" s="1023" t="s">
        <v>1360</v>
      </c>
      <c r="C28" s="508">
        <v>2444223.6</v>
      </c>
      <c r="D28" s="508">
        <v>153316.79999999999</v>
      </c>
      <c r="E28" s="508">
        <v>155844</v>
      </c>
      <c r="F28" s="508">
        <v>149947.20000000001</v>
      </c>
      <c r="G28" s="508">
        <v>136468.79999999999</v>
      </c>
      <c r="H28" s="508">
        <v>128044.8</v>
      </c>
      <c r="I28" s="508">
        <v>136468.79999999999</v>
      </c>
      <c r="J28" s="508">
        <v>143629.20000000001</v>
      </c>
      <c r="K28" s="508">
        <v>100245.6</v>
      </c>
      <c r="L28" s="508">
        <v>163004.4</v>
      </c>
      <c r="M28" s="508">
        <v>164268</v>
      </c>
      <c r="N28" s="508">
        <v>152053.20000000001</v>
      </c>
      <c r="O28" s="508">
        <v>150789.6</v>
      </c>
      <c r="P28" s="508">
        <v>128044.8</v>
      </c>
      <c r="Q28" s="508">
        <v>126781.2</v>
      </c>
      <c r="R28" s="508">
        <v>157107.6</v>
      </c>
      <c r="S28" s="508">
        <v>126781.2</v>
      </c>
      <c r="T28" s="508">
        <v>171428.4</v>
      </c>
    </row>
    <row r="29" spans="1:21" s="657" customFormat="1" ht="16.5" customHeight="1">
      <c r="A29" s="1021" t="s">
        <v>211</v>
      </c>
      <c r="B29" s="1023" t="s">
        <v>172</v>
      </c>
      <c r="C29" s="508">
        <v>1200000</v>
      </c>
      <c r="D29" s="508">
        <v>70000</v>
      </c>
      <c r="E29" s="508">
        <v>60000</v>
      </c>
      <c r="F29" s="508">
        <v>60000</v>
      </c>
      <c r="G29" s="508">
        <v>80000</v>
      </c>
      <c r="H29" s="508">
        <v>40000</v>
      </c>
      <c r="I29" s="508">
        <v>50000</v>
      </c>
      <c r="J29" s="508">
        <v>70000</v>
      </c>
      <c r="K29" s="508">
        <v>50000</v>
      </c>
      <c r="L29" s="508">
        <v>90000</v>
      </c>
      <c r="M29" s="508">
        <v>110000</v>
      </c>
      <c r="N29" s="508">
        <v>90000</v>
      </c>
      <c r="O29" s="508">
        <v>90000</v>
      </c>
      <c r="P29" s="508">
        <v>60000</v>
      </c>
      <c r="Q29" s="508">
        <v>40000</v>
      </c>
      <c r="R29" s="508">
        <v>110000</v>
      </c>
      <c r="S29" s="508">
        <v>40000</v>
      </c>
      <c r="T29" s="508">
        <v>90000</v>
      </c>
    </row>
    <row r="30" spans="1:21" s="657" customFormat="1" ht="16.5" customHeight="1">
      <c r="A30" s="1021" t="s">
        <v>211</v>
      </c>
      <c r="B30" s="1023" t="s">
        <v>149</v>
      </c>
      <c r="C30" s="508">
        <v>705000</v>
      </c>
      <c r="D30" s="508">
        <v>42000</v>
      </c>
      <c r="E30" s="508">
        <v>35000</v>
      </c>
      <c r="F30" s="508">
        <v>31000</v>
      </c>
      <c r="G30" s="508">
        <v>48000</v>
      </c>
      <c r="H30" s="508">
        <v>24000</v>
      </c>
      <c r="I30" s="508">
        <v>30000</v>
      </c>
      <c r="J30" s="508">
        <v>42000</v>
      </c>
      <c r="K30" s="508">
        <v>30000</v>
      </c>
      <c r="L30" s="508">
        <v>54000</v>
      </c>
      <c r="M30" s="508">
        <v>66000</v>
      </c>
      <c r="N30" s="508">
        <v>54000</v>
      </c>
      <c r="O30" s="508">
        <v>54000</v>
      </c>
      <c r="P30" s="508">
        <v>33000</v>
      </c>
      <c r="Q30" s="508">
        <v>24000</v>
      </c>
      <c r="R30" s="508">
        <v>66000</v>
      </c>
      <c r="S30" s="508">
        <v>24000</v>
      </c>
      <c r="T30" s="508">
        <v>48000</v>
      </c>
    </row>
    <row r="31" spans="1:21" s="657" customFormat="1" ht="16.5" customHeight="1">
      <c r="A31" s="1021" t="s">
        <v>211</v>
      </c>
      <c r="B31" s="1031" t="s">
        <v>181</v>
      </c>
      <c r="C31" s="508">
        <v>1360000</v>
      </c>
      <c r="D31" s="508">
        <v>80000</v>
      </c>
      <c r="E31" s="508">
        <v>80000</v>
      </c>
      <c r="F31" s="508">
        <v>80000</v>
      </c>
      <c r="G31" s="508">
        <v>80000</v>
      </c>
      <c r="H31" s="508">
        <v>80000</v>
      </c>
      <c r="I31" s="508">
        <v>80000</v>
      </c>
      <c r="J31" s="508">
        <v>80000</v>
      </c>
      <c r="K31" s="508">
        <v>80000</v>
      </c>
      <c r="L31" s="508">
        <v>80000</v>
      </c>
      <c r="M31" s="508">
        <v>80000</v>
      </c>
      <c r="N31" s="508">
        <v>80000</v>
      </c>
      <c r="O31" s="508">
        <v>80000</v>
      </c>
      <c r="P31" s="508">
        <v>80000</v>
      </c>
      <c r="Q31" s="508">
        <v>80000</v>
      </c>
      <c r="R31" s="508">
        <v>80000</v>
      </c>
      <c r="S31" s="508">
        <v>80000</v>
      </c>
      <c r="T31" s="508">
        <v>80000</v>
      </c>
    </row>
    <row r="32" spans="1:21" s="657" customFormat="1" ht="16.5" customHeight="1">
      <c r="A32" s="1021" t="s">
        <v>211</v>
      </c>
      <c r="B32" s="1031" t="s">
        <v>1378</v>
      </c>
      <c r="C32" s="508">
        <v>110500</v>
      </c>
      <c r="D32" s="508">
        <v>4500</v>
      </c>
      <c r="E32" s="508">
        <v>7000</v>
      </c>
      <c r="F32" s="508">
        <v>6500</v>
      </c>
      <c r="G32" s="508">
        <v>6500</v>
      </c>
      <c r="H32" s="508">
        <v>5000</v>
      </c>
      <c r="I32" s="508">
        <v>5000</v>
      </c>
      <c r="J32" s="508">
        <v>7000</v>
      </c>
      <c r="K32" s="508">
        <v>2500</v>
      </c>
      <c r="L32" s="508">
        <v>7500</v>
      </c>
      <c r="M32" s="508">
        <v>9500</v>
      </c>
      <c r="N32" s="508">
        <v>10500</v>
      </c>
      <c r="O32" s="508">
        <v>10500</v>
      </c>
      <c r="P32" s="508">
        <v>5000</v>
      </c>
      <c r="Q32" s="508">
        <v>3000</v>
      </c>
      <c r="R32" s="508">
        <v>6500</v>
      </c>
      <c r="S32" s="508">
        <v>4500</v>
      </c>
      <c r="T32" s="508">
        <v>9500</v>
      </c>
    </row>
    <row r="33" spans="1:20" s="657" customFormat="1" ht="38.25" customHeight="1">
      <c r="A33" s="1021" t="s">
        <v>211</v>
      </c>
      <c r="B33" s="1032" t="s">
        <v>339</v>
      </c>
      <c r="C33" s="508">
        <v>405000</v>
      </c>
      <c r="D33" s="508">
        <v>25000</v>
      </c>
      <c r="E33" s="508">
        <v>20000</v>
      </c>
      <c r="F33" s="508">
        <v>20000</v>
      </c>
      <c r="G33" s="508">
        <v>25000</v>
      </c>
      <c r="H33" s="508">
        <v>25000</v>
      </c>
      <c r="I33" s="508">
        <v>25000</v>
      </c>
      <c r="J33" s="508">
        <v>25000</v>
      </c>
      <c r="K33" s="508">
        <v>25000</v>
      </c>
      <c r="L33" s="508">
        <v>25000</v>
      </c>
      <c r="M33" s="508">
        <v>25000</v>
      </c>
      <c r="N33" s="508">
        <v>25000</v>
      </c>
      <c r="O33" s="508">
        <v>25000</v>
      </c>
      <c r="P33" s="508">
        <v>20000</v>
      </c>
      <c r="Q33" s="508">
        <v>25000</v>
      </c>
      <c r="R33" s="508">
        <v>25000</v>
      </c>
      <c r="S33" s="508">
        <v>25000</v>
      </c>
      <c r="T33" s="508">
        <v>20000</v>
      </c>
    </row>
    <row r="34" spans="1:20" s="657" customFormat="1" ht="19.5" customHeight="1">
      <c r="A34" s="1021" t="s">
        <v>426</v>
      </c>
      <c r="B34" s="1023" t="s">
        <v>1379</v>
      </c>
      <c r="C34" s="508">
        <v>355000</v>
      </c>
      <c r="D34" s="508">
        <v>20000</v>
      </c>
      <c r="E34" s="508">
        <v>20000</v>
      </c>
      <c r="F34" s="508">
        <v>20000</v>
      </c>
      <c r="G34" s="508">
        <v>20000</v>
      </c>
      <c r="H34" s="508">
        <v>20000</v>
      </c>
      <c r="I34" s="508">
        <v>20000</v>
      </c>
      <c r="J34" s="508">
        <v>20000</v>
      </c>
      <c r="K34" s="508">
        <v>20000</v>
      </c>
      <c r="L34" s="508">
        <v>20000</v>
      </c>
      <c r="M34" s="508">
        <v>20000</v>
      </c>
      <c r="N34" s="508">
        <v>20000</v>
      </c>
      <c r="O34" s="508">
        <v>20000</v>
      </c>
      <c r="P34" s="508">
        <v>20000</v>
      </c>
      <c r="Q34" s="508">
        <v>20000</v>
      </c>
      <c r="R34" s="508">
        <v>20000</v>
      </c>
      <c r="S34" s="508">
        <v>20000</v>
      </c>
      <c r="T34" s="508">
        <v>35000</v>
      </c>
    </row>
    <row r="35" spans="1:20" s="657" customFormat="1" ht="19.5" customHeight="1">
      <c r="A35" s="1021" t="s">
        <v>427</v>
      </c>
      <c r="B35" s="1023" t="s">
        <v>176</v>
      </c>
      <c r="C35" s="508">
        <v>261000</v>
      </c>
      <c r="D35" s="508">
        <v>15000</v>
      </c>
      <c r="E35" s="508">
        <v>15000</v>
      </c>
      <c r="F35" s="508">
        <v>15000</v>
      </c>
      <c r="G35" s="508">
        <v>15000</v>
      </c>
      <c r="H35" s="508">
        <v>15000</v>
      </c>
      <c r="I35" s="508">
        <v>15000</v>
      </c>
      <c r="J35" s="508">
        <v>15000</v>
      </c>
      <c r="K35" s="508">
        <v>15000</v>
      </c>
      <c r="L35" s="508">
        <v>15000</v>
      </c>
      <c r="M35" s="508">
        <v>18000</v>
      </c>
      <c r="N35" s="508">
        <v>15000</v>
      </c>
      <c r="O35" s="508">
        <v>15000</v>
      </c>
      <c r="P35" s="508">
        <v>15000</v>
      </c>
      <c r="Q35" s="508">
        <v>15000</v>
      </c>
      <c r="R35" s="508">
        <v>18000</v>
      </c>
      <c r="S35" s="508">
        <v>15000</v>
      </c>
      <c r="T35" s="508">
        <v>15000</v>
      </c>
    </row>
    <row r="36" spans="1:20" s="657" customFormat="1" ht="19.5" customHeight="1">
      <c r="A36" s="1021" t="s">
        <v>428</v>
      </c>
      <c r="B36" s="1023" t="s">
        <v>151</v>
      </c>
      <c r="C36" s="508">
        <v>2545543.6</v>
      </c>
      <c r="D36" s="508">
        <v>64563.6</v>
      </c>
      <c r="E36" s="508">
        <v>105927.2</v>
      </c>
      <c r="F36" s="508">
        <v>150540.79999999999</v>
      </c>
      <c r="G36" s="508">
        <v>14300</v>
      </c>
      <c r="H36" s="508">
        <v>94377.2</v>
      </c>
      <c r="I36" s="508">
        <v>144390.79999999999</v>
      </c>
      <c r="J36" s="508">
        <v>103927.2</v>
      </c>
      <c r="K36" s="508">
        <v>184904.4</v>
      </c>
      <c r="L36" s="508">
        <v>111227.2</v>
      </c>
      <c r="M36" s="508">
        <v>281931.59999999998</v>
      </c>
      <c r="N36" s="508">
        <v>426972.4</v>
      </c>
      <c r="O36" s="508">
        <v>242118</v>
      </c>
      <c r="P36" s="508">
        <v>102227.2</v>
      </c>
      <c r="Q36" s="508">
        <v>179804.4</v>
      </c>
      <c r="R36" s="508">
        <v>13850</v>
      </c>
      <c r="S36" s="508">
        <v>10950</v>
      </c>
      <c r="T36" s="508">
        <v>313531.59999999998</v>
      </c>
    </row>
    <row r="37" spans="1:20" s="657" customFormat="1" ht="19.5" customHeight="1">
      <c r="A37" s="1021" t="s">
        <v>72</v>
      </c>
      <c r="B37" s="1023" t="s">
        <v>59</v>
      </c>
      <c r="C37" s="508">
        <v>2229843.5999999996</v>
      </c>
      <c r="D37" s="508">
        <v>43263.6</v>
      </c>
      <c r="E37" s="508">
        <v>86527.2</v>
      </c>
      <c r="F37" s="508">
        <v>129790.8</v>
      </c>
      <c r="G37" s="508">
        <v>0</v>
      </c>
      <c r="H37" s="508">
        <v>86527.2</v>
      </c>
      <c r="I37" s="508">
        <v>129790.8</v>
      </c>
      <c r="J37" s="508">
        <v>86527.2</v>
      </c>
      <c r="K37" s="508">
        <v>173054.4</v>
      </c>
      <c r="L37" s="508">
        <v>86527.2</v>
      </c>
      <c r="M37" s="508">
        <v>259581.6</v>
      </c>
      <c r="N37" s="508">
        <v>412772.4</v>
      </c>
      <c r="O37" s="508">
        <v>216318</v>
      </c>
      <c r="P37" s="508">
        <v>86527.2</v>
      </c>
      <c r="Q37" s="508">
        <v>173054.4</v>
      </c>
      <c r="R37" s="508">
        <v>0</v>
      </c>
      <c r="S37" s="508">
        <v>0</v>
      </c>
      <c r="T37" s="508">
        <v>259581.6</v>
      </c>
    </row>
    <row r="38" spans="1:20" s="657" customFormat="1" ht="19.5" customHeight="1">
      <c r="A38" s="1021" t="s">
        <v>72</v>
      </c>
      <c r="B38" s="506" t="s">
        <v>60</v>
      </c>
      <c r="C38" s="508">
        <v>315700</v>
      </c>
      <c r="D38" s="508">
        <v>21300</v>
      </c>
      <c r="E38" s="508">
        <v>19400</v>
      </c>
      <c r="F38" s="508">
        <v>20750</v>
      </c>
      <c r="G38" s="508">
        <v>14300</v>
      </c>
      <c r="H38" s="508">
        <v>7850</v>
      </c>
      <c r="I38" s="508">
        <v>14600</v>
      </c>
      <c r="J38" s="508">
        <v>17400</v>
      </c>
      <c r="K38" s="508">
        <v>11850</v>
      </c>
      <c r="L38" s="508">
        <v>24700</v>
      </c>
      <c r="M38" s="508">
        <v>22350</v>
      </c>
      <c r="N38" s="508">
        <v>14200</v>
      </c>
      <c r="O38" s="508">
        <v>25800</v>
      </c>
      <c r="P38" s="508">
        <v>15700</v>
      </c>
      <c r="Q38" s="508">
        <v>6750</v>
      </c>
      <c r="R38" s="508">
        <v>13850</v>
      </c>
      <c r="S38" s="508">
        <v>10950</v>
      </c>
      <c r="T38" s="508">
        <v>53950</v>
      </c>
    </row>
    <row r="39" spans="1:20" s="657" customFormat="1" ht="19.5" customHeight="1">
      <c r="A39" s="1021" t="s">
        <v>1361</v>
      </c>
      <c r="B39" s="1023" t="s">
        <v>1362</v>
      </c>
      <c r="C39" s="508">
        <v>3027200</v>
      </c>
      <c r="D39" s="508">
        <v>142600</v>
      </c>
      <c r="E39" s="508">
        <v>199000</v>
      </c>
      <c r="F39" s="508">
        <v>194800</v>
      </c>
      <c r="G39" s="508">
        <v>124600</v>
      </c>
      <c r="H39" s="508">
        <v>99040</v>
      </c>
      <c r="I39" s="508">
        <v>150520</v>
      </c>
      <c r="J39" s="508">
        <v>159640</v>
      </c>
      <c r="K39" s="508">
        <v>89320</v>
      </c>
      <c r="L39" s="508">
        <v>203200</v>
      </c>
      <c r="M39" s="508">
        <v>242800</v>
      </c>
      <c r="N39" s="508">
        <v>317200</v>
      </c>
      <c r="O39" s="508">
        <v>265000</v>
      </c>
      <c r="P39" s="508">
        <v>148600</v>
      </c>
      <c r="Q39" s="508">
        <v>111520</v>
      </c>
      <c r="R39" s="508">
        <v>191320</v>
      </c>
      <c r="S39" s="508">
        <v>125320</v>
      </c>
      <c r="T39" s="508">
        <v>262720</v>
      </c>
    </row>
    <row r="40" spans="1:20" s="657" customFormat="1" ht="19.5" customHeight="1">
      <c r="A40" s="1021" t="s">
        <v>429</v>
      </c>
      <c r="B40" s="1023" t="s">
        <v>1363</v>
      </c>
      <c r="C40" s="508">
        <v>6789507.1999999993</v>
      </c>
      <c r="D40" s="508">
        <v>345195.82</v>
      </c>
      <c r="E40" s="508">
        <v>413232.06400000001</v>
      </c>
      <c r="F40" s="508">
        <v>417590.24800000002</v>
      </c>
      <c r="G40" s="508">
        <v>401958.84400000004</v>
      </c>
      <c r="H40" s="508">
        <v>341856.56799999997</v>
      </c>
      <c r="I40" s="508">
        <v>329548.48</v>
      </c>
      <c r="J40" s="508">
        <v>414214.58799999999</v>
      </c>
      <c r="K40" s="508">
        <v>288054.02800000005</v>
      </c>
      <c r="L40" s="508">
        <v>442305.61600000004</v>
      </c>
      <c r="M40" s="508">
        <v>492378.69999999995</v>
      </c>
      <c r="N40" s="508">
        <v>495025.60000000003</v>
      </c>
      <c r="O40" s="508">
        <v>487961.848</v>
      </c>
      <c r="P40" s="508">
        <v>359134.21600000001</v>
      </c>
      <c r="Q40" s="508">
        <v>266704.696</v>
      </c>
      <c r="R40" s="508">
        <v>441200.35600000003</v>
      </c>
      <c r="S40" s="508">
        <v>379970.51199999999</v>
      </c>
      <c r="T40" s="508">
        <v>473175.016</v>
      </c>
    </row>
    <row r="41" spans="1:20" s="657" customFormat="1" ht="19.5" customHeight="1">
      <c r="A41" s="1021" t="s">
        <v>430</v>
      </c>
      <c r="B41" s="1022" t="s">
        <v>1364</v>
      </c>
      <c r="C41" s="508">
        <v>570500</v>
      </c>
      <c r="D41" s="508">
        <v>34000</v>
      </c>
      <c r="E41" s="508">
        <v>32200</v>
      </c>
      <c r="F41" s="508">
        <v>30900</v>
      </c>
      <c r="G41" s="508">
        <v>33500</v>
      </c>
      <c r="H41" s="508">
        <v>30400</v>
      </c>
      <c r="I41" s="508">
        <v>31500</v>
      </c>
      <c r="J41" s="508">
        <v>33600</v>
      </c>
      <c r="K41" s="508">
        <v>30200</v>
      </c>
      <c r="L41" s="508">
        <v>35500</v>
      </c>
      <c r="M41" s="508">
        <v>38900</v>
      </c>
      <c r="N41" s="508">
        <v>38700</v>
      </c>
      <c r="O41" s="508">
        <v>38600</v>
      </c>
      <c r="P41" s="508">
        <v>30500</v>
      </c>
      <c r="Q41" s="508">
        <v>31300</v>
      </c>
      <c r="R41" s="508">
        <v>35800</v>
      </c>
      <c r="S41" s="508">
        <v>31100</v>
      </c>
      <c r="T41" s="508">
        <v>33800</v>
      </c>
    </row>
    <row r="42" spans="1:20" s="1018" customFormat="1" ht="22.5" customHeight="1">
      <c r="A42" s="1019">
        <v>3</v>
      </c>
      <c r="B42" s="1033" t="s">
        <v>186</v>
      </c>
      <c r="C42" s="1016">
        <f>SUM(D42:T42)</f>
        <v>2290100</v>
      </c>
      <c r="D42" s="1016">
        <v>136500</v>
      </c>
      <c r="E42" s="1016">
        <v>129500</v>
      </c>
      <c r="F42" s="1016">
        <v>124100</v>
      </c>
      <c r="G42" s="1016">
        <v>134400</v>
      </c>
      <c r="H42" s="1016">
        <v>121900</v>
      </c>
      <c r="I42" s="1016">
        <v>126600</v>
      </c>
      <c r="J42" s="1016">
        <v>135000</v>
      </c>
      <c r="K42" s="1016">
        <v>121300</v>
      </c>
      <c r="L42" s="1016">
        <v>142700</v>
      </c>
      <c r="M42" s="1016">
        <v>156100</v>
      </c>
      <c r="N42" s="1016">
        <v>155300</v>
      </c>
      <c r="O42" s="1016">
        <v>155000</v>
      </c>
      <c r="P42" s="1016">
        <v>122300</v>
      </c>
      <c r="Q42" s="1016">
        <v>125600</v>
      </c>
      <c r="R42" s="1016">
        <v>143600</v>
      </c>
      <c r="S42" s="1016">
        <v>124700</v>
      </c>
      <c r="T42" s="1016">
        <v>135500</v>
      </c>
    </row>
    <row r="43" spans="1:20" s="657" customFormat="1" ht="22.5" customHeight="1">
      <c r="A43" s="284" t="s">
        <v>41</v>
      </c>
      <c r="B43" s="1020" t="s">
        <v>432</v>
      </c>
      <c r="C43" s="1034">
        <f>+C44+C55+C67</f>
        <v>53168890</v>
      </c>
      <c r="D43" s="1034">
        <f t="shared" ref="D43:T43" si="7">+D44+D55+D67</f>
        <v>4805780</v>
      </c>
      <c r="E43" s="1034">
        <f t="shared" si="7"/>
        <v>3952540</v>
      </c>
      <c r="F43" s="1034">
        <f t="shared" si="7"/>
        <v>2097280</v>
      </c>
      <c r="G43" s="1034">
        <f t="shared" si="7"/>
        <v>3990800</v>
      </c>
      <c r="H43" s="1034">
        <f t="shared" si="7"/>
        <v>2279330</v>
      </c>
      <c r="I43" s="1034">
        <f t="shared" si="7"/>
        <v>3858170</v>
      </c>
      <c r="J43" s="1034">
        <f t="shared" si="7"/>
        <v>1993920</v>
      </c>
      <c r="K43" s="1034">
        <f t="shared" si="7"/>
        <v>1692750</v>
      </c>
      <c r="L43" s="1034">
        <f t="shared" si="7"/>
        <v>3034440</v>
      </c>
      <c r="M43" s="1034">
        <f t="shared" si="7"/>
        <v>4354550</v>
      </c>
      <c r="N43" s="1034">
        <f t="shared" si="7"/>
        <v>2589700</v>
      </c>
      <c r="O43" s="1034">
        <f t="shared" si="7"/>
        <v>1175600</v>
      </c>
      <c r="P43" s="1034">
        <f t="shared" si="7"/>
        <v>2446190</v>
      </c>
      <c r="Q43" s="1034">
        <f t="shared" si="7"/>
        <v>3054940</v>
      </c>
      <c r="R43" s="1034">
        <f t="shared" si="7"/>
        <v>3876450</v>
      </c>
      <c r="S43" s="1034">
        <f t="shared" si="7"/>
        <v>3603010</v>
      </c>
      <c r="T43" s="1034">
        <f t="shared" si="7"/>
        <v>4363440</v>
      </c>
    </row>
    <row r="44" spans="1:20" s="657" customFormat="1" ht="22.5" customHeight="1">
      <c r="A44" s="284">
        <v>1</v>
      </c>
      <c r="B44" s="1020" t="s">
        <v>435</v>
      </c>
      <c r="C44" s="1034">
        <f>+C45+C48+C51</f>
        <v>7603000</v>
      </c>
      <c r="D44" s="1034">
        <f t="shared" ref="D44:T44" si="8">+D45+D48+D51</f>
        <v>281000</v>
      </c>
      <c r="E44" s="1034">
        <f t="shared" si="8"/>
        <v>139000</v>
      </c>
      <c r="F44" s="1034">
        <f t="shared" si="8"/>
        <v>1147400</v>
      </c>
      <c r="G44" s="1034">
        <f t="shared" si="8"/>
        <v>178000</v>
      </c>
      <c r="H44" s="1034">
        <f t="shared" si="8"/>
        <v>151000</v>
      </c>
      <c r="I44" s="1034">
        <f t="shared" si="8"/>
        <v>143000</v>
      </c>
      <c r="J44" s="1034">
        <f t="shared" si="8"/>
        <v>142000</v>
      </c>
      <c r="K44" s="1034">
        <f t="shared" si="8"/>
        <v>162000</v>
      </c>
      <c r="L44" s="1034">
        <f t="shared" si="8"/>
        <v>147000</v>
      </c>
      <c r="M44" s="1034">
        <f t="shared" si="8"/>
        <v>230000</v>
      </c>
      <c r="N44" s="1034">
        <f t="shared" si="8"/>
        <v>155000</v>
      </c>
      <c r="O44" s="1034">
        <f t="shared" si="8"/>
        <v>198000</v>
      </c>
      <c r="P44" s="1034">
        <f t="shared" si="8"/>
        <v>522700</v>
      </c>
      <c r="Q44" s="1034">
        <f t="shared" si="8"/>
        <v>153000</v>
      </c>
      <c r="R44" s="1034">
        <f t="shared" si="8"/>
        <v>161000</v>
      </c>
      <c r="S44" s="1034">
        <f t="shared" si="8"/>
        <v>146000</v>
      </c>
      <c r="T44" s="1034">
        <f t="shared" si="8"/>
        <v>3546900</v>
      </c>
    </row>
    <row r="45" spans="1:20" s="657" customFormat="1" ht="22.5" customHeight="1">
      <c r="A45" s="284" t="s">
        <v>177</v>
      </c>
      <c r="B45" s="285" t="s">
        <v>1354</v>
      </c>
      <c r="C45" s="1034">
        <f>SUM(C46:C47)</f>
        <v>2726000</v>
      </c>
      <c r="D45" s="1034">
        <f t="shared" ref="D45:T45" si="9">SUM(D46:D47)</f>
        <v>141000</v>
      </c>
      <c r="E45" s="1034">
        <f t="shared" si="9"/>
        <v>139000</v>
      </c>
      <c r="F45" s="1034">
        <f t="shared" si="9"/>
        <v>178000</v>
      </c>
      <c r="G45" s="1034">
        <f t="shared" si="9"/>
        <v>178000</v>
      </c>
      <c r="H45" s="1034">
        <f t="shared" si="9"/>
        <v>151000</v>
      </c>
      <c r="I45" s="1034">
        <f t="shared" si="9"/>
        <v>143000</v>
      </c>
      <c r="J45" s="1034">
        <f t="shared" si="9"/>
        <v>142000</v>
      </c>
      <c r="K45" s="1034">
        <f t="shared" si="9"/>
        <v>147000</v>
      </c>
      <c r="L45" s="1034">
        <f t="shared" si="9"/>
        <v>147000</v>
      </c>
      <c r="M45" s="1034">
        <f t="shared" si="9"/>
        <v>165000</v>
      </c>
      <c r="N45" s="1034">
        <f t="shared" si="9"/>
        <v>155000</v>
      </c>
      <c r="O45" s="1034">
        <f t="shared" si="9"/>
        <v>198000</v>
      </c>
      <c r="P45" s="1034">
        <f t="shared" si="9"/>
        <v>201000</v>
      </c>
      <c r="Q45" s="1034">
        <f t="shared" si="9"/>
        <v>153000</v>
      </c>
      <c r="R45" s="1034">
        <f t="shared" si="9"/>
        <v>146000</v>
      </c>
      <c r="S45" s="1034">
        <f t="shared" si="9"/>
        <v>146000</v>
      </c>
      <c r="T45" s="1034">
        <f t="shared" si="9"/>
        <v>196000</v>
      </c>
    </row>
    <row r="46" spans="1:20" s="657" customFormat="1" ht="25.5" customHeight="1">
      <c r="A46" s="286" t="s">
        <v>72</v>
      </c>
      <c r="B46" s="1035" t="s">
        <v>1456</v>
      </c>
      <c r="C46" s="508">
        <f t="shared" ref="C46:C52" si="10">SUM(D46:T46)</f>
        <v>2178000</v>
      </c>
      <c r="D46" s="1036">
        <v>111000</v>
      </c>
      <c r="E46" s="1036">
        <v>103000</v>
      </c>
      <c r="F46" s="1036">
        <v>148000</v>
      </c>
      <c r="G46" s="1036">
        <v>148000</v>
      </c>
      <c r="H46" s="1036">
        <v>124000</v>
      </c>
      <c r="I46" s="1036">
        <v>116000</v>
      </c>
      <c r="J46" s="1036">
        <v>119000</v>
      </c>
      <c r="K46" s="1036">
        <v>126000</v>
      </c>
      <c r="L46" s="1036">
        <v>110000</v>
      </c>
      <c r="M46" s="1036">
        <v>127000</v>
      </c>
      <c r="N46" s="1036">
        <v>122000</v>
      </c>
      <c r="O46" s="1036">
        <v>148000</v>
      </c>
      <c r="P46" s="1036">
        <v>166000</v>
      </c>
      <c r="Q46" s="1036">
        <v>130000</v>
      </c>
      <c r="R46" s="1036">
        <v>116000</v>
      </c>
      <c r="S46" s="1036">
        <v>116000</v>
      </c>
      <c r="T46" s="1036">
        <v>148000</v>
      </c>
    </row>
    <row r="47" spans="1:20" s="657" customFormat="1" ht="25.5" customHeight="1">
      <c r="A47" s="286" t="s">
        <v>72</v>
      </c>
      <c r="B47" s="1035" t="s">
        <v>1457</v>
      </c>
      <c r="C47" s="508">
        <f t="shared" si="10"/>
        <v>548000</v>
      </c>
      <c r="D47" s="1036">
        <v>30000</v>
      </c>
      <c r="E47" s="1036">
        <v>36000</v>
      </c>
      <c r="F47" s="1036">
        <v>30000</v>
      </c>
      <c r="G47" s="1036">
        <v>30000</v>
      </c>
      <c r="H47" s="1036">
        <v>27000</v>
      </c>
      <c r="I47" s="1036">
        <v>27000</v>
      </c>
      <c r="J47" s="1036">
        <v>23000</v>
      </c>
      <c r="K47" s="1036">
        <v>21000</v>
      </c>
      <c r="L47" s="1036">
        <v>37000</v>
      </c>
      <c r="M47" s="1036">
        <v>38000</v>
      </c>
      <c r="N47" s="1036">
        <v>33000</v>
      </c>
      <c r="O47" s="1036">
        <v>50000</v>
      </c>
      <c r="P47" s="1036">
        <v>35000</v>
      </c>
      <c r="Q47" s="1036">
        <v>23000</v>
      </c>
      <c r="R47" s="1036">
        <v>30000</v>
      </c>
      <c r="S47" s="1036">
        <v>30000</v>
      </c>
      <c r="T47" s="1036">
        <v>48000</v>
      </c>
    </row>
    <row r="48" spans="1:20" s="657" customFormat="1" ht="25.5" customHeight="1">
      <c r="A48" s="284" t="s">
        <v>178</v>
      </c>
      <c r="B48" s="285" t="s">
        <v>1376</v>
      </c>
      <c r="C48" s="1016">
        <f>+C49+C50</f>
        <v>295000</v>
      </c>
      <c r="D48" s="1016">
        <f t="shared" ref="D48:T48" si="11">+D49+D50</f>
        <v>140000</v>
      </c>
      <c r="E48" s="1016">
        <f t="shared" si="11"/>
        <v>0</v>
      </c>
      <c r="F48" s="1016">
        <f t="shared" si="11"/>
        <v>60000</v>
      </c>
      <c r="G48" s="1016">
        <f t="shared" si="11"/>
        <v>0</v>
      </c>
      <c r="H48" s="1016">
        <f t="shared" si="11"/>
        <v>0</v>
      </c>
      <c r="I48" s="1016">
        <f t="shared" si="11"/>
        <v>0</v>
      </c>
      <c r="J48" s="1016">
        <f t="shared" si="11"/>
        <v>0</v>
      </c>
      <c r="K48" s="1016">
        <f t="shared" si="11"/>
        <v>15000</v>
      </c>
      <c r="L48" s="1016">
        <f t="shared" si="11"/>
        <v>0</v>
      </c>
      <c r="M48" s="1016">
        <f t="shared" si="11"/>
        <v>65000</v>
      </c>
      <c r="N48" s="1016">
        <f t="shared" si="11"/>
        <v>0</v>
      </c>
      <c r="O48" s="1016">
        <f t="shared" si="11"/>
        <v>0</v>
      </c>
      <c r="P48" s="1016">
        <f t="shared" si="11"/>
        <v>0</v>
      </c>
      <c r="Q48" s="1016">
        <f t="shared" si="11"/>
        <v>0</v>
      </c>
      <c r="R48" s="1016">
        <f t="shared" si="11"/>
        <v>15000</v>
      </c>
      <c r="S48" s="1016">
        <f t="shared" si="11"/>
        <v>0</v>
      </c>
      <c r="T48" s="1016">
        <f t="shared" si="11"/>
        <v>0</v>
      </c>
    </row>
    <row r="49" spans="1:20" s="657" customFormat="1" ht="49.5" customHeight="1">
      <c r="A49" s="286" t="s">
        <v>72</v>
      </c>
      <c r="B49" s="1035" t="s">
        <v>1455</v>
      </c>
      <c r="C49" s="508">
        <f>SUM(D49:T49)</f>
        <v>235000</v>
      </c>
      <c r="D49" s="1036">
        <v>140000</v>
      </c>
      <c r="E49" s="1036"/>
      <c r="F49" s="1036"/>
      <c r="G49" s="1036"/>
      <c r="H49" s="1036"/>
      <c r="I49" s="1036"/>
      <c r="J49" s="1036"/>
      <c r="K49" s="1036">
        <v>15000</v>
      </c>
      <c r="L49" s="1036"/>
      <c r="M49" s="1036">
        <v>65000</v>
      </c>
      <c r="N49" s="1036"/>
      <c r="O49" s="1036"/>
      <c r="P49" s="1036"/>
      <c r="Q49" s="1036"/>
      <c r="R49" s="1036">
        <v>15000</v>
      </c>
      <c r="S49" s="1036"/>
      <c r="T49" s="1036"/>
    </row>
    <row r="50" spans="1:20" s="657" customFormat="1" ht="26.25" customHeight="1">
      <c r="A50" s="286" t="s">
        <v>72</v>
      </c>
      <c r="B50" s="509" t="s">
        <v>1458</v>
      </c>
      <c r="C50" s="508">
        <f>SUM(D50:T50)</f>
        <v>60000</v>
      </c>
      <c r="D50" s="1037"/>
      <c r="E50" s="1037"/>
      <c r="F50" s="1037">
        <v>60000</v>
      </c>
      <c r="G50" s="1037"/>
      <c r="H50" s="1037"/>
      <c r="I50" s="1037"/>
      <c r="J50" s="1037"/>
      <c r="K50" s="1037"/>
      <c r="L50" s="1037"/>
      <c r="M50" s="1037"/>
      <c r="N50" s="1037"/>
      <c r="O50" s="1037"/>
      <c r="P50" s="1037"/>
      <c r="Q50" s="1037"/>
      <c r="R50" s="1037"/>
      <c r="S50" s="1037"/>
      <c r="T50" s="1037"/>
    </row>
    <row r="51" spans="1:20" s="657" customFormat="1" ht="25.5" customHeight="1">
      <c r="A51" s="284" t="s">
        <v>153</v>
      </c>
      <c r="B51" s="285" t="s">
        <v>458</v>
      </c>
      <c r="C51" s="1038">
        <f>SUM(C52:C54)</f>
        <v>4582000</v>
      </c>
      <c r="D51" s="1038">
        <f t="shared" ref="D51:S51" si="12">SUM(D52:D54)</f>
        <v>0</v>
      </c>
      <c r="E51" s="1038">
        <f t="shared" si="12"/>
        <v>0</v>
      </c>
      <c r="F51" s="1038">
        <f t="shared" si="12"/>
        <v>909400</v>
      </c>
      <c r="G51" s="1038">
        <f t="shared" si="12"/>
        <v>0</v>
      </c>
      <c r="H51" s="1038">
        <f t="shared" si="12"/>
        <v>0</v>
      </c>
      <c r="I51" s="1038">
        <f t="shared" si="12"/>
        <v>0</v>
      </c>
      <c r="J51" s="1038">
        <f t="shared" si="12"/>
        <v>0</v>
      </c>
      <c r="K51" s="1038">
        <f t="shared" si="12"/>
        <v>0</v>
      </c>
      <c r="L51" s="1038">
        <f t="shared" si="12"/>
        <v>0</v>
      </c>
      <c r="M51" s="1038">
        <f t="shared" si="12"/>
        <v>0</v>
      </c>
      <c r="N51" s="1038">
        <f t="shared" si="12"/>
        <v>0</v>
      </c>
      <c r="O51" s="1038">
        <f t="shared" si="12"/>
        <v>0</v>
      </c>
      <c r="P51" s="1038">
        <f t="shared" si="12"/>
        <v>321700</v>
      </c>
      <c r="Q51" s="1038">
        <f t="shared" si="12"/>
        <v>0</v>
      </c>
      <c r="R51" s="1038">
        <f t="shared" si="12"/>
        <v>0</v>
      </c>
      <c r="S51" s="1038">
        <f t="shared" si="12"/>
        <v>0</v>
      </c>
      <c r="T51" s="1038">
        <f>SUM(T52:T54)</f>
        <v>3350900</v>
      </c>
    </row>
    <row r="52" spans="1:20" s="657" customFormat="1" ht="25.5" customHeight="1">
      <c r="A52" s="286" t="s">
        <v>72</v>
      </c>
      <c r="B52" s="509" t="s">
        <v>413</v>
      </c>
      <c r="C52" s="508">
        <f t="shared" si="10"/>
        <v>1500000</v>
      </c>
      <c r="D52" s="1039"/>
      <c r="E52" s="1039"/>
      <c r="F52" s="1037">
        <v>909400</v>
      </c>
      <c r="G52" s="1039"/>
      <c r="H52" s="1039"/>
      <c r="I52" s="1039"/>
      <c r="J52" s="1039"/>
      <c r="K52" s="1039"/>
      <c r="L52" s="1039"/>
      <c r="M52" s="1039"/>
      <c r="N52" s="1039"/>
      <c r="O52" s="1039"/>
      <c r="P52" s="1037">
        <v>321700</v>
      </c>
      <c r="Q52" s="1037"/>
      <c r="R52" s="1037"/>
      <c r="S52" s="1037"/>
      <c r="T52" s="1037">
        <v>268900</v>
      </c>
    </row>
    <row r="53" spans="1:20" s="657" customFormat="1" ht="26.25" customHeight="1">
      <c r="A53" s="286" t="s">
        <v>72</v>
      </c>
      <c r="B53" s="1031" t="s">
        <v>1459</v>
      </c>
      <c r="C53" s="508">
        <f>SUM(D53:T53)</f>
        <v>83000</v>
      </c>
      <c r="D53" s="1037"/>
      <c r="E53" s="1037"/>
      <c r="F53" s="1037"/>
      <c r="G53" s="1037"/>
      <c r="H53" s="1037"/>
      <c r="I53" s="1037"/>
      <c r="J53" s="1037"/>
      <c r="K53" s="1037"/>
      <c r="L53" s="1037"/>
      <c r="M53" s="1037"/>
      <c r="N53" s="1037"/>
      <c r="O53" s="1037"/>
      <c r="P53" s="1037"/>
      <c r="Q53" s="1037"/>
      <c r="R53" s="1037"/>
      <c r="S53" s="1037"/>
      <c r="T53" s="1037">
        <v>83000</v>
      </c>
    </row>
    <row r="54" spans="1:20" s="657" customFormat="1" ht="25.5" customHeight="1">
      <c r="A54" s="286" t="s">
        <v>72</v>
      </c>
      <c r="B54" s="507" t="s">
        <v>1545</v>
      </c>
      <c r="C54" s="508">
        <f>SUM(D54:T54)</f>
        <v>2999000</v>
      </c>
      <c r="D54" s="1039"/>
      <c r="E54" s="1039"/>
      <c r="F54" s="1037"/>
      <c r="G54" s="1039"/>
      <c r="H54" s="1039"/>
      <c r="I54" s="1039"/>
      <c r="J54" s="1039"/>
      <c r="K54" s="1039"/>
      <c r="L54" s="1039"/>
      <c r="M54" s="1039"/>
      <c r="N54" s="1039"/>
      <c r="O54" s="1039"/>
      <c r="P54" s="1037"/>
      <c r="Q54" s="1037"/>
      <c r="R54" s="1037"/>
      <c r="S54" s="1037"/>
      <c r="T54" s="1037">
        <v>2999000</v>
      </c>
    </row>
    <row r="55" spans="1:20" s="1018" customFormat="1" ht="22.5" customHeight="1">
      <c r="A55" s="1019">
        <v>2</v>
      </c>
      <c r="B55" s="1040" t="s">
        <v>436</v>
      </c>
      <c r="C55" s="1041">
        <f>SUM(C56:C57)</f>
        <v>45365890</v>
      </c>
      <c r="D55" s="1041">
        <f t="shared" ref="D55:T55" si="13">SUM(D56:D57)</f>
        <v>4524780</v>
      </c>
      <c r="E55" s="1041">
        <f t="shared" si="13"/>
        <v>3713540</v>
      </c>
      <c r="F55" s="1041">
        <f t="shared" si="13"/>
        <v>949880</v>
      </c>
      <c r="G55" s="1041">
        <f t="shared" si="13"/>
        <v>3812800</v>
      </c>
      <c r="H55" s="1041">
        <f t="shared" si="13"/>
        <v>2128330</v>
      </c>
      <c r="I55" s="1041">
        <f t="shared" si="13"/>
        <v>3715170</v>
      </c>
      <c r="J55" s="1041">
        <f t="shared" si="13"/>
        <v>1851920</v>
      </c>
      <c r="K55" s="1041">
        <f t="shared" si="13"/>
        <v>1530750</v>
      </c>
      <c r="L55" s="1041">
        <f t="shared" si="13"/>
        <v>2887440</v>
      </c>
      <c r="M55" s="1041">
        <f t="shared" si="13"/>
        <v>4124550</v>
      </c>
      <c r="N55" s="1041">
        <f t="shared" si="13"/>
        <v>2434700</v>
      </c>
      <c r="O55" s="1041">
        <f t="shared" si="13"/>
        <v>977600</v>
      </c>
      <c r="P55" s="1041">
        <f t="shared" si="13"/>
        <v>1823490</v>
      </c>
      <c r="Q55" s="1041">
        <f t="shared" si="13"/>
        <v>2901940</v>
      </c>
      <c r="R55" s="1041">
        <f t="shared" si="13"/>
        <v>3715450</v>
      </c>
      <c r="S55" s="1041">
        <f t="shared" si="13"/>
        <v>3457010</v>
      </c>
      <c r="T55" s="1041">
        <f t="shared" si="13"/>
        <v>816540</v>
      </c>
    </row>
    <row r="56" spans="1:20" s="657" customFormat="1" ht="22.5" customHeight="1">
      <c r="A56" s="1021"/>
      <c r="B56" s="643" t="s">
        <v>437</v>
      </c>
      <c r="C56" s="508">
        <f>SUM(D56:T56)</f>
        <v>43455890</v>
      </c>
      <c r="D56" s="1037">
        <v>4474780</v>
      </c>
      <c r="E56" s="1037">
        <v>3703540</v>
      </c>
      <c r="F56" s="1037">
        <v>939880</v>
      </c>
      <c r="G56" s="1037">
        <v>3657800</v>
      </c>
      <c r="H56" s="1037">
        <v>1973330</v>
      </c>
      <c r="I56" s="1037">
        <v>3230170</v>
      </c>
      <c r="J56" s="1037">
        <v>1606920</v>
      </c>
      <c r="K56" s="1037">
        <v>1335750</v>
      </c>
      <c r="L56" s="1037">
        <v>2877440</v>
      </c>
      <c r="M56" s="1037">
        <v>3914550</v>
      </c>
      <c r="N56" s="1037">
        <v>2374700</v>
      </c>
      <c r="O56" s="1037">
        <v>967600</v>
      </c>
      <c r="P56" s="1037">
        <v>1763490</v>
      </c>
      <c r="Q56" s="1037">
        <v>2891940</v>
      </c>
      <c r="R56" s="1037">
        <v>3625450</v>
      </c>
      <c r="S56" s="1037">
        <v>3302010</v>
      </c>
      <c r="T56" s="1037">
        <v>816540</v>
      </c>
    </row>
    <row r="57" spans="1:20" s="657" customFormat="1" ht="22.5" customHeight="1">
      <c r="A57" s="1021"/>
      <c r="B57" s="643" t="s">
        <v>438</v>
      </c>
      <c r="C57" s="508">
        <f>SUM(D57:T57)</f>
        <v>1910000</v>
      </c>
      <c r="D57" s="1037">
        <v>50000</v>
      </c>
      <c r="E57" s="1037">
        <v>10000</v>
      </c>
      <c r="F57" s="1037">
        <v>10000</v>
      </c>
      <c r="G57" s="1037">
        <v>155000</v>
      </c>
      <c r="H57" s="1037">
        <v>155000</v>
      </c>
      <c r="I57" s="1037">
        <v>485000</v>
      </c>
      <c r="J57" s="1037">
        <v>245000</v>
      </c>
      <c r="K57" s="1037">
        <v>195000</v>
      </c>
      <c r="L57" s="1037">
        <v>10000</v>
      </c>
      <c r="M57" s="1037">
        <v>210000</v>
      </c>
      <c r="N57" s="1037">
        <v>60000</v>
      </c>
      <c r="O57" s="1037">
        <v>10000</v>
      </c>
      <c r="P57" s="1037">
        <v>60000</v>
      </c>
      <c r="Q57" s="1037">
        <v>10000</v>
      </c>
      <c r="R57" s="1037">
        <v>90000</v>
      </c>
      <c r="S57" s="1037">
        <v>155000</v>
      </c>
      <c r="T57" s="1037">
        <v>0</v>
      </c>
    </row>
    <row r="58" spans="1:20" s="1045" customFormat="1" ht="22.5" customHeight="1">
      <c r="A58" s="1042" t="s">
        <v>212</v>
      </c>
      <c r="B58" s="1043" t="s">
        <v>593</v>
      </c>
      <c r="C58" s="1044">
        <f t="shared" ref="C58:T58" si="14">SUM(C59:C60)</f>
        <v>2606440</v>
      </c>
      <c r="D58" s="1044">
        <f t="shared" si="14"/>
        <v>50000</v>
      </c>
      <c r="E58" s="1044">
        <f t="shared" si="14"/>
        <v>10000</v>
      </c>
      <c r="F58" s="1044">
        <f t="shared" si="14"/>
        <v>10000</v>
      </c>
      <c r="G58" s="1044">
        <f t="shared" si="14"/>
        <v>155000</v>
      </c>
      <c r="H58" s="1044">
        <f t="shared" si="14"/>
        <v>155000</v>
      </c>
      <c r="I58" s="1044">
        <f t="shared" si="14"/>
        <v>485000</v>
      </c>
      <c r="J58" s="1044">
        <f t="shared" si="14"/>
        <v>245000</v>
      </c>
      <c r="K58" s="1044">
        <f t="shared" si="14"/>
        <v>195000</v>
      </c>
      <c r="L58" s="1044">
        <f t="shared" si="14"/>
        <v>10000</v>
      </c>
      <c r="M58" s="1044">
        <f t="shared" si="14"/>
        <v>210000</v>
      </c>
      <c r="N58" s="1044">
        <f t="shared" si="14"/>
        <v>60000</v>
      </c>
      <c r="O58" s="1044">
        <f t="shared" si="14"/>
        <v>10000</v>
      </c>
      <c r="P58" s="1044">
        <f t="shared" si="14"/>
        <v>756440</v>
      </c>
      <c r="Q58" s="1044">
        <f t="shared" si="14"/>
        <v>10000</v>
      </c>
      <c r="R58" s="1044">
        <f t="shared" si="14"/>
        <v>90000</v>
      </c>
      <c r="S58" s="1044">
        <f t="shared" si="14"/>
        <v>155000</v>
      </c>
      <c r="T58" s="1044">
        <f t="shared" si="14"/>
        <v>0</v>
      </c>
    </row>
    <row r="59" spans="1:20" s="657" customFormat="1" ht="22.5" customHeight="1">
      <c r="A59" s="1019"/>
      <c r="B59" s="509" t="s">
        <v>437</v>
      </c>
      <c r="C59" s="508">
        <f>SUM(D59:T59)</f>
        <v>696440</v>
      </c>
      <c r="D59" s="1037"/>
      <c r="E59" s="1037"/>
      <c r="F59" s="1037"/>
      <c r="G59" s="1037"/>
      <c r="H59" s="1037"/>
      <c r="I59" s="1037"/>
      <c r="J59" s="1037"/>
      <c r="K59" s="1037"/>
      <c r="L59" s="1037"/>
      <c r="M59" s="1037"/>
      <c r="N59" s="1037"/>
      <c r="O59" s="1037"/>
      <c r="P59" s="1037">
        <v>696440</v>
      </c>
      <c r="Q59" s="1037"/>
      <c r="R59" s="1037"/>
      <c r="S59" s="1037"/>
      <c r="T59" s="1037"/>
    </row>
    <row r="60" spans="1:20" s="657" customFormat="1" ht="22.5" customHeight="1">
      <c r="A60" s="1019"/>
      <c r="B60" s="509" t="s">
        <v>438</v>
      </c>
      <c r="C60" s="508">
        <f>SUM(D60:T60)</f>
        <v>1910000</v>
      </c>
      <c r="D60" s="1037">
        <v>50000</v>
      </c>
      <c r="E60" s="1037">
        <v>10000</v>
      </c>
      <c r="F60" s="1037">
        <v>10000</v>
      </c>
      <c r="G60" s="1037">
        <v>155000</v>
      </c>
      <c r="H60" s="1037">
        <v>155000</v>
      </c>
      <c r="I60" s="1037">
        <v>485000</v>
      </c>
      <c r="J60" s="1037">
        <v>245000</v>
      </c>
      <c r="K60" s="1037">
        <v>195000</v>
      </c>
      <c r="L60" s="1037">
        <v>10000</v>
      </c>
      <c r="M60" s="1037">
        <v>210000</v>
      </c>
      <c r="N60" s="1037">
        <v>60000</v>
      </c>
      <c r="O60" s="1037">
        <v>10000</v>
      </c>
      <c r="P60" s="1037">
        <v>60000</v>
      </c>
      <c r="Q60" s="1037">
        <v>10000</v>
      </c>
      <c r="R60" s="1037">
        <v>90000</v>
      </c>
      <c r="S60" s="1037">
        <v>155000</v>
      </c>
      <c r="T60" s="1037"/>
    </row>
    <row r="61" spans="1:20" s="1045" customFormat="1" ht="22.5" customHeight="1">
      <c r="A61" s="1042" t="s">
        <v>213</v>
      </c>
      <c r="B61" s="1043" t="s">
        <v>535</v>
      </c>
      <c r="C61" s="1044">
        <f t="shared" ref="C61:T61" si="15">SUM(C62:C63)</f>
        <v>0</v>
      </c>
      <c r="D61" s="1044">
        <f t="shared" si="15"/>
        <v>0</v>
      </c>
      <c r="E61" s="1044">
        <f t="shared" si="15"/>
        <v>0</v>
      </c>
      <c r="F61" s="1044">
        <f t="shared" si="15"/>
        <v>0</v>
      </c>
      <c r="G61" s="1044">
        <f t="shared" si="15"/>
        <v>0</v>
      </c>
      <c r="H61" s="1044">
        <f t="shared" si="15"/>
        <v>0</v>
      </c>
      <c r="I61" s="1044">
        <f t="shared" si="15"/>
        <v>0</v>
      </c>
      <c r="J61" s="1044">
        <f t="shared" si="15"/>
        <v>0</v>
      </c>
      <c r="K61" s="1044">
        <f t="shared" si="15"/>
        <v>0</v>
      </c>
      <c r="L61" s="1044">
        <f t="shared" si="15"/>
        <v>0</v>
      </c>
      <c r="M61" s="1044">
        <f t="shared" si="15"/>
        <v>0</v>
      </c>
      <c r="N61" s="1044">
        <f t="shared" si="15"/>
        <v>0</v>
      </c>
      <c r="O61" s="1044">
        <f t="shared" si="15"/>
        <v>0</v>
      </c>
      <c r="P61" s="1044">
        <f t="shared" si="15"/>
        <v>0</v>
      </c>
      <c r="Q61" s="1044">
        <f t="shared" si="15"/>
        <v>0</v>
      </c>
      <c r="R61" s="1044">
        <f t="shared" si="15"/>
        <v>0</v>
      </c>
      <c r="S61" s="1044">
        <f t="shared" si="15"/>
        <v>0</v>
      </c>
      <c r="T61" s="1044">
        <f t="shared" si="15"/>
        <v>0</v>
      </c>
    </row>
    <row r="62" spans="1:20" s="657" customFormat="1" ht="22.5" customHeight="1">
      <c r="A62" s="1019"/>
      <c r="B62" s="509" t="s">
        <v>437</v>
      </c>
      <c r="C62" s="508">
        <f t="shared" ref="C62:C63" si="16">SUM(D62:T62)</f>
        <v>0</v>
      </c>
      <c r="D62" s="1037"/>
      <c r="E62" s="1037"/>
      <c r="F62" s="1037"/>
      <c r="G62" s="1037"/>
      <c r="H62" s="1037"/>
      <c r="I62" s="1037"/>
      <c r="J62" s="1037"/>
      <c r="K62" s="1037"/>
      <c r="L62" s="1037"/>
      <c r="M62" s="1037"/>
      <c r="N62" s="1037"/>
      <c r="O62" s="1037"/>
      <c r="P62" s="1037"/>
      <c r="Q62" s="1037"/>
      <c r="R62" s="1037"/>
      <c r="S62" s="1037"/>
      <c r="T62" s="1037"/>
    </row>
    <row r="63" spans="1:20" s="657" customFormat="1" ht="22.5" customHeight="1">
      <c r="A63" s="1019"/>
      <c r="B63" s="509" t="s">
        <v>438</v>
      </c>
      <c r="C63" s="508">
        <f t="shared" si="16"/>
        <v>0</v>
      </c>
      <c r="D63" s="1037">
        <f>+'[3]K in- CT xã 2025'!F145</f>
        <v>0</v>
      </c>
      <c r="E63" s="1037">
        <f>+'[3]K in- CT xã 2025'!H145</f>
        <v>0</v>
      </c>
      <c r="F63" s="1037">
        <f>+'[3]K in- CT xã 2025'!J145</f>
        <v>0</v>
      </c>
      <c r="G63" s="1037">
        <f>+'[3]K in- CT xã 2025'!L145</f>
        <v>0</v>
      </c>
      <c r="H63" s="1037">
        <f>+'[3]K in- CT xã 2025'!N145</f>
        <v>0</v>
      </c>
      <c r="I63" s="1037">
        <f>+'[3]K in- CT xã 2025'!P145</f>
        <v>0</v>
      </c>
      <c r="J63" s="1037">
        <f>+'[3]K in- CT xã 2025'!R145</f>
        <v>0</v>
      </c>
      <c r="K63" s="1037">
        <f>+'[3]K in- CT xã 2025'!T145</f>
        <v>0</v>
      </c>
      <c r="L63" s="1037">
        <f>+'[3]K in- CT xã 2025'!V145</f>
        <v>0</v>
      </c>
      <c r="M63" s="1037">
        <f>+'[3]K in- CT xã 2025'!X145</f>
        <v>0</v>
      </c>
      <c r="N63" s="1037">
        <f>+'[3]K in- CT xã 2025'!Z145</f>
        <v>0</v>
      </c>
      <c r="O63" s="1037">
        <f>+'[3]K in- CT xã 2025'!AB145</f>
        <v>0</v>
      </c>
      <c r="P63" s="1037">
        <f>+'[3]K in- CT xã 2025'!AD145</f>
        <v>0</v>
      </c>
      <c r="Q63" s="1037">
        <f>+'[3]K in- CT xã 2025'!AF145</f>
        <v>0</v>
      </c>
      <c r="R63" s="1037">
        <f>+'[3]K in- CT xã 2025'!AH145</f>
        <v>0</v>
      </c>
      <c r="S63" s="1037">
        <f>+'[3]K in- CT xã 2025'!AJ145</f>
        <v>0</v>
      </c>
      <c r="T63" s="1037">
        <f>+'[3]K in- CT xã 2025'!AL145</f>
        <v>0</v>
      </c>
    </row>
    <row r="64" spans="1:20" s="1045" customFormat="1" ht="33.75" customHeight="1">
      <c r="A64" s="1042" t="s">
        <v>214</v>
      </c>
      <c r="B64" s="1043" t="s">
        <v>536</v>
      </c>
      <c r="C64" s="1044">
        <f>SUM(C65:C66)</f>
        <v>42759450</v>
      </c>
      <c r="D64" s="1044">
        <f>SUM(D65:D66)</f>
        <v>4474780</v>
      </c>
      <c r="E64" s="1044">
        <f t="shared" ref="E64:T64" si="17">SUM(E65:E66)</f>
        <v>3703540</v>
      </c>
      <c r="F64" s="1044">
        <f t="shared" si="17"/>
        <v>939880</v>
      </c>
      <c r="G64" s="1044">
        <f t="shared" si="17"/>
        <v>3657800</v>
      </c>
      <c r="H64" s="1044">
        <f t="shared" si="17"/>
        <v>1973330</v>
      </c>
      <c r="I64" s="1044">
        <f t="shared" si="17"/>
        <v>3230170</v>
      </c>
      <c r="J64" s="1044">
        <f t="shared" si="17"/>
        <v>1606920</v>
      </c>
      <c r="K64" s="1044">
        <f t="shared" si="17"/>
        <v>1335750</v>
      </c>
      <c r="L64" s="1044">
        <f t="shared" si="17"/>
        <v>2877440</v>
      </c>
      <c r="M64" s="1044">
        <f t="shared" si="17"/>
        <v>3914550</v>
      </c>
      <c r="N64" s="1044">
        <f t="shared" si="17"/>
        <v>2374700</v>
      </c>
      <c r="O64" s="1044">
        <f t="shared" si="17"/>
        <v>967600</v>
      </c>
      <c r="P64" s="1044">
        <f t="shared" si="17"/>
        <v>1067050</v>
      </c>
      <c r="Q64" s="1044">
        <f t="shared" si="17"/>
        <v>2891940</v>
      </c>
      <c r="R64" s="1044">
        <f t="shared" si="17"/>
        <v>3625450</v>
      </c>
      <c r="S64" s="1044">
        <f t="shared" si="17"/>
        <v>3302010</v>
      </c>
      <c r="T64" s="1044">
        <f t="shared" si="17"/>
        <v>816540</v>
      </c>
    </row>
    <row r="65" spans="1:20" s="657" customFormat="1" ht="23.25" customHeight="1">
      <c r="A65" s="1019"/>
      <c r="B65" s="509" t="s">
        <v>437</v>
      </c>
      <c r="C65" s="508">
        <f>SUM(D65:T65)</f>
        <v>42759450</v>
      </c>
      <c r="D65" s="1037">
        <v>4474780</v>
      </c>
      <c r="E65" s="1037">
        <v>3703540</v>
      </c>
      <c r="F65" s="1037">
        <v>939880</v>
      </c>
      <c r="G65" s="1037">
        <v>3657800</v>
      </c>
      <c r="H65" s="1037">
        <v>1973330</v>
      </c>
      <c r="I65" s="1037">
        <v>3230170</v>
      </c>
      <c r="J65" s="1037">
        <v>1606920</v>
      </c>
      <c r="K65" s="1037">
        <v>1335750</v>
      </c>
      <c r="L65" s="1037">
        <v>2877440</v>
      </c>
      <c r="M65" s="1037">
        <v>3914550</v>
      </c>
      <c r="N65" s="1037">
        <v>2374700</v>
      </c>
      <c r="O65" s="1037">
        <v>967600</v>
      </c>
      <c r="P65" s="1037">
        <v>1067050</v>
      </c>
      <c r="Q65" s="1037">
        <v>2891940</v>
      </c>
      <c r="R65" s="1037">
        <v>3625450</v>
      </c>
      <c r="S65" s="1037">
        <v>3302010</v>
      </c>
      <c r="T65" s="1037">
        <v>816540</v>
      </c>
    </row>
    <row r="66" spans="1:20" s="657" customFormat="1" ht="23.25" customHeight="1">
      <c r="A66" s="1019"/>
      <c r="B66" s="509" t="s">
        <v>438</v>
      </c>
      <c r="C66" s="508">
        <f t="shared" ref="C66:C69" si="18">SUM(D66:T66)</f>
        <v>0</v>
      </c>
      <c r="D66" s="1037">
        <v>0</v>
      </c>
      <c r="E66" s="1037">
        <v>0</v>
      </c>
      <c r="F66" s="1037">
        <v>0</v>
      </c>
      <c r="G66" s="1037">
        <v>0</v>
      </c>
      <c r="H66" s="1037">
        <v>0</v>
      </c>
      <c r="I66" s="1037">
        <v>0</v>
      </c>
      <c r="J66" s="1037">
        <v>0</v>
      </c>
      <c r="K66" s="1037">
        <v>0</v>
      </c>
      <c r="L66" s="1037">
        <v>0</v>
      </c>
      <c r="M66" s="1037">
        <v>0</v>
      </c>
      <c r="N66" s="1037">
        <v>0</v>
      </c>
      <c r="O66" s="1037">
        <v>0</v>
      </c>
      <c r="P66" s="1037">
        <v>0</v>
      </c>
      <c r="Q66" s="1037">
        <v>0</v>
      </c>
      <c r="R66" s="1037">
        <v>0</v>
      </c>
      <c r="S66" s="1037">
        <v>0</v>
      </c>
      <c r="T66" s="1037">
        <v>0</v>
      </c>
    </row>
    <row r="67" spans="1:20" s="657" customFormat="1" ht="23.25" customHeight="1">
      <c r="A67" s="1019">
        <v>3</v>
      </c>
      <c r="B67" s="1040" t="s">
        <v>621</v>
      </c>
      <c r="C67" s="1016">
        <f>SUM(C68:C69)</f>
        <v>200000</v>
      </c>
      <c r="D67" s="1016">
        <f t="shared" ref="D67:T67" si="19">SUM(D68:D69)</f>
        <v>0</v>
      </c>
      <c r="E67" s="1016">
        <f t="shared" si="19"/>
        <v>100000</v>
      </c>
      <c r="F67" s="1016">
        <f t="shared" si="19"/>
        <v>0</v>
      </c>
      <c r="G67" s="1016">
        <f t="shared" si="19"/>
        <v>0</v>
      </c>
      <c r="H67" s="1016">
        <f t="shared" si="19"/>
        <v>0</v>
      </c>
      <c r="I67" s="1016">
        <f>SUM(I68:I69)</f>
        <v>0</v>
      </c>
      <c r="J67" s="1016">
        <f t="shared" si="19"/>
        <v>0</v>
      </c>
      <c r="K67" s="1016">
        <f t="shared" si="19"/>
        <v>0</v>
      </c>
      <c r="L67" s="1016">
        <f t="shared" si="19"/>
        <v>0</v>
      </c>
      <c r="M67" s="1016">
        <f t="shared" si="19"/>
        <v>0</v>
      </c>
      <c r="N67" s="1016">
        <f t="shared" si="19"/>
        <v>0</v>
      </c>
      <c r="O67" s="1016">
        <f t="shared" si="19"/>
        <v>0</v>
      </c>
      <c r="P67" s="1016">
        <f t="shared" si="19"/>
        <v>100000</v>
      </c>
      <c r="Q67" s="1016">
        <f t="shared" si="19"/>
        <v>0</v>
      </c>
      <c r="R67" s="1016">
        <f t="shared" si="19"/>
        <v>0</v>
      </c>
      <c r="S67" s="1016">
        <f t="shared" si="19"/>
        <v>0</v>
      </c>
      <c r="T67" s="1016">
        <f t="shared" si="19"/>
        <v>0</v>
      </c>
    </row>
    <row r="68" spans="1:20" s="657" customFormat="1" ht="23.25" customHeight="1">
      <c r="A68" s="1019" t="s">
        <v>72</v>
      </c>
      <c r="B68" s="509" t="s">
        <v>622</v>
      </c>
      <c r="C68" s="508">
        <f t="shared" si="18"/>
        <v>0</v>
      </c>
      <c r="D68" s="1023"/>
      <c r="E68" s="1023"/>
      <c r="F68" s="1023"/>
      <c r="G68" s="1037"/>
      <c r="H68" s="1037"/>
      <c r="I68" s="1037"/>
      <c r="J68" s="1023"/>
      <c r="K68" s="1037"/>
      <c r="L68" s="1023"/>
      <c r="M68" s="1023"/>
      <c r="N68" s="1023"/>
      <c r="O68" s="1023"/>
      <c r="P68" s="1023"/>
      <c r="Q68" s="1023"/>
      <c r="R68" s="1037"/>
      <c r="S68" s="1037"/>
      <c r="T68" s="1023"/>
    </row>
    <row r="69" spans="1:20" s="657" customFormat="1" ht="23.25" customHeight="1">
      <c r="A69" s="1046" t="s">
        <v>72</v>
      </c>
      <c r="B69" s="510" t="s">
        <v>623</v>
      </c>
      <c r="C69" s="1047">
        <f t="shared" si="18"/>
        <v>200000</v>
      </c>
      <c r="D69" s="1048"/>
      <c r="E69" s="1049">
        <v>100000</v>
      </c>
      <c r="F69" s="1048"/>
      <c r="G69" s="1048"/>
      <c r="H69" s="1048"/>
      <c r="I69" s="1048"/>
      <c r="J69" s="1048"/>
      <c r="K69" s="1048"/>
      <c r="L69" s="1048"/>
      <c r="M69" s="1048"/>
      <c r="N69" s="1048"/>
      <c r="O69" s="1048"/>
      <c r="P69" s="1049">
        <v>100000</v>
      </c>
      <c r="Q69" s="1048"/>
      <c r="R69" s="1048"/>
      <c r="S69" s="1048"/>
      <c r="T69" s="1048"/>
    </row>
    <row r="72" spans="1:20">
      <c r="C72" s="1005"/>
    </row>
  </sheetData>
  <mergeCells count="22">
    <mergeCell ref="H6:H7"/>
    <mergeCell ref="L6:L7"/>
    <mergeCell ref="K6:K7"/>
    <mergeCell ref="F6:F7"/>
    <mergeCell ref="I6:I7"/>
    <mergeCell ref="G6:G7"/>
    <mergeCell ref="E6:E7"/>
    <mergeCell ref="D6:D7"/>
    <mergeCell ref="C6:C7"/>
    <mergeCell ref="A2:C2"/>
    <mergeCell ref="A6:A7"/>
    <mergeCell ref="B6:B7"/>
    <mergeCell ref="A3:B3"/>
    <mergeCell ref="T6:T7"/>
    <mergeCell ref="S6:S7"/>
    <mergeCell ref="J6:J7"/>
    <mergeCell ref="R6:R7"/>
    <mergeCell ref="Q6:Q7"/>
    <mergeCell ref="P6:P7"/>
    <mergeCell ref="M6:M7"/>
    <mergeCell ref="O6:O7"/>
    <mergeCell ref="N6:N7"/>
  </mergeCells>
  <phoneticPr fontId="16" type="noConversion"/>
  <pageMargins left="0.71" right="0.48" top="0.41" bottom="0.23" header="0.41" footer="0.2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rgb="FF7030A0"/>
  </sheetPr>
  <dimension ref="A1:AX172"/>
  <sheetViews>
    <sheetView workbookViewId="0">
      <pane xSplit="2" ySplit="4" topLeftCell="AC128" activePane="bottomRight" state="frozen"/>
      <selection pane="topRight" activeCell="C1" sqref="C1"/>
      <selection pane="bottomLeft" activeCell="A4" sqref="A4"/>
      <selection pane="bottomRight" activeCell="AF139" sqref="AF139"/>
    </sheetView>
  </sheetViews>
  <sheetFormatPr defaultColWidth="9" defaultRowHeight="15.75"/>
  <cols>
    <col min="1" max="1" width="4.125" style="1050" customWidth="1"/>
    <col min="2" max="2" width="35.375" style="1050" customWidth="1"/>
    <col min="3" max="3" width="6.625" style="1147" customWidth="1"/>
    <col min="4" max="4" width="12.875" style="1148" customWidth="1"/>
    <col min="5" max="5" width="7.125" style="1147" customWidth="1"/>
    <col min="6" max="6" width="11" style="1147" customWidth="1"/>
    <col min="7" max="7" width="7.5" style="1143" customWidth="1"/>
    <col min="8" max="8" width="10.75" style="1143" customWidth="1"/>
    <col min="9" max="9" width="6.625" style="1143" customWidth="1"/>
    <col min="10" max="10" width="10" style="1143" customWidth="1"/>
    <col min="11" max="11" width="7.125" style="1143" customWidth="1"/>
    <col min="12" max="12" width="10.75" style="1143" customWidth="1"/>
    <col min="13" max="13" width="7.125" style="1143" customWidth="1"/>
    <col min="14" max="14" width="10.75" style="1143" customWidth="1"/>
    <col min="15" max="15" width="8" style="1143" customWidth="1"/>
    <col min="16" max="16" width="11.125" style="1143" customWidth="1"/>
    <col min="17" max="17" width="6.625" style="1143" customWidth="1"/>
    <col min="18" max="18" width="11.125" style="1143" customWidth="1"/>
    <col min="19" max="19" width="6.625" style="1143" customWidth="1"/>
    <col min="20" max="20" width="10" style="1143" customWidth="1"/>
    <col min="21" max="21" width="7.625" style="1143" customWidth="1"/>
    <col min="22" max="22" width="12.125" style="1143" customWidth="1"/>
    <col min="23" max="23" width="7.125" style="1143" customWidth="1"/>
    <col min="24" max="24" width="10.875" style="1143" customWidth="1"/>
    <col min="25" max="25" width="8.125" style="1143" customWidth="1"/>
    <col min="26" max="26" width="11" style="1143" customWidth="1"/>
    <col min="27" max="27" width="6.625" style="1143" customWidth="1"/>
    <col min="28" max="28" width="10.625" style="1143" customWidth="1"/>
    <col min="29" max="29" width="7.625" style="1143" customWidth="1"/>
    <col min="30" max="30" width="10.5" style="1143" customWidth="1"/>
    <col min="31" max="31" width="7.125" style="1143" customWidth="1"/>
    <col min="32" max="32" width="10.75" style="1143" customWidth="1"/>
    <col min="33" max="33" width="7.125" style="1143" customWidth="1"/>
    <col min="34" max="34" width="10.875" style="1143" customWidth="1"/>
    <col min="35" max="35" width="7.5" style="1143" customWidth="1"/>
    <col min="36" max="36" width="11" style="1143" customWidth="1"/>
    <col min="37" max="37" width="8" style="1143" customWidth="1"/>
    <col min="38" max="38" width="11.25" style="1143" customWidth="1"/>
    <col min="39" max="39" width="23.125" style="1050" customWidth="1"/>
    <col min="40" max="40" width="9" style="1050"/>
    <col min="41" max="41" width="16.25" style="1050" customWidth="1"/>
    <col min="42" max="16384" width="9" style="1050"/>
  </cols>
  <sheetData>
    <row r="1" spans="1:41">
      <c r="B1" s="1051"/>
      <c r="C1" s="1052"/>
      <c r="D1" s="1000">
        <f>+D5*1%</f>
        <v>1699233.39472</v>
      </c>
      <c r="E1" s="1000">
        <f t="shared" ref="E1:AL1" si="0">+E5*1%</f>
        <v>3.4</v>
      </c>
      <c r="F1" s="1000">
        <f>+F5*1%</f>
        <v>117646.37796</v>
      </c>
      <c r="G1" s="1053">
        <f t="shared" si="0"/>
        <v>3.81</v>
      </c>
      <c r="H1" s="1053">
        <f t="shared" si="0"/>
        <v>105528.06576000001</v>
      </c>
      <c r="I1" s="1053">
        <f t="shared" si="0"/>
        <v>3.79</v>
      </c>
      <c r="J1" s="1053">
        <f t="shared" si="0"/>
        <v>84256.304479999992</v>
      </c>
      <c r="K1" s="1053">
        <f t="shared" si="0"/>
        <v>3.71</v>
      </c>
      <c r="L1" s="1053">
        <f t="shared" si="0"/>
        <v>108428.08003999999</v>
      </c>
      <c r="M1" s="1053">
        <f t="shared" si="0"/>
        <v>2.91</v>
      </c>
      <c r="N1" s="1053">
        <f t="shared" si="0"/>
        <v>84927.934880000001</v>
      </c>
      <c r="O1" s="1053">
        <f t="shared" si="0"/>
        <v>3.19</v>
      </c>
      <c r="P1" s="1053">
        <f t="shared" si="0"/>
        <v>103142.28168</v>
      </c>
      <c r="Q1" s="1053">
        <f t="shared" si="0"/>
        <v>3.86</v>
      </c>
      <c r="R1" s="1053">
        <f t="shared" si="0"/>
        <v>88761.679480000006</v>
      </c>
      <c r="S1" s="1053">
        <f t="shared" si="0"/>
        <v>2.5500000000000003</v>
      </c>
      <c r="T1" s="1053">
        <f t="shared" si="0"/>
        <v>78755.621880000006</v>
      </c>
      <c r="U1" s="1053">
        <f t="shared" si="0"/>
        <v>4.3500000000000005</v>
      </c>
      <c r="V1" s="1053">
        <f t="shared" si="0"/>
        <v>103110.40072000001</v>
      </c>
      <c r="W1" s="1053">
        <f t="shared" si="0"/>
        <v>4.91</v>
      </c>
      <c r="X1" s="1053">
        <f t="shared" si="0"/>
        <v>123112.20699999999</v>
      </c>
      <c r="Y1" s="1053">
        <f>+Y5*1%</f>
        <v>4.8600000000000003</v>
      </c>
      <c r="Z1" s="1053">
        <f>+Z5*1%</f>
        <v>105081.27200000001</v>
      </c>
      <c r="AA1" s="1053">
        <f t="shared" si="0"/>
        <v>4.82</v>
      </c>
      <c r="AB1" s="1053">
        <f t="shared" si="0"/>
        <v>90766.850480000008</v>
      </c>
      <c r="AC1" s="1053">
        <f t="shared" si="0"/>
        <v>3.35</v>
      </c>
      <c r="AD1" s="1053">
        <f t="shared" si="0"/>
        <v>86805.743839999996</v>
      </c>
      <c r="AE1" s="1053">
        <f t="shared" si="0"/>
        <v>2.5100000000000002</v>
      </c>
      <c r="AF1" s="1053">
        <f t="shared" si="0"/>
        <v>94584.614560000002</v>
      </c>
      <c r="AG1" s="1053">
        <f t="shared" si="0"/>
        <v>4.1399999999999997</v>
      </c>
      <c r="AH1" s="1053">
        <f t="shared" si="0"/>
        <v>111969.61987999998</v>
      </c>
      <c r="AI1" s="1053">
        <f t="shared" si="0"/>
        <v>2.94</v>
      </c>
      <c r="AJ1" s="1053">
        <f t="shared" si="0"/>
        <v>99620.241600000008</v>
      </c>
      <c r="AK1" s="1053">
        <f t="shared" si="0"/>
        <v>5.28</v>
      </c>
      <c r="AL1" s="1053">
        <f t="shared" si="0"/>
        <v>112736.09848000002</v>
      </c>
    </row>
    <row r="2" spans="1:41">
      <c r="B2" s="1051">
        <f>D5-'[3]7. TH chi xa 25'!C9</f>
        <v>2120296</v>
      </c>
      <c r="C2" s="1052"/>
      <c r="D2" s="1054">
        <f>+F2-F6</f>
        <v>-19940</v>
      </c>
      <c r="E2" s="1054"/>
      <c r="F2" s="1054">
        <f>+'[3]7. TH chi xa 25'!D15</f>
        <v>6938917.7960000001</v>
      </c>
      <c r="G2" s="1055"/>
      <c r="H2" s="1055"/>
      <c r="I2" s="1055"/>
      <c r="J2" s="1055"/>
      <c r="K2" s="1055"/>
      <c r="L2" s="1055"/>
      <c r="M2" s="1055"/>
      <c r="N2" s="1055"/>
      <c r="O2" s="1055"/>
      <c r="P2" s="1055"/>
      <c r="Q2" s="1055"/>
      <c r="R2" s="1055"/>
      <c r="S2" s="1055"/>
      <c r="T2" s="1055"/>
      <c r="U2" s="1056"/>
      <c r="V2" s="1057"/>
      <c r="W2" s="1055"/>
      <c r="X2" s="1055"/>
      <c r="Y2" s="1055"/>
      <c r="Z2" s="1055"/>
      <c r="AA2" s="1055"/>
      <c r="AB2" s="1055"/>
      <c r="AC2" s="1055"/>
      <c r="AD2" s="1055"/>
      <c r="AE2" s="1055"/>
      <c r="AF2" s="1055"/>
      <c r="AG2" s="1055"/>
      <c r="AH2" s="1055"/>
      <c r="AI2" s="1055"/>
      <c r="AJ2" s="1055"/>
      <c r="AK2" s="1055"/>
      <c r="AL2" s="1055"/>
    </row>
    <row r="3" spans="1:41" s="1058" customFormat="1" ht="31.5" customHeight="1">
      <c r="A3" s="1241" t="s">
        <v>38</v>
      </c>
      <c r="B3" s="1241" t="s">
        <v>167</v>
      </c>
      <c r="C3" s="1241" t="s">
        <v>175</v>
      </c>
      <c r="D3" s="1241"/>
      <c r="E3" s="1241" t="s">
        <v>139</v>
      </c>
      <c r="F3" s="1241"/>
      <c r="G3" s="1238" t="s">
        <v>23</v>
      </c>
      <c r="H3" s="1238"/>
      <c r="I3" s="1238" t="s">
        <v>24</v>
      </c>
      <c r="J3" s="1238"/>
      <c r="K3" s="1238" t="s">
        <v>140</v>
      </c>
      <c r="L3" s="1238"/>
      <c r="M3" s="1238" t="s">
        <v>26</v>
      </c>
      <c r="N3" s="1238"/>
      <c r="O3" s="1238" t="s">
        <v>27</v>
      </c>
      <c r="P3" s="1238"/>
      <c r="Q3" s="1238" t="s">
        <v>28</v>
      </c>
      <c r="R3" s="1238"/>
      <c r="S3" s="1238" t="s">
        <v>29</v>
      </c>
      <c r="T3" s="1238"/>
      <c r="U3" s="1239" t="s">
        <v>286</v>
      </c>
      <c r="V3" s="1240"/>
      <c r="W3" s="1238" t="s">
        <v>287</v>
      </c>
      <c r="X3" s="1238"/>
      <c r="Y3" s="1238" t="s">
        <v>289</v>
      </c>
      <c r="Z3" s="1238"/>
      <c r="AA3" s="1238" t="s">
        <v>288</v>
      </c>
      <c r="AB3" s="1238"/>
      <c r="AC3" s="1238" t="s">
        <v>30</v>
      </c>
      <c r="AD3" s="1238"/>
      <c r="AE3" s="1238" t="s">
        <v>31</v>
      </c>
      <c r="AF3" s="1238"/>
      <c r="AG3" s="1238" t="s">
        <v>32</v>
      </c>
      <c r="AH3" s="1238"/>
      <c r="AI3" s="1238" t="s">
        <v>43</v>
      </c>
      <c r="AJ3" s="1238"/>
      <c r="AK3" s="1238" t="s">
        <v>1375</v>
      </c>
      <c r="AL3" s="1238"/>
    </row>
    <row r="4" spans="1:41" s="1062" customFormat="1" ht="27" customHeight="1">
      <c r="A4" s="1241"/>
      <c r="B4" s="1241"/>
      <c r="C4" s="1059" t="s">
        <v>141</v>
      </c>
      <c r="D4" s="1060" t="s">
        <v>142</v>
      </c>
      <c r="E4" s="1059" t="s">
        <v>141</v>
      </c>
      <c r="F4" s="1059" t="s">
        <v>142</v>
      </c>
      <c r="G4" s="1061" t="s">
        <v>141</v>
      </c>
      <c r="H4" s="1061" t="s">
        <v>142</v>
      </c>
      <c r="I4" s="1061" t="s">
        <v>141</v>
      </c>
      <c r="J4" s="1061" t="s">
        <v>142</v>
      </c>
      <c r="K4" s="1061" t="s">
        <v>141</v>
      </c>
      <c r="L4" s="1061" t="s">
        <v>142</v>
      </c>
      <c r="M4" s="1061" t="s">
        <v>141</v>
      </c>
      <c r="N4" s="1061" t="s">
        <v>142</v>
      </c>
      <c r="O4" s="1061" t="s">
        <v>141</v>
      </c>
      <c r="P4" s="1061" t="s">
        <v>142</v>
      </c>
      <c r="Q4" s="1061" t="s">
        <v>141</v>
      </c>
      <c r="R4" s="1061" t="s">
        <v>142</v>
      </c>
      <c r="S4" s="1061" t="s">
        <v>141</v>
      </c>
      <c r="T4" s="1061" t="s">
        <v>142</v>
      </c>
      <c r="U4" s="1061" t="s">
        <v>141</v>
      </c>
      <c r="V4" s="1061" t="s">
        <v>142</v>
      </c>
      <c r="W4" s="1061" t="s">
        <v>141</v>
      </c>
      <c r="X4" s="1061" t="s">
        <v>142</v>
      </c>
      <c r="Y4" s="1061" t="s">
        <v>141</v>
      </c>
      <c r="Z4" s="1061" t="s">
        <v>142</v>
      </c>
      <c r="AA4" s="1061" t="s">
        <v>141</v>
      </c>
      <c r="AB4" s="1061" t="s">
        <v>58</v>
      </c>
      <c r="AC4" s="1061" t="s">
        <v>141</v>
      </c>
      <c r="AD4" s="1061" t="s">
        <v>142</v>
      </c>
      <c r="AE4" s="1061" t="s">
        <v>141</v>
      </c>
      <c r="AF4" s="1061" t="s">
        <v>142</v>
      </c>
      <c r="AG4" s="1061" t="s">
        <v>141</v>
      </c>
      <c r="AH4" s="1061" t="s">
        <v>142</v>
      </c>
      <c r="AI4" s="1061" t="s">
        <v>141</v>
      </c>
      <c r="AJ4" s="1061" t="s">
        <v>142</v>
      </c>
      <c r="AK4" s="1061" t="s">
        <v>141</v>
      </c>
      <c r="AL4" s="1061" t="s">
        <v>142</v>
      </c>
    </row>
    <row r="5" spans="1:41" s="1058" customFormat="1" ht="18.75" customHeight="1">
      <c r="A5" s="994"/>
      <c r="B5" s="995" t="s">
        <v>188</v>
      </c>
      <c r="C5" s="1063">
        <f>+E5+G5+I5+K5+M5+O5+Q5+S5+U5+W5+AA5+Y5+AC5+AE5+AG5+AI5+AK5</f>
        <v>6438</v>
      </c>
      <c r="D5" s="1063">
        <f>+F5+H5+J5+L5+N5+P5+R5+T5+V5+X5+AB5+Z5+AD5+AF5+AH5+AJ5+AL5</f>
        <v>169923339.472</v>
      </c>
      <c r="E5" s="1063">
        <f t="shared" ref="E5:AL5" si="1">E6+E126</f>
        <v>340</v>
      </c>
      <c r="F5" s="1063">
        <f t="shared" si="1"/>
        <v>11764637.796</v>
      </c>
      <c r="G5" s="1064">
        <f t="shared" si="1"/>
        <v>381</v>
      </c>
      <c r="H5" s="1064">
        <f t="shared" si="1"/>
        <v>10552806.576000001</v>
      </c>
      <c r="I5" s="1064">
        <f t="shared" si="1"/>
        <v>379</v>
      </c>
      <c r="J5" s="1064">
        <f t="shared" si="1"/>
        <v>8425630.4479999989</v>
      </c>
      <c r="K5" s="1064">
        <f t="shared" si="1"/>
        <v>371</v>
      </c>
      <c r="L5" s="1064">
        <f t="shared" si="1"/>
        <v>10842808.003999999</v>
      </c>
      <c r="M5" s="1064">
        <f t="shared" si="1"/>
        <v>291</v>
      </c>
      <c r="N5" s="1064">
        <f t="shared" si="1"/>
        <v>8492793.4879999999</v>
      </c>
      <c r="O5" s="1064">
        <f t="shared" si="1"/>
        <v>319</v>
      </c>
      <c r="P5" s="1064">
        <f t="shared" si="1"/>
        <v>10314228.168</v>
      </c>
      <c r="Q5" s="1064">
        <f t="shared" si="1"/>
        <v>386</v>
      </c>
      <c r="R5" s="1064">
        <f t="shared" si="1"/>
        <v>8876167.9480000008</v>
      </c>
      <c r="S5" s="1064">
        <f t="shared" si="1"/>
        <v>255</v>
      </c>
      <c r="T5" s="1064">
        <f t="shared" si="1"/>
        <v>7875562.1880000001</v>
      </c>
      <c r="U5" s="1064">
        <f t="shared" si="1"/>
        <v>435</v>
      </c>
      <c r="V5" s="1064">
        <f t="shared" si="1"/>
        <v>10311040.072000001</v>
      </c>
      <c r="W5" s="1064">
        <f t="shared" si="1"/>
        <v>491</v>
      </c>
      <c r="X5" s="1064">
        <f t="shared" si="1"/>
        <v>12311220.699999999</v>
      </c>
      <c r="Y5" s="1064">
        <f t="shared" si="1"/>
        <v>486</v>
      </c>
      <c r="Z5" s="1064">
        <f t="shared" si="1"/>
        <v>10508127.200000001</v>
      </c>
      <c r="AA5" s="1064">
        <f t="shared" si="1"/>
        <v>482</v>
      </c>
      <c r="AB5" s="1064">
        <f t="shared" si="1"/>
        <v>9076685.0480000004</v>
      </c>
      <c r="AC5" s="1064">
        <f t="shared" si="1"/>
        <v>335</v>
      </c>
      <c r="AD5" s="1064">
        <f t="shared" si="1"/>
        <v>8680574.3839999996</v>
      </c>
      <c r="AE5" s="1064">
        <f t="shared" si="1"/>
        <v>251</v>
      </c>
      <c r="AF5" s="1064">
        <f t="shared" si="1"/>
        <v>9458461.4560000002</v>
      </c>
      <c r="AG5" s="1064">
        <f t="shared" si="1"/>
        <v>414</v>
      </c>
      <c r="AH5" s="1064">
        <f t="shared" si="1"/>
        <v>11196961.987999998</v>
      </c>
      <c r="AI5" s="1064">
        <f t="shared" si="1"/>
        <v>294</v>
      </c>
      <c r="AJ5" s="1064">
        <f t="shared" si="1"/>
        <v>9962024.1600000001</v>
      </c>
      <c r="AK5" s="1064">
        <f t="shared" si="1"/>
        <v>528</v>
      </c>
      <c r="AL5" s="1064">
        <f t="shared" si="1"/>
        <v>11273609.848000001</v>
      </c>
      <c r="AO5" s="1065">
        <v>176929529</v>
      </c>
    </row>
    <row r="6" spans="1:41" s="1058" customFormat="1" ht="16.5" customHeight="1">
      <c r="A6" s="996" t="s">
        <v>36</v>
      </c>
      <c r="B6" s="997" t="s">
        <v>219</v>
      </c>
      <c r="C6" s="1066">
        <f>C7+C8+C55+C56+C57+C71+C113+C122+C123</f>
        <v>6481</v>
      </c>
      <c r="D6" s="1066">
        <f t="shared" ref="D6:AL6" si="2">D7+D8+D55+D56+D57+D71+D113+D120+D122+D123</f>
        <v>116754449.47199999</v>
      </c>
      <c r="E6" s="1066">
        <f t="shared" si="2"/>
        <v>340</v>
      </c>
      <c r="F6" s="1066">
        <f t="shared" si="2"/>
        <v>6958857.7960000001</v>
      </c>
      <c r="G6" s="1067">
        <f t="shared" si="2"/>
        <v>381</v>
      </c>
      <c r="H6" s="1067">
        <f t="shared" si="2"/>
        <v>6600266.5760000004</v>
      </c>
      <c r="I6" s="1067">
        <f t="shared" si="2"/>
        <v>379</v>
      </c>
      <c r="J6" s="1067">
        <f t="shared" si="2"/>
        <v>6328350.4479999999</v>
      </c>
      <c r="K6" s="1067">
        <f t="shared" si="2"/>
        <v>371</v>
      </c>
      <c r="L6" s="1067">
        <f t="shared" si="2"/>
        <v>6852008.0039999988</v>
      </c>
      <c r="M6" s="1067">
        <f t="shared" si="2"/>
        <v>291</v>
      </c>
      <c r="N6" s="1067">
        <f t="shared" si="2"/>
        <v>6213463.4879999999</v>
      </c>
      <c r="O6" s="1067">
        <f t="shared" si="2"/>
        <v>319</v>
      </c>
      <c r="P6" s="1067">
        <f t="shared" si="2"/>
        <v>6456058.1679999996</v>
      </c>
      <c r="Q6" s="1067">
        <f t="shared" si="2"/>
        <v>386</v>
      </c>
      <c r="R6" s="1067">
        <f t="shared" si="2"/>
        <v>6882247.9480000008</v>
      </c>
      <c r="S6" s="1067">
        <f t="shared" si="2"/>
        <v>255</v>
      </c>
      <c r="T6" s="1067">
        <f t="shared" si="2"/>
        <v>6182812.1880000001</v>
      </c>
      <c r="U6" s="1067">
        <f t="shared" si="2"/>
        <v>435</v>
      </c>
      <c r="V6" s="1067">
        <f t="shared" si="2"/>
        <v>7276600.0720000006</v>
      </c>
      <c r="W6" s="1067">
        <f t="shared" si="2"/>
        <v>491</v>
      </c>
      <c r="X6" s="1067">
        <f t="shared" si="2"/>
        <v>7956670.7000000002</v>
      </c>
      <c r="Y6" s="1067">
        <f t="shared" si="2"/>
        <v>486</v>
      </c>
      <c r="Z6" s="1067">
        <f t="shared" si="2"/>
        <v>7918427.2000000011</v>
      </c>
      <c r="AA6" s="1067">
        <f t="shared" si="2"/>
        <v>482</v>
      </c>
      <c r="AB6" s="1067">
        <f t="shared" si="2"/>
        <v>7901085.0480000004</v>
      </c>
      <c r="AC6" s="1067">
        <f t="shared" si="2"/>
        <v>335</v>
      </c>
      <c r="AD6" s="1067">
        <f t="shared" si="2"/>
        <v>6234384.3839999996</v>
      </c>
      <c r="AE6" s="1067">
        <f t="shared" si="2"/>
        <v>251</v>
      </c>
      <c r="AF6" s="1067">
        <f t="shared" si="2"/>
        <v>6403521.4560000002</v>
      </c>
      <c r="AG6" s="1067">
        <f t="shared" si="2"/>
        <v>414</v>
      </c>
      <c r="AH6" s="1067">
        <f t="shared" si="2"/>
        <v>7320511.987999999</v>
      </c>
      <c r="AI6" s="1067">
        <f t="shared" si="2"/>
        <v>294</v>
      </c>
      <c r="AJ6" s="1067">
        <f t="shared" si="2"/>
        <v>6359014.1599999992</v>
      </c>
      <c r="AK6" s="1067">
        <f t="shared" si="2"/>
        <v>528</v>
      </c>
      <c r="AL6" s="1067">
        <f t="shared" si="2"/>
        <v>6910169.8480000002</v>
      </c>
      <c r="AO6" s="1068">
        <f>AO5-D5</f>
        <v>7006189.5279999971</v>
      </c>
    </row>
    <row r="7" spans="1:41" s="1058" customFormat="1" ht="17.25" customHeight="1">
      <c r="A7" s="996" t="s">
        <v>39</v>
      </c>
      <c r="B7" s="997" t="s">
        <v>232</v>
      </c>
      <c r="C7" s="1066"/>
      <c r="D7" s="1066">
        <f>+F7+H7+J7+L7+N7+P7+R7+T7+V7+X7+AB7+Z7+AD7+AF7+AH7+AJ7+AL7</f>
        <v>0</v>
      </c>
      <c r="E7" s="1066"/>
      <c r="F7" s="1066"/>
      <c r="G7" s="1067"/>
      <c r="H7" s="1067"/>
      <c r="I7" s="1067"/>
      <c r="J7" s="1067"/>
      <c r="K7" s="1067"/>
      <c r="L7" s="1067"/>
      <c r="M7" s="1067"/>
      <c r="N7" s="1067"/>
      <c r="O7" s="1067"/>
      <c r="P7" s="1067"/>
      <c r="Q7" s="1067"/>
      <c r="R7" s="1067"/>
      <c r="S7" s="1067"/>
      <c r="T7" s="1067"/>
      <c r="U7" s="1069"/>
      <c r="V7" s="1069"/>
      <c r="W7" s="1069"/>
      <c r="X7" s="1069"/>
      <c r="Y7" s="1069"/>
      <c r="Z7" s="1069"/>
      <c r="AA7" s="1069"/>
      <c r="AB7" s="1069"/>
      <c r="AC7" s="1069"/>
      <c r="AD7" s="1069"/>
      <c r="AE7" s="1067"/>
      <c r="AF7" s="1067"/>
      <c r="AG7" s="1067"/>
      <c r="AH7" s="1067"/>
      <c r="AI7" s="1067"/>
      <c r="AJ7" s="1067"/>
      <c r="AK7" s="1069"/>
      <c r="AL7" s="1069"/>
    </row>
    <row r="8" spans="1:41" s="1058" customFormat="1" ht="15.75" customHeight="1">
      <c r="A8" s="996" t="s">
        <v>41</v>
      </c>
      <c r="B8" s="997" t="s">
        <v>143</v>
      </c>
      <c r="C8" s="1070">
        <f>C9+C20+C44+C47+C50+C51+C52+C53+C54</f>
        <v>2393</v>
      </c>
      <c r="D8" s="1066">
        <f>+F8+H8+J8+L8+N8+P8+R8+T8+V8+X8+AB8+Z8+AD8+AF8+AH8+AJ8+AL8</f>
        <v>98338898.671999991</v>
      </c>
      <c r="E8" s="1070">
        <f t="shared" ref="E8:AL8" si="3">E9+E20+E44+E47+E50+E51+E52+E53+E54</f>
        <v>147</v>
      </c>
      <c r="F8" s="1070">
        <f t="shared" si="3"/>
        <v>6081698.3760000002</v>
      </c>
      <c r="G8" s="1071">
        <f t="shared" si="3"/>
        <v>144</v>
      </c>
      <c r="H8" s="1071">
        <f t="shared" si="3"/>
        <v>5462107.3119999999</v>
      </c>
      <c r="I8" s="1071">
        <f t="shared" si="3"/>
        <v>145</v>
      </c>
      <c r="J8" s="1071">
        <f t="shared" si="3"/>
        <v>5202619.4000000004</v>
      </c>
      <c r="K8" s="1071">
        <f t="shared" si="3"/>
        <v>159</v>
      </c>
      <c r="L8" s="1071">
        <f t="shared" si="3"/>
        <v>5934449.1599999992</v>
      </c>
      <c r="M8" s="1071">
        <f t="shared" si="3"/>
        <v>114</v>
      </c>
      <c r="N8" s="1071">
        <f t="shared" si="3"/>
        <v>5369489.7199999997</v>
      </c>
      <c r="O8" s="1071">
        <f t="shared" si="3"/>
        <v>127</v>
      </c>
      <c r="P8" s="1071">
        <f t="shared" si="3"/>
        <v>5521498.8879999993</v>
      </c>
      <c r="Q8" s="1071">
        <f t="shared" si="3"/>
        <v>151</v>
      </c>
      <c r="R8" s="1071">
        <f t="shared" si="3"/>
        <v>5892066.1600000011</v>
      </c>
      <c r="S8" s="1071">
        <f t="shared" si="3"/>
        <v>113</v>
      </c>
      <c r="T8" s="1071">
        <f t="shared" si="3"/>
        <v>5344533.76</v>
      </c>
      <c r="U8" s="1071">
        <f t="shared" si="3"/>
        <v>178</v>
      </c>
      <c r="V8" s="1071">
        <f t="shared" si="3"/>
        <v>6096567.2560000001</v>
      </c>
      <c r="W8" s="1071">
        <f t="shared" si="3"/>
        <v>203</v>
      </c>
      <c r="X8" s="1071">
        <f t="shared" si="3"/>
        <v>6519060.4000000004</v>
      </c>
      <c r="Y8" s="1071">
        <f t="shared" si="3"/>
        <v>177</v>
      </c>
      <c r="Z8" s="1071">
        <f t="shared" si="3"/>
        <v>6249929.2000000002</v>
      </c>
      <c r="AA8" s="1071">
        <f t="shared" si="3"/>
        <v>177</v>
      </c>
      <c r="AB8" s="1071">
        <f t="shared" si="3"/>
        <v>6489605.2000000002</v>
      </c>
      <c r="AC8" s="1071">
        <f t="shared" si="3"/>
        <v>136</v>
      </c>
      <c r="AD8" s="1071">
        <f t="shared" si="3"/>
        <v>5303122.9679999994</v>
      </c>
      <c r="AE8" s="1071">
        <f t="shared" si="3"/>
        <v>111</v>
      </c>
      <c r="AF8" s="1071">
        <f t="shared" si="3"/>
        <v>5541592.3600000003</v>
      </c>
      <c r="AG8" s="1071">
        <f t="shared" si="3"/>
        <v>195</v>
      </c>
      <c r="AH8" s="1071">
        <f t="shared" si="3"/>
        <v>6286441.6319999993</v>
      </c>
      <c r="AI8" s="1071">
        <f t="shared" si="3"/>
        <v>114</v>
      </c>
      <c r="AJ8" s="1071">
        <f t="shared" si="3"/>
        <v>5478973.6479999991</v>
      </c>
      <c r="AK8" s="1071">
        <f t="shared" si="3"/>
        <v>183</v>
      </c>
      <c r="AL8" s="1071">
        <f t="shared" si="3"/>
        <v>5565143.2320000008</v>
      </c>
    </row>
    <row r="9" spans="1:41" s="1058" customFormat="1" ht="17.25" customHeight="1">
      <c r="A9" s="996">
        <v>1</v>
      </c>
      <c r="B9" s="997" t="s">
        <v>144</v>
      </c>
      <c r="C9" s="1070">
        <f t="shared" ref="C9" si="4">(C10+C15+C18)-C16</f>
        <v>341</v>
      </c>
      <c r="D9" s="1070">
        <f>(D10+D15+D18+D19)-D16</f>
        <v>72685827.071999997</v>
      </c>
      <c r="E9" s="1070">
        <f t="shared" ref="E9:AK9" si="5">(E10+E15+E18)-E16</f>
        <v>30</v>
      </c>
      <c r="F9" s="1070">
        <f>(F10+F15+F18+F19)-F16</f>
        <v>4669594.3760000002</v>
      </c>
      <c r="G9" s="1071">
        <f t="shared" si="5"/>
        <v>30</v>
      </c>
      <c r="H9" s="1070">
        <f>(H10+H15+H18+H19)-H16</f>
        <v>4020381.3119999999</v>
      </c>
      <c r="I9" s="1071">
        <f t="shared" si="5"/>
        <v>31</v>
      </c>
      <c r="J9" s="1070">
        <f>(J10+J15+J18+J19)-J16</f>
        <v>3768189.4000000004</v>
      </c>
      <c r="K9" s="1071">
        <f t="shared" si="5"/>
        <v>30</v>
      </c>
      <c r="L9" s="1070">
        <f>(L10+L15+L18+L19)-L16</f>
        <v>4344880.76</v>
      </c>
      <c r="M9" s="1071">
        <f t="shared" si="5"/>
        <v>29</v>
      </c>
      <c r="N9" s="1070">
        <f>(N10+N15+N18+N19)-N16</f>
        <v>4209164.12</v>
      </c>
      <c r="O9" s="1071">
        <f t="shared" si="5"/>
        <v>31</v>
      </c>
      <c r="P9" s="1070">
        <f>(P10+P15+P18+P19)-P16</f>
        <v>4270449.2879999997</v>
      </c>
      <c r="Q9" s="1071">
        <f t="shared" si="5"/>
        <v>31</v>
      </c>
      <c r="R9" s="1070">
        <f>(R10+R15+R18+R19)-R16</f>
        <v>4373718.5600000005</v>
      </c>
      <c r="S9" s="1071">
        <f t="shared" si="5"/>
        <v>28</v>
      </c>
      <c r="T9" s="1070">
        <f>(T10+T15+T18+T19)-T16</f>
        <v>4250138.5600000005</v>
      </c>
      <c r="U9" s="1071">
        <f t="shared" si="5"/>
        <v>33</v>
      </c>
      <c r="V9" s="1070">
        <f>(V10+V15+V18+V19)-V16</f>
        <v>4347182.0559999999</v>
      </c>
      <c r="W9" s="1071">
        <f t="shared" si="5"/>
        <v>33</v>
      </c>
      <c r="X9" s="1070">
        <f>(X10+X15+X18+X19)-X16</f>
        <v>4494111.6000000006</v>
      </c>
      <c r="Y9" s="1071">
        <f>(Y10+Y15+Y18)-Y16</f>
        <v>29</v>
      </c>
      <c r="Z9" s="1070">
        <f>(Z10+Z15+Z18+Z19)-Z16</f>
        <v>4381926.4000000004</v>
      </c>
      <c r="AA9" s="1071">
        <f t="shared" si="5"/>
        <v>30</v>
      </c>
      <c r="AB9" s="1070">
        <f>(AB10+AB15+AB18+AB19)-AB16</f>
        <v>4602434.8000000007</v>
      </c>
      <c r="AC9" s="1071">
        <f t="shared" si="5"/>
        <v>31</v>
      </c>
      <c r="AD9" s="1070">
        <f>(AD10+AD15+AD18+AD19)-AD16</f>
        <v>3982705.3679999998</v>
      </c>
      <c r="AE9" s="1071">
        <f t="shared" si="5"/>
        <v>31</v>
      </c>
      <c r="AF9" s="1070">
        <f>(AF10+AF15+AF18+AF19)-AF16</f>
        <v>4483861.5600000005</v>
      </c>
      <c r="AG9" s="1071">
        <f t="shared" si="5"/>
        <v>31</v>
      </c>
      <c r="AH9" s="1070">
        <f>(AH10+AH15+AH18+AH19)-AH16</f>
        <v>4417184.432</v>
      </c>
      <c r="AI9" s="1071">
        <f t="shared" si="5"/>
        <v>31</v>
      </c>
      <c r="AJ9" s="1070">
        <f>(AJ10+AJ15+AJ18+AJ19)-AJ16</f>
        <v>4348192.8479999993</v>
      </c>
      <c r="AK9" s="1071">
        <f t="shared" si="5"/>
        <v>33</v>
      </c>
      <c r="AL9" s="1070">
        <f>(AL10+AL15+AL18+AL19)-AL16</f>
        <v>3721711.6320000002</v>
      </c>
      <c r="AM9" s="1237" t="s">
        <v>1326</v>
      </c>
    </row>
    <row r="10" spans="1:41" s="1076" customFormat="1" ht="17.25" customHeight="1">
      <c r="A10" s="1072" t="s">
        <v>177</v>
      </c>
      <c r="B10" s="1073" t="s">
        <v>182</v>
      </c>
      <c r="C10" s="1074">
        <f>SUM(C11:C12)</f>
        <v>341</v>
      </c>
      <c r="D10" s="1075">
        <f t="shared" ref="D10:D15" si="6">+F10+H10+J10+L10+N10+P10+R10+T10+V10+X10+AB10+Z10+AD10+AF10+AH10+AJ10+AL10</f>
        <v>61112133.072000004</v>
      </c>
      <c r="E10" s="1074">
        <f t="shared" ref="E10" si="7">SUM(E11:E12)</f>
        <v>20</v>
      </c>
      <c r="F10" s="1074">
        <f>SUM(F11:F14)</f>
        <v>3982354.3759999997</v>
      </c>
      <c r="G10" s="1074">
        <f t="shared" ref="G10:O10" si="8">SUM(G11:G13)</f>
        <v>20</v>
      </c>
      <c r="H10" s="1074">
        <f>SUM(H11:H14)</f>
        <v>3331141.3119999999</v>
      </c>
      <c r="I10" s="1074">
        <f t="shared" si="8"/>
        <v>20</v>
      </c>
      <c r="J10" s="1074">
        <f>SUM(J11:J14)</f>
        <v>3086525.4000000004</v>
      </c>
      <c r="K10" s="1074">
        <f>SUM(K11:K13)</f>
        <v>20</v>
      </c>
      <c r="L10" s="1074">
        <f>SUM(L11:L14)</f>
        <v>3683640.76</v>
      </c>
      <c r="M10" s="1074">
        <f t="shared" si="8"/>
        <v>20</v>
      </c>
      <c r="N10" s="1074">
        <f>SUM(N11:N14)</f>
        <v>3559348.12</v>
      </c>
      <c r="O10" s="1074">
        <f t="shared" si="8"/>
        <v>20</v>
      </c>
      <c r="P10" s="1074">
        <f>SUM(P11:P14)</f>
        <v>3590785.2879999997</v>
      </c>
      <c r="Q10" s="1074">
        <f t="shared" ref="Q10" si="9">SUM(Q11:Q13)</f>
        <v>20</v>
      </c>
      <c r="R10" s="1074">
        <f>SUM(R11:R14)</f>
        <v>3694284.5600000005</v>
      </c>
      <c r="S10" s="1074">
        <f t="shared" ref="S10" si="10">SUM(S11:S13)</f>
        <v>20</v>
      </c>
      <c r="T10" s="1074">
        <f>SUM(T11:T14)</f>
        <v>3608136.5600000005</v>
      </c>
      <c r="U10" s="1074">
        <f t="shared" ref="U10" si="11">SUM(U11:U13)</f>
        <v>20</v>
      </c>
      <c r="V10" s="1074">
        <f>SUM(V11:V14)</f>
        <v>3642670.0559999999</v>
      </c>
      <c r="W10" s="1074">
        <f t="shared" ref="W10" si="12">SUM(W11:W13)</f>
        <v>21</v>
      </c>
      <c r="X10" s="1074">
        <f>SUM(X11:X14)</f>
        <v>3767413.6000000006</v>
      </c>
      <c r="Y10" s="1074">
        <f t="shared" ref="Y10" si="13">SUM(Y11:Y13)</f>
        <v>20</v>
      </c>
      <c r="Z10" s="1074">
        <f>SUM(Z11:Z14)</f>
        <v>3712910.4000000004</v>
      </c>
      <c r="AA10" s="1074">
        <f>SUM(AA11:AA13)</f>
        <v>20</v>
      </c>
      <c r="AB10" s="1074">
        <f>SUM(AB11:AB14)</f>
        <v>3933584.8000000003</v>
      </c>
      <c r="AC10" s="1074">
        <f t="shared" ref="AC10" si="14">SUM(AC11:AC13)</f>
        <v>20</v>
      </c>
      <c r="AD10" s="1074">
        <f>SUM(AD11:AD14)</f>
        <v>3289791.3679999998</v>
      </c>
      <c r="AE10" s="1074">
        <f t="shared" ref="AE10" si="15">SUM(AE11:AE13)</f>
        <v>20</v>
      </c>
      <c r="AF10" s="1074">
        <f>SUM(AF11:AF14)</f>
        <v>3805947.5600000005</v>
      </c>
      <c r="AG10" s="1074">
        <f t="shared" ref="AG10" si="16">SUM(AG11:AG13)</f>
        <v>20</v>
      </c>
      <c r="AH10" s="1074">
        <f>SUM(AH11:AH14)</f>
        <v>3733710.432</v>
      </c>
      <c r="AI10" s="1074">
        <f t="shared" ref="AI10" si="17">SUM(AI11:AI13)</f>
        <v>20</v>
      </c>
      <c r="AJ10" s="1074">
        <f>SUM(AJ11:AJ14)</f>
        <v>3661928.8479999998</v>
      </c>
      <c r="AK10" s="1074">
        <f t="shared" ref="AK10" si="18">SUM(AK11:AK13)</f>
        <v>20</v>
      </c>
      <c r="AL10" s="1074">
        <f>SUM(AL11:AL14)</f>
        <v>3027959.6320000002</v>
      </c>
      <c r="AM10" s="1237"/>
    </row>
    <row r="11" spans="1:41" ht="18.75" customHeight="1">
      <c r="A11" s="998"/>
      <c r="B11" s="999" t="s">
        <v>1327</v>
      </c>
      <c r="C11" s="1077">
        <f>+E11+G11+I11+K11+M11+O11+Q11+S11+U11+W11+AA11+Y11+AC11+AE11+AG11+AI11+AK11</f>
        <v>334</v>
      </c>
      <c r="D11" s="1066">
        <f t="shared" si="6"/>
        <v>58115347.991999999</v>
      </c>
      <c r="E11" s="1078">
        <v>20</v>
      </c>
      <c r="F11" s="1078">
        <f>(137.2097)*2340*12</f>
        <v>3852848.3759999997</v>
      </c>
      <c r="G11" s="1079">
        <v>20</v>
      </c>
      <c r="H11" s="1079">
        <f>(114.2764)*2340*12</f>
        <v>3208881.3119999999</v>
      </c>
      <c r="I11" s="1079">
        <v>20</v>
      </c>
      <c r="J11" s="1079">
        <f>(105.93)*2340*12</f>
        <v>2974514.4000000004</v>
      </c>
      <c r="K11" s="1079">
        <v>19</v>
      </c>
      <c r="L11" s="1079">
        <f>(120.82)*2340*12</f>
        <v>3392625.5999999996</v>
      </c>
      <c r="M11" s="1079">
        <v>18</v>
      </c>
      <c r="N11" s="1079">
        <f>(112.51)*2340*12</f>
        <v>3159280.8000000003</v>
      </c>
      <c r="O11" s="1079">
        <v>20</v>
      </c>
      <c r="P11" s="1079">
        <f>(124.7186)*2340*12</f>
        <v>3502098.2879999997</v>
      </c>
      <c r="Q11" s="1079">
        <v>19</v>
      </c>
      <c r="R11" s="1079">
        <f>(122.03)*2340*12</f>
        <v>3426602.4000000004</v>
      </c>
      <c r="S11" s="1079">
        <v>19</v>
      </c>
      <c r="T11" s="1079">
        <f>(118.48)*2340*12</f>
        <v>3326918.4000000004</v>
      </c>
      <c r="U11" s="1080">
        <v>20</v>
      </c>
      <c r="V11" s="1079">
        <f>(126.1182)*2340*12</f>
        <v>3541399.0559999999</v>
      </c>
      <c r="W11" s="1080">
        <v>21</v>
      </c>
      <c r="X11" s="1079">
        <f>(128.77)*2340*12</f>
        <v>3615861.6000000006</v>
      </c>
      <c r="Y11" s="1080">
        <v>20</v>
      </c>
      <c r="Z11" s="1079">
        <f>(128.38)*2340*12</f>
        <v>3604910.4000000004</v>
      </c>
      <c r="AA11" s="1080">
        <v>20</v>
      </c>
      <c r="AB11" s="1079">
        <f>(136.31)*2340*12</f>
        <v>3827584.8000000003</v>
      </c>
      <c r="AC11" s="1080">
        <v>20</v>
      </c>
      <c r="AD11" s="1079">
        <f>(112.8946)*2340*12</f>
        <v>3170080.3679999998</v>
      </c>
      <c r="AE11" s="1079">
        <v>19</v>
      </c>
      <c r="AF11" s="1079">
        <f>(126.33)*2340*12</f>
        <v>3547346.4000000004</v>
      </c>
      <c r="AG11" s="1079">
        <v>20</v>
      </c>
      <c r="AH11" s="1079">
        <f>(128.0779)*2340*12</f>
        <v>3596427.432</v>
      </c>
      <c r="AI11" s="1079">
        <v>20</v>
      </c>
      <c r="AJ11" s="1079">
        <f>(126.4006)*2340*12</f>
        <v>3549328.8479999998</v>
      </c>
      <c r="AK11" s="1080">
        <v>19</v>
      </c>
      <c r="AL11" s="1079">
        <f>(100.3789)*2340*12</f>
        <v>2818639.5120000001</v>
      </c>
      <c r="AM11" s="1237"/>
    </row>
    <row r="12" spans="1:41" ht="20.25" customHeight="1">
      <c r="A12" s="998"/>
      <c r="B12" s="999" t="s">
        <v>1328</v>
      </c>
      <c r="C12" s="1077">
        <f>+E12+G12+I12+K12+M12+O12+Q12+S12+U12+W12+AA12+Y12+AC12+AE12+AG12+AI12+AK12</f>
        <v>7</v>
      </c>
      <c r="D12" s="1066">
        <f t="shared" si="6"/>
        <v>1055485.0799999998</v>
      </c>
      <c r="E12" s="1078"/>
      <c r="F12" s="1078">
        <f>E12*(2.34+0.98)*1490*12</f>
        <v>0</v>
      </c>
      <c r="G12" s="1079"/>
      <c r="H12" s="1079">
        <f>G12*((2.34+0.98)+(2.34*0.225)+(0.98*4.01%*0.225))*1800*12</f>
        <v>0</v>
      </c>
      <c r="I12" s="1079">
        <v>0</v>
      </c>
      <c r="J12" s="1079">
        <f>I12*((2.34+0.98)+(2.34*0.225)+(0.98*4.01%*0.225))*1800*12</f>
        <v>0</v>
      </c>
      <c r="K12" s="1079">
        <v>1</v>
      </c>
      <c r="L12" s="1079">
        <f>K12*(2.34+(2.34*25%)+0.5+(2.34*70%)+(2.34*22.5%))*2340*12</f>
        <v>156953.15999999997</v>
      </c>
      <c r="M12" s="1079">
        <v>2</v>
      </c>
      <c r="N12" s="1079">
        <f>M12*(2.34+(2.34*25%)+0.5+(2.34*70%)+(2.34*22.5%))*2340*12</f>
        <v>313906.31999999995</v>
      </c>
      <c r="O12" s="1079"/>
      <c r="P12" s="1079">
        <f>O12*((2.34+0.98)+(2.34*0.225)+(0.98*4.01%*0.225))*1490*12</f>
        <v>0</v>
      </c>
      <c r="Q12" s="1079">
        <v>1</v>
      </c>
      <c r="R12" s="1079">
        <f>Q12*(2.34+(2.34*25%)+0.5+(2.34*70%)+(2.34*22.5%))*2340*12</f>
        <v>156953.15999999997</v>
      </c>
      <c r="S12" s="1079">
        <v>1</v>
      </c>
      <c r="T12" s="1079">
        <f>S12*(2.34+(2.34*25%)+0.5+(2.34*70%)+(2.34*22.5%))*2340*12</f>
        <v>156953.15999999997</v>
      </c>
      <c r="U12" s="1080"/>
      <c r="V12" s="1079">
        <f>U12*(2.34+0.98)*1490*12</f>
        <v>0</v>
      </c>
      <c r="W12" s="1080"/>
      <c r="X12" s="1079">
        <f>W12*(2.34+0.98)*1490*12</f>
        <v>0</v>
      </c>
      <c r="Y12" s="1080"/>
      <c r="Z12" s="1079">
        <f>Y12*(2.34+0.98)*1490*12</f>
        <v>0</v>
      </c>
      <c r="AA12" s="1080"/>
      <c r="AB12" s="1079">
        <f>AA12*(2.34+0.98)*1490*12</f>
        <v>0</v>
      </c>
      <c r="AC12" s="1080"/>
      <c r="AD12" s="1079">
        <f>AC12*(2.34+0.98)*2340*12</f>
        <v>0</v>
      </c>
      <c r="AE12" s="1079">
        <v>1</v>
      </c>
      <c r="AF12" s="1079">
        <f>AE12*(2.34+(2.34*25%)+0.7+(2.34*70%)+(2.34*22.5%))*2340*12</f>
        <v>162569.16</v>
      </c>
      <c r="AG12" s="1079"/>
      <c r="AH12" s="1079">
        <f>AG12*(2.34+0.98)*1490*12</f>
        <v>0</v>
      </c>
      <c r="AI12" s="1079">
        <v>0</v>
      </c>
      <c r="AJ12" s="1079">
        <f>AI12*(2.34+0.98)*1490*12</f>
        <v>0</v>
      </c>
      <c r="AK12" s="1079">
        <v>1</v>
      </c>
      <c r="AL12" s="1079">
        <f>AK12*(2.34+(2.34*25%)+0.4+(2.34*22.5%))*2340*12</f>
        <v>108150.11999999998</v>
      </c>
    </row>
    <row r="13" spans="1:41" ht="34.5" customHeight="1">
      <c r="A13" s="998"/>
      <c r="B13" s="1081" t="s">
        <v>1329</v>
      </c>
      <c r="C13" s="1077"/>
      <c r="D13" s="1066">
        <f t="shared" si="6"/>
        <v>799300</v>
      </c>
      <c r="E13" s="1078"/>
      <c r="F13" s="1078">
        <v>61506</v>
      </c>
      <c r="G13" s="1079"/>
      <c r="H13" s="1079">
        <v>57260</v>
      </c>
      <c r="I13" s="1079"/>
      <c r="J13" s="1079">
        <v>49011</v>
      </c>
      <c r="K13" s="1079"/>
      <c r="L13" s="1079">
        <v>68062</v>
      </c>
      <c r="M13" s="1079"/>
      <c r="N13" s="1079">
        <v>24161</v>
      </c>
      <c r="O13" s="1079"/>
      <c r="P13" s="1079">
        <v>26687</v>
      </c>
      <c r="Q13" s="1079"/>
      <c r="R13" s="1079">
        <v>41729</v>
      </c>
      <c r="S13" s="1079"/>
      <c r="T13" s="1079">
        <v>64265</v>
      </c>
      <c r="U13" s="1080"/>
      <c r="V13" s="1079">
        <v>31271</v>
      </c>
      <c r="W13" s="1080"/>
      <c r="X13" s="1079">
        <v>74552</v>
      </c>
      <c r="Y13" s="1080"/>
      <c r="Z13" s="1079">
        <v>30000</v>
      </c>
      <c r="AA13" s="1080"/>
      <c r="AB13" s="1079">
        <v>30000</v>
      </c>
      <c r="AC13" s="1080"/>
      <c r="AD13" s="1079">
        <v>59711</v>
      </c>
      <c r="AE13" s="1079"/>
      <c r="AF13" s="1079">
        <v>34032</v>
      </c>
      <c r="AG13" s="1079"/>
      <c r="AH13" s="1079">
        <v>66283</v>
      </c>
      <c r="AI13" s="1079"/>
      <c r="AJ13" s="1079">
        <v>46600</v>
      </c>
      <c r="AK13" s="1080"/>
      <c r="AL13" s="1079">
        <v>34170</v>
      </c>
    </row>
    <row r="14" spans="1:41" ht="18" customHeight="1">
      <c r="A14" s="998"/>
      <c r="B14" s="1081" t="s">
        <v>1330</v>
      </c>
      <c r="C14" s="1077"/>
      <c r="D14" s="1066">
        <f>+F14+H14+J14+L14+N14+P14+R14+T14+V14+X14+AB14+Z14+AD14+AF14+AH14+AJ14+AL14</f>
        <v>1142000</v>
      </c>
      <c r="E14" s="1078"/>
      <c r="F14" s="1078">
        <v>68000</v>
      </c>
      <c r="G14" s="1079"/>
      <c r="H14" s="1078">
        <v>65000</v>
      </c>
      <c r="I14" s="1079"/>
      <c r="J14" s="1078">
        <v>63000</v>
      </c>
      <c r="K14" s="1079"/>
      <c r="L14" s="1078">
        <v>66000</v>
      </c>
      <c r="M14" s="1079"/>
      <c r="N14" s="1078">
        <v>62000</v>
      </c>
      <c r="O14" s="1079"/>
      <c r="P14" s="1078">
        <v>62000</v>
      </c>
      <c r="Q14" s="1079"/>
      <c r="R14" s="1078">
        <v>69000</v>
      </c>
      <c r="S14" s="1079"/>
      <c r="T14" s="1078">
        <v>60000</v>
      </c>
      <c r="U14" s="1080"/>
      <c r="V14" s="1078">
        <v>70000</v>
      </c>
      <c r="W14" s="1080"/>
      <c r="X14" s="1078">
        <v>77000</v>
      </c>
      <c r="Y14" s="1080"/>
      <c r="Z14" s="1078">
        <v>78000</v>
      </c>
      <c r="AA14" s="1080"/>
      <c r="AB14" s="1078">
        <v>76000</v>
      </c>
      <c r="AC14" s="1080"/>
      <c r="AD14" s="1078">
        <v>60000</v>
      </c>
      <c r="AE14" s="1079"/>
      <c r="AF14" s="1078">
        <v>62000</v>
      </c>
      <c r="AG14" s="1079"/>
      <c r="AH14" s="1078">
        <v>71000</v>
      </c>
      <c r="AI14" s="1079"/>
      <c r="AJ14" s="1078">
        <v>66000</v>
      </c>
      <c r="AK14" s="1080"/>
      <c r="AL14" s="1078">
        <v>67000</v>
      </c>
    </row>
    <row r="15" spans="1:41" s="1076" customFormat="1" ht="18" customHeight="1">
      <c r="A15" s="1072" t="s">
        <v>178</v>
      </c>
      <c r="B15" s="1073" t="s">
        <v>183</v>
      </c>
      <c r="C15" s="1074">
        <f>+E15+G15+I15+K15+M15+O15+Q15+S15+U15+W15+AA15+Y15+AC15+AE15+AG15+AI15+AK15</f>
        <v>0</v>
      </c>
      <c r="D15" s="1075">
        <f t="shared" si="6"/>
        <v>7843000</v>
      </c>
      <c r="E15" s="1075"/>
      <c r="F15" s="1075">
        <f>E10*23000</f>
        <v>460000</v>
      </c>
      <c r="G15" s="1075"/>
      <c r="H15" s="1075">
        <f>G10*23000</f>
        <v>460000</v>
      </c>
      <c r="I15" s="1075"/>
      <c r="J15" s="1075">
        <f>I10*23000</f>
        <v>460000</v>
      </c>
      <c r="K15" s="1075"/>
      <c r="L15" s="1075">
        <f>K10*23000</f>
        <v>460000</v>
      </c>
      <c r="M15" s="1075"/>
      <c r="N15" s="1075">
        <f>M10*23000</f>
        <v>460000</v>
      </c>
      <c r="O15" s="1075"/>
      <c r="P15" s="1075">
        <f>O10*23000</f>
        <v>460000</v>
      </c>
      <c r="Q15" s="1075"/>
      <c r="R15" s="1075">
        <f>Q10*23000</f>
        <v>460000</v>
      </c>
      <c r="S15" s="1075"/>
      <c r="T15" s="1075">
        <f>S10*23000</f>
        <v>460000</v>
      </c>
      <c r="U15" s="1082"/>
      <c r="V15" s="1075">
        <f>U10*23000</f>
        <v>460000</v>
      </c>
      <c r="W15" s="1082"/>
      <c r="X15" s="1075">
        <f>W10*23000</f>
        <v>483000</v>
      </c>
      <c r="Y15" s="1082"/>
      <c r="Z15" s="1075">
        <f>Y10*23000</f>
        <v>460000</v>
      </c>
      <c r="AA15" s="1082"/>
      <c r="AB15" s="1075">
        <f>AA10*23000</f>
        <v>460000</v>
      </c>
      <c r="AC15" s="1082"/>
      <c r="AD15" s="1075">
        <f>AC10*23000</f>
        <v>460000</v>
      </c>
      <c r="AE15" s="1075"/>
      <c r="AF15" s="1075">
        <f>AE10*23000</f>
        <v>460000</v>
      </c>
      <c r="AG15" s="1075"/>
      <c r="AH15" s="1075">
        <f>AG10*23000</f>
        <v>460000</v>
      </c>
      <c r="AI15" s="1075"/>
      <c r="AJ15" s="1075">
        <f>AI10*23000</f>
        <v>460000</v>
      </c>
      <c r="AK15" s="1082"/>
      <c r="AL15" s="1075">
        <f>AK10*23000</f>
        <v>460000</v>
      </c>
    </row>
    <row r="16" spans="1:41" ht="18" customHeight="1">
      <c r="A16" s="998"/>
      <c r="B16" s="999" t="s">
        <v>1331</v>
      </c>
      <c r="C16" s="1077">
        <f>+E16+G16+I16+K16+M16+O16+Q16+S16+U16+W16+AA16+Y16+AC16+AE16+AG16+AI16+AK16</f>
        <v>0</v>
      </c>
      <c r="D16" s="1078">
        <f>+AL16+AJ16+AH16+AF16+AD16+Z16+AB16+X16+V16+T16+R16+P16+N16+L16+J16+H16+F16</f>
        <v>784300</v>
      </c>
      <c r="E16" s="1078"/>
      <c r="F16" s="1078">
        <f>F15*10%</f>
        <v>46000</v>
      </c>
      <c r="G16" s="1079">
        <f t="shared" ref="G16:AL16" si="19">G15*10%</f>
        <v>0</v>
      </c>
      <c r="H16" s="1079">
        <f t="shared" si="19"/>
        <v>46000</v>
      </c>
      <c r="I16" s="1079">
        <f t="shared" si="19"/>
        <v>0</v>
      </c>
      <c r="J16" s="1079">
        <f t="shared" si="19"/>
        <v>46000</v>
      </c>
      <c r="K16" s="1079">
        <f t="shared" si="19"/>
        <v>0</v>
      </c>
      <c r="L16" s="1079">
        <f t="shared" si="19"/>
        <v>46000</v>
      </c>
      <c r="M16" s="1079">
        <f t="shared" si="19"/>
        <v>0</v>
      </c>
      <c r="N16" s="1079">
        <f t="shared" si="19"/>
        <v>46000</v>
      </c>
      <c r="O16" s="1079">
        <f t="shared" si="19"/>
        <v>0</v>
      </c>
      <c r="P16" s="1079">
        <f t="shared" si="19"/>
        <v>46000</v>
      </c>
      <c r="Q16" s="1079">
        <f t="shared" si="19"/>
        <v>0</v>
      </c>
      <c r="R16" s="1079">
        <f t="shared" si="19"/>
        <v>46000</v>
      </c>
      <c r="S16" s="1079">
        <f t="shared" si="19"/>
        <v>0</v>
      </c>
      <c r="T16" s="1079">
        <f t="shared" si="19"/>
        <v>46000</v>
      </c>
      <c r="U16" s="1079">
        <f t="shared" si="19"/>
        <v>0</v>
      </c>
      <c r="V16" s="1079">
        <f t="shared" si="19"/>
        <v>46000</v>
      </c>
      <c r="W16" s="1079">
        <f t="shared" si="19"/>
        <v>0</v>
      </c>
      <c r="X16" s="1079">
        <f t="shared" si="19"/>
        <v>48300</v>
      </c>
      <c r="Y16" s="1079">
        <f>Y15*10%</f>
        <v>0</v>
      </c>
      <c r="Z16" s="1079">
        <f>Z15*10%</f>
        <v>46000</v>
      </c>
      <c r="AA16" s="1079">
        <f t="shared" si="19"/>
        <v>0</v>
      </c>
      <c r="AB16" s="1079">
        <f t="shared" si="19"/>
        <v>46000</v>
      </c>
      <c r="AC16" s="1079">
        <f t="shared" si="19"/>
        <v>0</v>
      </c>
      <c r="AD16" s="1079">
        <f t="shared" si="19"/>
        <v>46000</v>
      </c>
      <c r="AE16" s="1079">
        <f t="shared" si="19"/>
        <v>0</v>
      </c>
      <c r="AF16" s="1079">
        <f t="shared" si="19"/>
        <v>46000</v>
      </c>
      <c r="AG16" s="1079">
        <f t="shared" si="19"/>
        <v>0</v>
      </c>
      <c r="AH16" s="1079">
        <f t="shared" si="19"/>
        <v>46000</v>
      </c>
      <c r="AI16" s="1079">
        <f t="shared" si="19"/>
        <v>0</v>
      </c>
      <c r="AJ16" s="1079">
        <f t="shared" si="19"/>
        <v>46000</v>
      </c>
      <c r="AK16" s="1079">
        <f t="shared" si="19"/>
        <v>0</v>
      </c>
      <c r="AL16" s="1079">
        <f t="shared" si="19"/>
        <v>46000</v>
      </c>
    </row>
    <row r="17" spans="1:38" ht="20.25" customHeight="1">
      <c r="A17" s="998"/>
      <c r="B17" s="999" t="s">
        <v>636</v>
      </c>
      <c r="C17" s="1077"/>
      <c r="D17" s="1078">
        <f>+F17+H17+J17+L17+N17+P17+R17+T17+V17+X17+AB17+Z17+AD17+AF17+AH17+AJ17+AL17</f>
        <v>7058700</v>
      </c>
      <c r="E17" s="1078"/>
      <c r="F17" s="1078">
        <f>+F15-F16</f>
        <v>414000</v>
      </c>
      <c r="G17" s="1079">
        <f t="shared" ref="G17:AL17" si="20">+G15-G16</f>
        <v>0</v>
      </c>
      <c r="H17" s="1079">
        <f t="shared" si="20"/>
        <v>414000</v>
      </c>
      <c r="I17" s="1079">
        <f t="shared" si="20"/>
        <v>0</v>
      </c>
      <c r="J17" s="1079">
        <f t="shared" si="20"/>
        <v>414000</v>
      </c>
      <c r="K17" s="1079">
        <f t="shared" si="20"/>
        <v>0</v>
      </c>
      <c r="L17" s="1079">
        <f t="shared" si="20"/>
        <v>414000</v>
      </c>
      <c r="M17" s="1079">
        <f t="shared" si="20"/>
        <v>0</v>
      </c>
      <c r="N17" s="1079">
        <f t="shared" si="20"/>
        <v>414000</v>
      </c>
      <c r="O17" s="1079">
        <f t="shared" si="20"/>
        <v>0</v>
      </c>
      <c r="P17" s="1079">
        <f t="shared" si="20"/>
        <v>414000</v>
      </c>
      <c r="Q17" s="1079">
        <f t="shared" si="20"/>
        <v>0</v>
      </c>
      <c r="R17" s="1079">
        <f t="shared" si="20"/>
        <v>414000</v>
      </c>
      <c r="S17" s="1079">
        <f t="shared" si="20"/>
        <v>0</v>
      </c>
      <c r="T17" s="1079">
        <f t="shared" si="20"/>
        <v>414000</v>
      </c>
      <c r="U17" s="1079">
        <f t="shared" si="20"/>
        <v>0</v>
      </c>
      <c r="V17" s="1079">
        <f t="shared" si="20"/>
        <v>414000</v>
      </c>
      <c r="W17" s="1079">
        <f t="shared" si="20"/>
        <v>0</v>
      </c>
      <c r="X17" s="1079">
        <f t="shared" si="20"/>
        <v>434700</v>
      </c>
      <c r="Y17" s="1079">
        <f>+Y15-Y16</f>
        <v>0</v>
      </c>
      <c r="Z17" s="1079">
        <f>+Z15-Z16</f>
        <v>414000</v>
      </c>
      <c r="AA17" s="1079">
        <f t="shared" si="20"/>
        <v>0</v>
      </c>
      <c r="AB17" s="1079">
        <f t="shared" si="20"/>
        <v>414000</v>
      </c>
      <c r="AC17" s="1079">
        <f t="shared" si="20"/>
        <v>0</v>
      </c>
      <c r="AD17" s="1079">
        <f t="shared" si="20"/>
        <v>414000</v>
      </c>
      <c r="AE17" s="1079">
        <f t="shared" si="20"/>
        <v>0</v>
      </c>
      <c r="AF17" s="1079">
        <f t="shared" si="20"/>
        <v>414000</v>
      </c>
      <c r="AG17" s="1079">
        <f t="shared" si="20"/>
        <v>0</v>
      </c>
      <c r="AH17" s="1079">
        <f t="shared" si="20"/>
        <v>414000</v>
      </c>
      <c r="AI17" s="1079">
        <f t="shared" si="20"/>
        <v>0</v>
      </c>
      <c r="AJ17" s="1079">
        <f t="shared" si="20"/>
        <v>414000</v>
      </c>
      <c r="AK17" s="1079">
        <f t="shared" si="20"/>
        <v>0</v>
      </c>
      <c r="AL17" s="1079">
        <f t="shared" si="20"/>
        <v>414000</v>
      </c>
    </row>
    <row r="18" spans="1:38" s="1076" customFormat="1" ht="30" customHeight="1">
      <c r="A18" s="1072" t="s">
        <v>153</v>
      </c>
      <c r="B18" s="1073" t="s">
        <v>341</v>
      </c>
      <c r="C18" s="1077"/>
      <c r="D18" s="1075">
        <f>+AL18+AJ18+AH18+AF18+AD18+Z18+AB18+X18+V18+T18+R18+P18+N18+L18+J18+H18+F18</f>
        <v>1524744</v>
      </c>
      <c r="E18" s="1075">
        <v>10</v>
      </c>
      <c r="F18" s="1075">
        <f>+E18*0.3*2340*12</f>
        <v>84240</v>
      </c>
      <c r="G18" s="1075">
        <v>10</v>
      </c>
      <c r="H18" s="1075">
        <f>+G18*0.3*2340*12</f>
        <v>84240</v>
      </c>
      <c r="I18" s="1075">
        <v>11</v>
      </c>
      <c r="J18" s="1075">
        <f>+I18*0.3*2340*12</f>
        <v>92664</v>
      </c>
      <c r="K18" s="1075">
        <v>10</v>
      </c>
      <c r="L18" s="1075">
        <f>+K18*0.3*2340*12</f>
        <v>84240</v>
      </c>
      <c r="M18" s="1075">
        <v>9</v>
      </c>
      <c r="N18" s="1075">
        <f>+M18*0.3*2340*12</f>
        <v>75815.999999999985</v>
      </c>
      <c r="O18" s="1075">
        <v>11</v>
      </c>
      <c r="P18" s="1075">
        <f>+O18*0.3*2340*12</f>
        <v>92664</v>
      </c>
      <c r="Q18" s="1075">
        <v>11</v>
      </c>
      <c r="R18" s="1075">
        <f>+Q18*0.3*2340*12</f>
        <v>92664</v>
      </c>
      <c r="S18" s="1075">
        <v>8</v>
      </c>
      <c r="T18" s="1075">
        <f>+S18*0.3*2340*12</f>
        <v>67392</v>
      </c>
      <c r="U18" s="1075">
        <v>13</v>
      </c>
      <c r="V18" s="1075">
        <f>+U18*0.3*2340*12</f>
        <v>109512</v>
      </c>
      <c r="W18" s="1075">
        <v>12</v>
      </c>
      <c r="X18" s="1075">
        <f>+W18*0.3*2340*12</f>
        <v>101088</v>
      </c>
      <c r="Y18" s="1075">
        <v>9</v>
      </c>
      <c r="Z18" s="1075">
        <f>+Y18*0.3*2340*12</f>
        <v>75815.999999999985</v>
      </c>
      <c r="AA18" s="1075">
        <v>10</v>
      </c>
      <c r="AB18" s="1075">
        <f>+AA18*0.3*2340*12</f>
        <v>84240</v>
      </c>
      <c r="AC18" s="1075">
        <v>11</v>
      </c>
      <c r="AD18" s="1075">
        <f>+AC18*0.3*2340*12</f>
        <v>92664</v>
      </c>
      <c r="AE18" s="1075">
        <v>11</v>
      </c>
      <c r="AF18" s="1075">
        <f>+AE18*0.3*2340*12</f>
        <v>92664</v>
      </c>
      <c r="AG18" s="1075">
        <v>11</v>
      </c>
      <c r="AH18" s="1075">
        <f>+AG18*0.3*2340*12</f>
        <v>92664</v>
      </c>
      <c r="AI18" s="1075">
        <v>11</v>
      </c>
      <c r="AJ18" s="1075">
        <f>+AI18*0.3*2340*12</f>
        <v>92664</v>
      </c>
      <c r="AK18" s="1075">
        <v>13</v>
      </c>
      <c r="AL18" s="1075">
        <f>+AK18*0.3*2340*12</f>
        <v>109512</v>
      </c>
    </row>
    <row r="19" spans="1:38" s="1076" customFormat="1" ht="20.25" customHeight="1">
      <c r="A19" s="1072" t="s">
        <v>442</v>
      </c>
      <c r="B19" s="1073" t="s">
        <v>1332</v>
      </c>
      <c r="C19" s="1074"/>
      <c r="D19" s="1075">
        <f>+AL19+AJ19+AH19+AF19+AD19+Z19+AB19+X19+V19+T19+R19+P19+N19+L19+J19+H19+F19</f>
        <v>2990250</v>
      </c>
      <c r="E19" s="1075"/>
      <c r="F19" s="1075">
        <v>189000</v>
      </c>
      <c r="G19" s="1075"/>
      <c r="H19" s="1075">
        <v>191000</v>
      </c>
      <c r="I19" s="1075"/>
      <c r="J19" s="1075">
        <v>175000</v>
      </c>
      <c r="K19" s="1075"/>
      <c r="L19" s="1075">
        <v>163000</v>
      </c>
      <c r="M19" s="1075"/>
      <c r="N19" s="1075">
        <v>160000</v>
      </c>
      <c r="O19" s="1075"/>
      <c r="P19" s="1075">
        <v>173000</v>
      </c>
      <c r="Q19" s="1075"/>
      <c r="R19" s="1075">
        <v>172770</v>
      </c>
      <c r="S19" s="1075"/>
      <c r="T19" s="1075">
        <v>160610</v>
      </c>
      <c r="U19" s="1075"/>
      <c r="V19" s="1075">
        <v>181000</v>
      </c>
      <c r="W19" s="1075"/>
      <c r="X19" s="1075">
        <v>190910</v>
      </c>
      <c r="Y19" s="1075"/>
      <c r="Z19" s="1075">
        <v>179200</v>
      </c>
      <c r="AA19" s="1075"/>
      <c r="AB19" s="1075">
        <v>170610</v>
      </c>
      <c r="AC19" s="1075"/>
      <c r="AD19" s="1075">
        <v>186250</v>
      </c>
      <c r="AE19" s="1075"/>
      <c r="AF19" s="1075">
        <v>171250</v>
      </c>
      <c r="AG19" s="1075"/>
      <c r="AH19" s="1075">
        <v>176810</v>
      </c>
      <c r="AI19" s="1075"/>
      <c r="AJ19" s="1075">
        <v>179600</v>
      </c>
      <c r="AK19" s="1075"/>
      <c r="AL19" s="1075">
        <v>170240</v>
      </c>
    </row>
    <row r="20" spans="1:38" s="1076" customFormat="1" ht="30" customHeight="1">
      <c r="A20" s="1072">
        <v>2</v>
      </c>
      <c r="B20" s="1083" t="s">
        <v>132</v>
      </c>
      <c r="C20" s="1074">
        <f t="shared" ref="C20:AL20" si="21">+C21+C34+C38</f>
        <v>1164</v>
      </c>
      <c r="D20" s="1074">
        <f t="shared" si="21"/>
        <v>19428348</v>
      </c>
      <c r="E20" s="1074">
        <f t="shared" si="21"/>
        <v>68</v>
      </c>
      <c r="F20" s="1074">
        <f t="shared" si="21"/>
        <v>1037287.2000000001</v>
      </c>
      <c r="G20" s="1074">
        <f t="shared" si="21"/>
        <v>60</v>
      </c>
      <c r="H20" s="1074">
        <f t="shared" si="21"/>
        <v>1083882</v>
      </c>
      <c r="I20" s="1074">
        <f t="shared" si="21"/>
        <v>60</v>
      </c>
      <c r="J20" s="1074">
        <f t="shared" si="21"/>
        <v>1086982.8</v>
      </c>
      <c r="K20" s="1074">
        <f t="shared" si="21"/>
        <v>76</v>
      </c>
      <c r="L20" s="1074">
        <f t="shared" si="21"/>
        <v>1213599.6000000001</v>
      </c>
      <c r="M20" s="1074">
        <f t="shared" si="21"/>
        <v>44</v>
      </c>
      <c r="N20" s="1074">
        <f t="shared" si="21"/>
        <v>858280.8</v>
      </c>
      <c r="O20" s="1074">
        <f t="shared" si="21"/>
        <v>52</v>
      </c>
      <c r="P20" s="1074">
        <f t="shared" si="21"/>
        <v>924580.8</v>
      </c>
      <c r="Q20" s="1074">
        <f t="shared" si="21"/>
        <v>68</v>
      </c>
      <c r="R20" s="1074">
        <f t="shared" si="21"/>
        <v>1150718.3999999999</v>
      </c>
      <c r="S20" s="1074">
        <f t="shared" si="21"/>
        <v>52</v>
      </c>
      <c r="T20" s="1074">
        <f t="shared" si="21"/>
        <v>806649.60000000009</v>
      </c>
      <c r="U20" s="1074">
        <f t="shared" si="21"/>
        <v>84</v>
      </c>
      <c r="V20" s="1074">
        <f t="shared" si="21"/>
        <v>1329880.8</v>
      </c>
      <c r="W20" s="1074">
        <f t="shared" si="21"/>
        <v>100</v>
      </c>
      <c r="X20" s="1074">
        <f t="shared" si="21"/>
        <v>1570180.8</v>
      </c>
      <c r="Y20" s="1074">
        <f t="shared" si="21"/>
        <v>84</v>
      </c>
      <c r="Z20" s="1074">
        <f t="shared" si="21"/>
        <v>1456449.6</v>
      </c>
      <c r="AA20" s="1074">
        <f t="shared" si="21"/>
        <v>84</v>
      </c>
      <c r="AB20" s="1074">
        <f t="shared" si="21"/>
        <v>1476880.8</v>
      </c>
      <c r="AC20" s="1074">
        <f t="shared" si="21"/>
        <v>60</v>
      </c>
      <c r="AD20" s="1074">
        <f t="shared" si="21"/>
        <v>994372.8</v>
      </c>
      <c r="AE20" s="1074">
        <f t="shared" si="21"/>
        <v>44</v>
      </c>
      <c r="AF20" s="1074">
        <f t="shared" si="21"/>
        <v>758949.60000000009</v>
      </c>
      <c r="AG20" s="1074">
        <f t="shared" si="21"/>
        <v>100</v>
      </c>
      <c r="AH20" s="1074">
        <f t="shared" si="21"/>
        <v>1424649.6</v>
      </c>
      <c r="AI20" s="1074">
        <f t="shared" si="21"/>
        <v>44</v>
      </c>
      <c r="AJ20" s="1074">
        <f t="shared" si="21"/>
        <v>830499.60000000009</v>
      </c>
      <c r="AK20" s="1074">
        <f t="shared" si="21"/>
        <v>84</v>
      </c>
      <c r="AL20" s="1074">
        <f t="shared" si="21"/>
        <v>1424503.2</v>
      </c>
    </row>
    <row r="21" spans="1:38" s="1058" customFormat="1" ht="17.25" customHeight="1">
      <c r="A21" s="996" t="s">
        <v>212</v>
      </c>
      <c r="B21" s="1084" t="s">
        <v>290</v>
      </c>
      <c r="C21" s="1070">
        <f t="shared" ref="C21:AL21" si="22">SUM(C22:C33)</f>
        <v>204</v>
      </c>
      <c r="D21" s="1070">
        <f t="shared" si="22"/>
        <v>5606289.6000000015</v>
      </c>
      <c r="E21" s="1070">
        <f t="shared" si="22"/>
        <v>12</v>
      </c>
      <c r="F21" s="1070">
        <f t="shared" si="22"/>
        <v>321787.20000000007</v>
      </c>
      <c r="G21" s="1071">
        <f t="shared" si="22"/>
        <v>12</v>
      </c>
      <c r="H21" s="1071">
        <f t="shared" si="22"/>
        <v>325718.40000000008</v>
      </c>
      <c r="I21" s="1071">
        <f t="shared" si="22"/>
        <v>12</v>
      </c>
      <c r="J21" s="1071">
        <f t="shared" si="22"/>
        <v>329088</v>
      </c>
      <c r="K21" s="1071">
        <f t="shared" si="22"/>
        <v>12</v>
      </c>
      <c r="L21" s="1071">
        <f t="shared" si="22"/>
        <v>329649.60000000003</v>
      </c>
      <c r="M21" s="1071">
        <f t="shared" si="22"/>
        <v>12</v>
      </c>
      <c r="N21" s="1071">
        <f t="shared" si="22"/>
        <v>333580.80000000005</v>
      </c>
      <c r="O21" s="1071">
        <f t="shared" si="22"/>
        <v>12</v>
      </c>
      <c r="P21" s="1071">
        <f t="shared" si="22"/>
        <v>333580.80000000005</v>
      </c>
      <c r="Q21" s="1071">
        <f t="shared" si="22"/>
        <v>12</v>
      </c>
      <c r="R21" s="1071">
        <f t="shared" si="22"/>
        <v>325718.40000000002</v>
      </c>
      <c r="S21" s="1071">
        <f t="shared" si="22"/>
        <v>12</v>
      </c>
      <c r="T21" s="1071">
        <f t="shared" si="22"/>
        <v>329649.60000000003</v>
      </c>
      <c r="U21" s="1071">
        <f t="shared" si="22"/>
        <v>12</v>
      </c>
      <c r="V21" s="1071">
        <f t="shared" si="22"/>
        <v>333580.80000000005</v>
      </c>
      <c r="W21" s="1071">
        <f t="shared" si="22"/>
        <v>12</v>
      </c>
      <c r="X21" s="1071">
        <f t="shared" si="22"/>
        <v>333580.80000000005</v>
      </c>
      <c r="Y21" s="1071">
        <f t="shared" si="22"/>
        <v>12</v>
      </c>
      <c r="Z21" s="1071">
        <f t="shared" si="22"/>
        <v>329649.60000000003</v>
      </c>
      <c r="AA21" s="1071">
        <f t="shared" si="22"/>
        <v>12</v>
      </c>
      <c r="AB21" s="1071">
        <f t="shared" si="22"/>
        <v>333580.80000000005</v>
      </c>
      <c r="AC21" s="1071">
        <f t="shared" si="22"/>
        <v>12</v>
      </c>
      <c r="AD21" s="1071">
        <f t="shared" si="22"/>
        <v>330772.8</v>
      </c>
      <c r="AE21" s="1071">
        <f t="shared" si="22"/>
        <v>12</v>
      </c>
      <c r="AF21" s="1071">
        <f t="shared" si="22"/>
        <v>329649.60000000003</v>
      </c>
      <c r="AG21" s="1071">
        <f t="shared" si="22"/>
        <v>12</v>
      </c>
      <c r="AH21" s="1071">
        <f t="shared" si="22"/>
        <v>329649.60000000003</v>
      </c>
      <c r="AI21" s="1071">
        <f t="shared" si="22"/>
        <v>12</v>
      </c>
      <c r="AJ21" s="1071">
        <f t="shared" si="22"/>
        <v>329649.60000000003</v>
      </c>
      <c r="AK21" s="1071">
        <f t="shared" si="22"/>
        <v>12</v>
      </c>
      <c r="AL21" s="1071">
        <f t="shared" si="22"/>
        <v>327403.2</v>
      </c>
    </row>
    <row r="22" spans="1:38" s="1058" customFormat="1" ht="17.25" customHeight="1">
      <c r="A22" s="1085" t="s">
        <v>215</v>
      </c>
      <c r="B22" s="1086" t="s">
        <v>524</v>
      </c>
      <c r="C22" s="1077">
        <f t="shared" ref="C22:C33" si="23">+E22+G22+I22+K22+M22+O22+Q22+S22+U22+W22+AA22+Y22+AC22+AE22+AG22+AI22+AK22</f>
        <v>17</v>
      </c>
      <c r="D22" s="1078">
        <f>+AL22+AJ22+AH22+AF22+AD22+Z22+AB22+X22+V22+T22+R22+P22+N22+L22+J22+H22+F22</f>
        <v>507957.60000000009</v>
      </c>
      <c r="E22" s="1077">
        <v>1</v>
      </c>
      <c r="F22" s="1087">
        <f>+(E22*2150*12)+(E22*2340*14%*12)</f>
        <v>29731.200000000001</v>
      </c>
      <c r="G22" s="1087">
        <v>1</v>
      </c>
      <c r="H22" s="1087">
        <f>+(G22*2150*12)+(G22*2340*14%*12)</f>
        <v>29731.200000000001</v>
      </c>
      <c r="I22" s="1087">
        <v>1</v>
      </c>
      <c r="J22" s="1087">
        <f>+(I22*2150*12)+(I22*2340*17%*12)</f>
        <v>30573.599999999999</v>
      </c>
      <c r="K22" s="1087">
        <v>1</v>
      </c>
      <c r="L22" s="1087">
        <f>+(K22*2150*12)+(K22*2340*14%*12)</f>
        <v>29731.200000000001</v>
      </c>
      <c r="M22" s="1087">
        <v>1</v>
      </c>
      <c r="N22" s="1087">
        <f>+(M22*2150*12)+(M22*2340*14%*12)</f>
        <v>29731.200000000001</v>
      </c>
      <c r="O22" s="1087">
        <v>1</v>
      </c>
      <c r="P22" s="1087">
        <f>+(O22*2150*12)+(O22*2340*14%*12)</f>
        <v>29731.200000000001</v>
      </c>
      <c r="Q22" s="1087">
        <v>1</v>
      </c>
      <c r="R22" s="1087">
        <f>+(Q22*2150*12)+(Q22*2340*14%*12)</f>
        <v>29731.200000000001</v>
      </c>
      <c r="S22" s="1087">
        <v>1</v>
      </c>
      <c r="T22" s="1087">
        <f>+(S22*2150*12)+(S22*2340*14%*12)</f>
        <v>29731.200000000001</v>
      </c>
      <c r="U22" s="1087">
        <v>1</v>
      </c>
      <c r="V22" s="1087">
        <f>+(U22*2150*12)+(U22*2340*14%*12)</f>
        <v>29731.200000000001</v>
      </c>
      <c r="W22" s="1087">
        <v>1</v>
      </c>
      <c r="X22" s="1087">
        <f>+(W22*2150*12)+(W22*2340*14%*12)</f>
        <v>29731.200000000001</v>
      </c>
      <c r="Y22" s="1087">
        <v>1</v>
      </c>
      <c r="Z22" s="1087">
        <f>+(Y22*2150*12)+(Y22*2340*14%*12)</f>
        <v>29731.200000000001</v>
      </c>
      <c r="AA22" s="1087">
        <v>1</v>
      </c>
      <c r="AB22" s="1087">
        <f>+(AA22*2150*12)+(AA22*2340*14%*12)</f>
        <v>29731.200000000001</v>
      </c>
      <c r="AC22" s="1087">
        <v>1</v>
      </c>
      <c r="AD22" s="1087">
        <f>+(AC22*2150*12)+(AC22*2340*17%*12)</f>
        <v>30573.599999999999</v>
      </c>
      <c r="AE22" s="1087">
        <v>1</v>
      </c>
      <c r="AF22" s="1087">
        <f>+(AE22*2150*12)+(AE22*2340*14%*12)</f>
        <v>29731.200000000001</v>
      </c>
      <c r="AG22" s="1087">
        <v>1</v>
      </c>
      <c r="AH22" s="1087">
        <f>+(AG22*2150*12)+(AG22*2340*14%*12)</f>
        <v>29731.200000000001</v>
      </c>
      <c r="AI22" s="1087">
        <v>1</v>
      </c>
      <c r="AJ22" s="1087">
        <f>+(AI22*2150*12)+(AI22*2340*14%*12)</f>
        <v>29731.200000000001</v>
      </c>
      <c r="AK22" s="1087">
        <v>1</v>
      </c>
      <c r="AL22" s="1087">
        <f>+(AK22*2150*12)+(AK22*2340*17%*12)</f>
        <v>30573.599999999999</v>
      </c>
    </row>
    <row r="23" spans="1:38" s="1058" customFormat="1" ht="17.25" customHeight="1">
      <c r="A23" s="1085" t="s">
        <v>215</v>
      </c>
      <c r="B23" s="1086" t="s">
        <v>525</v>
      </c>
      <c r="C23" s="1077">
        <f t="shared" si="23"/>
        <v>17</v>
      </c>
      <c r="D23" s="1078">
        <f>+AL23+AJ23+AH23+AF23+AD23+Z23+AB23+X23+V23+T23+R23+P23+N23+L23+J23+H23+F23</f>
        <v>507115.20000000007</v>
      </c>
      <c r="E23" s="1077">
        <v>1</v>
      </c>
      <c r="F23" s="1087">
        <f>+(E23*2150*12)+(E23*2340*14%*12)</f>
        <v>29731.200000000001</v>
      </c>
      <c r="G23" s="1087">
        <v>1</v>
      </c>
      <c r="H23" s="1087">
        <f>+(G23*2150*12)+(G23*2340*14%*12)</f>
        <v>29731.200000000001</v>
      </c>
      <c r="I23" s="1087">
        <v>1</v>
      </c>
      <c r="J23" s="1087">
        <f>+(I23*2150*12)+(I23*2340*17%*12)</f>
        <v>30573.599999999999</v>
      </c>
      <c r="K23" s="1087">
        <v>1</v>
      </c>
      <c r="L23" s="1087">
        <f>+(K23*2150*12)+(K23*2340*14%*12)</f>
        <v>29731.200000000001</v>
      </c>
      <c r="M23" s="1087">
        <v>1</v>
      </c>
      <c r="N23" s="1087">
        <f>+(M23*2150*12)+(M23*2340*14%*12)</f>
        <v>29731.200000000001</v>
      </c>
      <c r="O23" s="1087">
        <v>1</v>
      </c>
      <c r="P23" s="1087">
        <f>+(O23*2150*12)+(O23*2340*14%*12)</f>
        <v>29731.200000000001</v>
      </c>
      <c r="Q23" s="1087">
        <v>1</v>
      </c>
      <c r="R23" s="1087">
        <f>+(Q23*2150*12)+(Q23*2340*14%*12)</f>
        <v>29731.200000000001</v>
      </c>
      <c r="S23" s="1087">
        <v>1</v>
      </c>
      <c r="T23" s="1087">
        <f>+(S23*2150*12)+(S23*2340*14%*12)</f>
        <v>29731.200000000001</v>
      </c>
      <c r="U23" s="1087">
        <v>1</v>
      </c>
      <c r="V23" s="1087">
        <f>+(U23*2150*12)+(U23*2340*14%*12)</f>
        <v>29731.200000000001</v>
      </c>
      <c r="W23" s="1087">
        <v>1</v>
      </c>
      <c r="X23" s="1087">
        <f>+(W23*2150*12)+(W23*2340*14%*12)</f>
        <v>29731.200000000001</v>
      </c>
      <c r="Y23" s="1087">
        <v>1</v>
      </c>
      <c r="Z23" s="1087">
        <f>+(Y23*2150*12)+(Y23*2340*14%*12)</f>
        <v>29731.200000000001</v>
      </c>
      <c r="AA23" s="1087">
        <v>1</v>
      </c>
      <c r="AB23" s="1087">
        <f>+(AA23*2150*12)+(AA23*2340*14%*12)</f>
        <v>29731.200000000001</v>
      </c>
      <c r="AC23" s="1087">
        <v>1</v>
      </c>
      <c r="AD23" s="1087">
        <f>+(AC23*2150*12)+(AC23*2340*14%*12)</f>
        <v>29731.200000000001</v>
      </c>
      <c r="AE23" s="1087">
        <v>1</v>
      </c>
      <c r="AF23" s="1087">
        <f>+(AE23*2150*12)+(AE23*2340*14%*12)</f>
        <v>29731.200000000001</v>
      </c>
      <c r="AG23" s="1087">
        <v>1</v>
      </c>
      <c r="AH23" s="1087">
        <f>+(AG23*2150*12)+(AG23*2340*14%*12)</f>
        <v>29731.200000000001</v>
      </c>
      <c r="AI23" s="1087">
        <v>1</v>
      </c>
      <c r="AJ23" s="1087">
        <f>+(AI23*2150*12)+(AI23*2340*14%*12)</f>
        <v>29731.200000000001</v>
      </c>
      <c r="AK23" s="1087">
        <v>1</v>
      </c>
      <c r="AL23" s="1087">
        <f>+(AK23*2150*12)+(AK23*2340*17%*12)</f>
        <v>30573.599999999999</v>
      </c>
    </row>
    <row r="24" spans="1:38" s="1058" customFormat="1" ht="17.25" customHeight="1">
      <c r="A24" s="1085" t="s">
        <v>215</v>
      </c>
      <c r="B24" s="1086" t="s">
        <v>318</v>
      </c>
      <c r="C24" s="1077">
        <f t="shared" si="23"/>
        <v>17</v>
      </c>
      <c r="D24" s="1078">
        <f>+AL24+AJ24+AH24+AF24+AD24+Z24+AB24+X24+V24+T24+R24+P24+N24+L24+J24+H24+F24</f>
        <v>502341.60000000009</v>
      </c>
      <c r="E24" s="1077">
        <v>1</v>
      </c>
      <c r="F24" s="1087">
        <f>+(E24*2150*12)+(E24*2340*14%*12)</f>
        <v>29731.200000000001</v>
      </c>
      <c r="G24" s="1087">
        <v>1</v>
      </c>
      <c r="H24" s="1087">
        <f>+(G24*2150*12)+(G24*2340*14%*12)</f>
        <v>29731.200000000001</v>
      </c>
      <c r="I24" s="1087">
        <v>1</v>
      </c>
      <c r="J24" s="1087">
        <f>+(I24*2150*12)+(I24*2340*14%*12)</f>
        <v>29731.200000000001</v>
      </c>
      <c r="K24" s="1087">
        <v>1</v>
      </c>
      <c r="L24" s="1087">
        <f>+(K24*2150*12)+(K24*2340*14%*12)</f>
        <v>29731.200000000001</v>
      </c>
      <c r="M24" s="1087">
        <v>1</v>
      </c>
      <c r="N24" s="1087">
        <f>+(M24*2150*12)+(M24*2340*14%*12)</f>
        <v>29731.200000000001</v>
      </c>
      <c r="O24" s="1087">
        <v>1</v>
      </c>
      <c r="P24" s="1087">
        <f>+(O24*2150*12)+(O24*2340*14%*12)</f>
        <v>29731.200000000001</v>
      </c>
      <c r="Q24" s="1087">
        <v>1</v>
      </c>
      <c r="R24" s="1087">
        <f>+(Q24*2150*12)+(Q24*2340*14%*12)</f>
        <v>29731.200000000001</v>
      </c>
      <c r="S24" s="1087">
        <v>1</v>
      </c>
      <c r="T24" s="1087">
        <f>+(S24*2150*12)+(S24*2340*14%*12)</f>
        <v>29731.200000000001</v>
      </c>
      <c r="U24" s="1087">
        <v>1</v>
      </c>
      <c r="V24" s="1087">
        <f>+(U24*2150*12)+(U24*2340*14%*12)</f>
        <v>29731.200000000001</v>
      </c>
      <c r="W24" s="1087">
        <v>1</v>
      </c>
      <c r="X24" s="1087">
        <f>+(W24*2150*12)+(W24*2340*14%*12)</f>
        <v>29731.200000000001</v>
      </c>
      <c r="Y24" s="1087">
        <v>1</v>
      </c>
      <c r="Z24" s="1087">
        <f>+(Y24*2150*12)+(Y24*2340*14%*12)</f>
        <v>29731.200000000001</v>
      </c>
      <c r="AA24" s="1087">
        <v>1</v>
      </c>
      <c r="AB24" s="1087">
        <f>+(AA24*2150*12)+(AA24*2340*14%*12)</f>
        <v>29731.200000000001</v>
      </c>
      <c r="AC24" s="1087">
        <v>1</v>
      </c>
      <c r="AD24" s="1087">
        <f>+(AC24*2150*12)+(AC24*2340*17%*12)</f>
        <v>30573.599999999999</v>
      </c>
      <c r="AE24" s="1087">
        <v>1</v>
      </c>
      <c r="AF24" s="1087">
        <f>+(AE24*2150*12)+(AE24*2340*14%*12)</f>
        <v>29731.200000000001</v>
      </c>
      <c r="AG24" s="1087">
        <v>1</v>
      </c>
      <c r="AH24" s="1087">
        <f>+(AG24*2150*12)</f>
        <v>25800</v>
      </c>
      <c r="AI24" s="1087">
        <v>1</v>
      </c>
      <c r="AJ24" s="1087">
        <f>+(AI24*2150*12)+(AI24*2340*14%*12)</f>
        <v>29731.200000000001</v>
      </c>
      <c r="AK24" s="1087">
        <v>1</v>
      </c>
      <c r="AL24" s="1087">
        <f>+(AK24*2150*12)+(AK24*2340*14%*12)</f>
        <v>29731.200000000001</v>
      </c>
    </row>
    <row r="25" spans="1:38" s="1058" customFormat="1" ht="17.25" customHeight="1">
      <c r="A25" s="1085" t="s">
        <v>215</v>
      </c>
      <c r="B25" s="1086" t="s">
        <v>526</v>
      </c>
      <c r="C25" s="1077">
        <f t="shared" si="23"/>
        <v>17</v>
      </c>
      <c r="D25" s="1078">
        <f>+AL25+AJ25+AH25+AF25+AD25+Z25+AB25+X25+V25+T25+R25+P25+N25+L25+J25+H25+F25</f>
        <v>486616.80000000005</v>
      </c>
      <c r="E25" s="1077">
        <v>1</v>
      </c>
      <c r="F25" s="1087">
        <f>+(E25*2150*12)</f>
        <v>25800</v>
      </c>
      <c r="G25" s="1087">
        <v>1</v>
      </c>
      <c r="H25" s="1087">
        <f>+(G25*2150*12)</f>
        <v>25800</v>
      </c>
      <c r="I25" s="1087">
        <v>1</v>
      </c>
      <c r="J25" s="1087">
        <f>+(I25*2150*12)+(I25*2340*14%*12)</f>
        <v>29731.200000000001</v>
      </c>
      <c r="K25" s="1087">
        <v>1</v>
      </c>
      <c r="L25" s="1087">
        <f>+(K25*2150*12)</f>
        <v>25800</v>
      </c>
      <c r="M25" s="1087">
        <v>1</v>
      </c>
      <c r="N25" s="1087">
        <f>+(M25*2150*12)</f>
        <v>25800</v>
      </c>
      <c r="O25" s="1087">
        <v>1</v>
      </c>
      <c r="P25" s="1087">
        <f>+(O25*2150*12)</f>
        <v>25800</v>
      </c>
      <c r="Q25" s="1087">
        <v>1</v>
      </c>
      <c r="R25" s="1087">
        <f>+(Q25*2150*12)+(Q25*2340*14%*12)</f>
        <v>29731.200000000001</v>
      </c>
      <c r="S25" s="1087">
        <v>1</v>
      </c>
      <c r="T25" s="1087">
        <f>+(S25*2150*12)+(S25*2340*14%*12)</f>
        <v>29731.200000000001</v>
      </c>
      <c r="U25" s="1087">
        <v>1</v>
      </c>
      <c r="V25" s="1087">
        <f>+(U25*2150*12)+(U25*2340*14%*12)</f>
        <v>29731.200000000001</v>
      </c>
      <c r="W25" s="1087">
        <v>1</v>
      </c>
      <c r="X25" s="1087">
        <f>+(W25*2150*12)+(W25*2340*14%*12)</f>
        <v>29731.200000000001</v>
      </c>
      <c r="Y25" s="1087">
        <v>1</v>
      </c>
      <c r="Z25" s="1087">
        <f>+(Y25*2150*12)+(Y25*2340*14%*12)</f>
        <v>29731.200000000001</v>
      </c>
      <c r="AA25" s="1087">
        <v>1</v>
      </c>
      <c r="AB25" s="1087">
        <f>+(AA25*2150*12)+(AA25*2340*14%*12)</f>
        <v>29731.200000000001</v>
      </c>
      <c r="AC25" s="1087">
        <v>1</v>
      </c>
      <c r="AD25" s="1087">
        <f>+(AC25*2150*12)+(AC25*2340*17%*12)</f>
        <v>30573.599999999999</v>
      </c>
      <c r="AE25" s="1087">
        <v>1</v>
      </c>
      <c r="AF25" s="1087">
        <f>+(AE25*2150*12)+(AE25*2340*14%*12)</f>
        <v>29731.200000000001</v>
      </c>
      <c r="AG25" s="1087">
        <v>1</v>
      </c>
      <c r="AH25" s="1087">
        <f>+(AG25*2150*12)+(AG25*2340*14%*12)</f>
        <v>29731.200000000001</v>
      </c>
      <c r="AI25" s="1087">
        <v>1</v>
      </c>
      <c r="AJ25" s="1087">
        <f>+(AI25*2150*12)+(AI25*2340*14%*12)</f>
        <v>29731.200000000001</v>
      </c>
      <c r="AK25" s="1087">
        <v>1</v>
      </c>
      <c r="AL25" s="1087">
        <f>+(AK25*2150*12)+(AK25*2340*14%*12)</f>
        <v>29731.200000000001</v>
      </c>
    </row>
    <row r="26" spans="1:38" s="1058" customFormat="1" ht="20.25" customHeight="1">
      <c r="A26" s="1085" t="s">
        <v>215</v>
      </c>
      <c r="B26" s="1086" t="s">
        <v>319</v>
      </c>
      <c r="C26" s="1077">
        <f t="shared" si="23"/>
        <v>17</v>
      </c>
      <c r="D26" s="1078">
        <f>+AL26+AJ26+AH26+AF26+AD26+Z26+AB23+X26+V26+T26+R26+P26+N26+L26+J26+H26+F26</f>
        <v>503184.00000000006</v>
      </c>
      <c r="E26" s="1077">
        <v>1</v>
      </c>
      <c r="F26" s="1087">
        <f>+(E26*2150*12)+(E26*2340*14%*12)</f>
        <v>29731.200000000001</v>
      </c>
      <c r="G26" s="1087">
        <v>1</v>
      </c>
      <c r="H26" s="1087">
        <f>+(G26*2150*12)+(G26*2340*14%*12)</f>
        <v>29731.200000000001</v>
      </c>
      <c r="I26" s="1087">
        <v>1</v>
      </c>
      <c r="J26" s="1087">
        <f>+(I26*2150*12)+(I26*2340*17%*12)</f>
        <v>30573.599999999999</v>
      </c>
      <c r="K26" s="1087">
        <v>1</v>
      </c>
      <c r="L26" s="1087">
        <f>+(K26*2150*12)+(K26*2340*14%*12)</f>
        <v>29731.200000000001</v>
      </c>
      <c r="M26" s="1087">
        <v>1</v>
      </c>
      <c r="N26" s="1087">
        <f>+(M26*2150*12)+(M26*2340*14%*12)</f>
        <v>29731.200000000001</v>
      </c>
      <c r="O26" s="1087">
        <v>1</v>
      </c>
      <c r="P26" s="1087">
        <f>+(O26*2150*12)+(O26*2340*14%*12)</f>
        <v>29731.200000000001</v>
      </c>
      <c r="Q26" s="1087">
        <v>1</v>
      </c>
      <c r="R26" s="1087">
        <f>+(Q26*2150*12)</f>
        <v>25800</v>
      </c>
      <c r="S26" s="1087">
        <v>1</v>
      </c>
      <c r="T26" s="1087">
        <f>+(S26*2150*12)+(S26*2340*14%*12)</f>
        <v>29731.200000000001</v>
      </c>
      <c r="U26" s="1087">
        <v>1</v>
      </c>
      <c r="V26" s="1087">
        <f>+(U26*2150*12)+(U26*2340*14%*12)</f>
        <v>29731.200000000001</v>
      </c>
      <c r="W26" s="1087">
        <v>1</v>
      </c>
      <c r="X26" s="1087">
        <f>+(W26*2150*12)+(W26*2340*14%*12)</f>
        <v>29731.200000000001</v>
      </c>
      <c r="Y26" s="1087">
        <v>1</v>
      </c>
      <c r="Z26" s="1087">
        <f>+(Y26*2150*12)+(Y26*2340*14%*12)</f>
        <v>29731.200000000001</v>
      </c>
      <c r="AA26" s="1087">
        <v>1</v>
      </c>
      <c r="AB26" s="1087">
        <f>+(AA26*2150*12)+(AA26*2340*14%*12)</f>
        <v>29731.200000000001</v>
      </c>
      <c r="AC26" s="1087">
        <v>1</v>
      </c>
      <c r="AD26" s="1087">
        <f>+(AC26*2150*12)+(AC26*2340*17%*12)</f>
        <v>30573.599999999999</v>
      </c>
      <c r="AE26" s="1087">
        <v>1</v>
      </c>
      <c r="AF26" s="1087">
        <f>+(AE26*2150*12)+(AE26*2340*14%*12)</f>
        <v>29731.200000000001</v>
      </c>
      <c r="AG26" s="1087">
        <v>1</v>
      </c>
      <c r="AH26" s="1087">
        <f>+(AG26*2150*12)+(AG26*2340*14%*12)</f>
        <v>29731.200000000001</v>
      </c>
      <c r="AI26" s="1087">
        <v>1</v>
      </c>
      <c r="AJ26" s="1087">
        <f>+(AI26*2150*12)+(AI26*2340*14%*12)</f>
        <v>29731.200000000001</v>
      </c>
      <c r="AK26" s="1087">
        <v>1</v>
      </c>
      <c r="AL26" s="1087">
        <f>+(AK26*2150*12)+(AK26*2340*14%*12)</f>
        <v>29731.200000000001</v>
      </c>
    </row>
    <row r="27" spans="1:38" s="1058" customFormat="1" ht="12.75" customHeight="1">
      <c r="A27" s="1085" t="s">
        <v>215</v>
      </c>
      <c r="B27" s="1086" t="s">
        <v>291</v>
      </c>
      <c r="C27" s="1077">
        <f t="shared" si="23"/>
        <v>17</v>
      </c>
      <c r="D27" s="1078">
        <f t="shared" ref="D27:D33" si="24">+AL27+AJ27+AH27+AF27+AD27+Z27+AB27+X27+V27+T27+R27+P27+N27+L27+J27+H27+F27</f>
        <v>482784.00000000006</v>
      </c>
      <c r="E27" s="1077">
        <v>1</v>
      </c>
      <c r="F27" s="1087">
        <f>+(E27*2050*12)+(E27*2340*14%*12)</f>
        <v>28531.200000000001</v>
      </c>
      <c r="G27" s="1087">
        <v>1</v>
      </c>
      <c r="H27" s="1087">
        <f>+(G27*2050*12)+(G27*2340*14%*12)</f>
        <v>28531.200000000001</v>
      </c>
      <c r="I27" s="1087">
        <v>1</v>
      </c>
      <c r="J27" s="1087">
        <f>+(I27*2050*12)+(I27*2340*17%*12)</f>
        <v>29373.599999999999</v>
      </c>
      <c r="K27" s="1087">
        <v>1</v>
      </c>
      <c r="L27" s="1087">
        <f>+(K27*2050*12)+(K27*2340*14%*12)</f>
        <v>28531.200000000001</v>
      </c>
      <c r="M27" s="1087">
        <v>1</v>
      </c>
      <c r="N27" s="1087">
        <f>+(M27*2050*12)+(M27*2340*14%*12)</f>
        <v>28531.200000000001</v>
      </c>
      <c r="O27" s="1087">
        <v>1</v>
      </c>
      <c r="P27" s="1087">
        <f>+(O27*2050*12)+(O27*2340*14%*12)</f>
        <v>28531.200000000001</v>
      </c>
      <c r="Q27" s="1087">
        <v>1</v>
      </c>
      <c r="R27" s="1087">
        <f>+(Q27*2050*12)+(Q27*2340*14%*12)</f>
        <v>28531.200000000001</v>
      </c>
      <c r="S27" s="1087">
        <v>1</v>
      </c>
      <c r="T27" s="1087">
        <f>+(S27*2050*12)+(S27*2340*14%*12)</f>
        <v>28531.200000000001</v>
      </c>
      <c r="U27" s="1087">
        <v>1</v>
      </c>
      <c r="V27" s="1087">
        <f>+(U27*2050*12)</f>
        <v>24600</v>
      </c>
      <c r="W27" s="1087">
        <v>1</v>
      </c>
      <c r="X27" s="1087">
        <f>+(W27*2050*12)+(W27*2340*14%*12)</f>
        <v>28531.200000000001</v>
      </c>
      <c r="Y27" s="1087">
        <v>1</v>
      </c>
      <c r="Z27" s="1087">
        <f>+(Y27*2050*12)+(Y27*2340*14%*12)</f>
        <v>28531.200000000001</v>
      </c>
      <c r="AA27" s="1087">
        <v>1</v>
      </c>
      <c r="AB27" s="1087">
        <f>+(AA27*2050*12)+(AA27*2340*14%*12)</f>
        <v>28531.200000000001</v>
      </c>
      <c r="AC27" s="1087">
        <v>1</v>
      </c>
      <c r="AD27" s="1087">
        <f>+(AC27*2050*12)+(AC27*2340*17%*12)</f>
        <v>29373.599999999999</v>
      </c>
      <c r="AE27" s="1087">
        <v>1</v>
      </c>
      <c r="AF27" s="1087">
        <f>+(AE27*2050*12)+(AE27*2340*14%*12)</f>
        <v>28531.200000000001</v>
      </c>
      <c r="AG27" s="1087">
        <v>1</v>
      </c>
      <c r="AH27" s="1087">
        <f>+(AG27*2050*12)+(AG27*2340*14%*12)</f>
        <v>28531.200000000001</v>
      </c>
      <c r="AI27" s="1087">
        <v>1</v>
      </c>
      <c r="AJ27" s="1087">
        <f>+(AI27*2050*12)+(AI27*2340*14%*12)</f>
        <v>28531.200000000001</v>
      </c>
      <c r="AK27" s="1087">
        <v>1</v>
      </c>
      <c r="AL27" s="1087">
        <f>+(AK27*2050*12)+(AK27*2340*14%*12)</f>
        <v>28531.200000000001</v>
      </c>
    </row>
    <row r="28" spans="1:38" s="1058" customFormat="1" ht="12.75" customHeight="1">
      <c r="A28" s="1085" t="s">
        <v>215</v>
      </c>
      <c r="B28" s="1086" t="s">
        <v>292</v>
      </c>
      <c r="C28" s="1077">
        <f t="shared" si="23"/>
        <v>17</v>
      </c>
      <c r="D28" s="1078">
        <f t="shared" si="24"/>
        <v>453580.80000000005</v>
      </c>
      <c r="E28" s="1077">
        <v>1</v>
      </c>
      <c r="F28" s="1087">
        <f>+(E28*2050*12)+(E28*2340*14%*12)</f>
        <v>28531.200000000001</v>
      </c>
      <c r="G28" s="1087">
        <v>1</v>
      </c>
      <c r="H28" s="1087">
        <f>+(G28*2050*12)</f>
        <v>24600</v>
      </c>
      <c r="I28" s="1087">
        <v>1</v>
      </c>
      <c r="J28" s="1087">
        <f>+(I28*2050*12)</f>
        <v>24600</v>
      </c>
      <c r="K28" s="1087">
        <v>1</v>
      </c>
      <c r="L28" s="1087">
        <f>+(K28*2050*12)+(K28*2340*14%*12)</f>
        <v>28531.200000000001</v>
      </c>
      <c r="M28" s="1087">
        <v>1</v>
      </c>
      <c r="N28" s="1087">
        <f>+(M28*2050*12)+(M28*2340*14%*12)</f>
        <v>28531.200000000001</v>
      </c>
      <c r="O28" s="1087">
        <v>1</v>
      </c>
      <c r="P28" s="1087">
        <f>+(O28*2050*12)+(O28*2340*14%*12)</f>
        <v>28531.200000000001</v>
      </c>
      <c r="Q28" s="1087">
        <v>1</v>
      </c>
      <c r="R28" s="1087">
        <f>+(Q28*2050*12)</f>
        <v>24600</v>
      </c>
      <c r="S28" s="1087">
        <v>1</v>
      </c>
      <c r="T28" s="1087">
        <f>+(S28*2050*12)</f>
        <v>24600</v>
      </c>
      <c r="U28" s="1087">
        <v>1</v>
      </c>
      <c r="V28" s="1087">
        <f>+(U28*2050*12)+(U28*2340*14%*12)</f>
        <v>28531.200000000001</v>
      </c>
      <c r="W28" s="1087">
        <v>1</v>
      </c>
      <c r="X28" s="1087">
        <f>+(W28*2050*12)</f>
        <v>24600</v>
      </c>
      <c r="Y28" s="1087">
        <v>1</v>
      </c>
      <c r="Z28" s="1087">
        <f>+(Y28*2050*12)</f>
        <v>24600</v>
      </c>
      <c r="AA28" s="1087">
        <v>1</v>
      </c>
      <c r="AB28" s="1087">
        <f>+(AA28*2050*12)</f>
        <v>24600</v>
      </c>
      <c r="AC28" s="1087">
        <v>1</v>
      </c>
      <c r="AD28" s="1087">
        <f>+(AC28*2050*12)</f>
        <v>24600</v>
      </c>
      <c r="AE28" s="1087">
        <v>1</v>
      </c>
      <c r="AF28" s="1087">
        <f>+(AE28*2050*12)+(AE28*2340*14%*12)</f>
        <v>28531.200000000001</v>
      </c>
      <c r="AG28" s="1087">
        <v>1</v>
      </c>
      <c r="AH28" s="1087">
        <f>+(AG28*2050*12)+(AG28*2340*14%*12)</f>
        <v>28531.200000000001</v>
      </c>
      <c r="AI28" s="1087">
        <v>1</v>
      </c>
      <c r="AJ28" s="1087">
        <f>+(AI28*2050*12)+(AI28*2340*14%*12)</f>
        <v>28531.200000000001</v>
      </c>
      <c r="AK28" s="1087">
        <v>1</v>
      </c>
      <c r="AL28" s="1087">
        <f>+(AK28*2050*12)+(AK28*2340*14%*12)</f>
        <v>28531.200000000001</v>
      </c>
    </row>
    <row r="29" spans="1:38" s="1058" customFormat="1" ht="12.75" customHeight="1">
      <c r="A29" s="1085" t="s">
        <v>215</v>
      </c>
      <c r="B29" s="1086" t="s">
        <v>527</v>
      </c>
      <c r="C29" s="1077">
        <f t="shared" si="23"/>
        <v>17</v>
      </c>
      <c r="D29" s="1078">
        <f t="shared" si="24"/>
        <v>423724.80000000005</v>
      </c>
      <c r="E29" s="1077">
        <v>1</v>
      </c>
      <c r="F29" s="1087">
        <f>+(E29*2000*12)</f>
        <v>24000</v>
      </c>
      <c r="G29" s="1087">
        <v>1</v>
      </c>
      <c r="H29" s="1087">
        <f>+(G29*2000*12)+(G29*2340*14%*12)</f>
        <v>27931.200000000001</v>
      </c>
      <c r="I29" s="1087">
        <v>1</v>
      </c>
      <c r="J29" s="1087">
        <f>+(I29*2000*12)</f>
        <v>24000</v>
      </c>
      <c r="K29" s="1087">
        <v>1</v>
      </c>
      <c r="L29" s="1087">
        <f>+(K29*2000*12)+(K29*2340*14%*12)</f>
        <v>27931.200000000001</v>
      </c>
      <c r="M29" s="1087">
        <v>1</v>
      </c>
      <c r="N29" s="1087">
        <f>+(M29*2000*12)</f>
        <v>24000</v>
      </c>
      <c r="O29" s="1087">
        <v>1</v>
      </c>
      <c r="P29" s="1087">
        <f>+(O29*2000*12)</f>
        <v>24000</v>
      </c>
      <c r="Q29" s="1087">
        <v>1</v>
      </c>
      <c r="R29" s="1087">
        <f>+(Q29*2000*12)</f>
        <v>24000</v>
      </c>
      <c r="S29" s="1087">
        <v>1</v>
      </c>
      <c r="T29" s="1087">
        <f>+(S29*2000*12)+(S29*2340*14%*12)</f>
        <v>27931.200000000001</v>
      </c>
      <c r="U29" s="1087">
        <v>1</v>
      </c>
      <c r="V29" s="1087">
        <f>+(U29*2000*12)</f>
        <v>24000</v>
      </c>
      <c r="W29" s="1087">
        <v>1</v>
      </c>
      <c r="X29" s="1087">
        <f>+(W29*2000*12)</f>
        <v>24000</v>
      </c>
      <c r="Y29" s="1087">
        <v>1</v>
      </c>
      <c r="Z29" s="1087">
        <f>+(Y29*2000*12)</f>
        <v>24000</v>
      </c>
      <c r="AA29" s="1087">
        <v>1</v>
      </c>
      <c r="AB29" s="1087">
        <f>+(AA29*2000*12)+(AA29*2340*14%*12)</f>
        <v>27931.200000000001</v>
      </c>
      <c r="AC29" s="1087">
        <v>1</v>
      </c>
      <c r="AD29" s="1087">
        <f>+(AC29*2000*12)</f>
        <v>24000</v>
      </c>
      <c r="AE29" s="1087">
        <v>1</v>
      </c>
      <c r="AF29" s="1087">
        <f>+(AE29*2000*12)</f>
        <v>24000</v>
      </c>
      <c r="AG29" s="1087">
        <v>1</v>
      </c>
      <c r="AH29" s="1087">
        <f>+(AG29*2000*12)</f>
        <v>24000</v>
      </c>
      <c r="AI29" s="1087">
        <v>1</v>
      </c>
      <c r="AJ29" s="1087">
        <f>+(AI29*2000*12)</f>
        <v>24000</v>
      </c>
      <c r="AK29" s="1087">
        <v>1</v>
      </c>
      <c r="AL29" s="1087">
        <f>+(AK29*2000*12)</f>
        <v>24000</v>
      </c>
    </row>
    <row r="30" spans="1:38" s="1058" customFormat="1" ht="12.75" customHeight="1">
      <c r="A30" s="1085" t="s">
        <v>215</v>
      </c>
      <c r="B30" s="1086" t="s">
        <v>528</v>
      </c>
      <c r="C30" s="1077">
        <f t="shared" si="23"/>
        <v>17</v>
      </c>
      <c r="D30" s="1078">
        <f t="shared" si="24"/>
        <v>431587.2</v>
      </c>
      <c r="E30" s="1077">
        <v>1</v>
      </c>
      <c r="F30" s="1087">
        <f>+(E30*2000*12)</f>
        <v>24000</v>
      </c>
      <c r="G30" s="1087">
        <v>1</v>
      </c>
      <c r="H30" s="1087">
        <f>+(G30*2000*12)</f>
        <v>24000</v>
      </c>
      <c r="I30" s="1087">
        <v>1</v>
      </c>
      <c r="J30" s="1087">
        <f>+(I30*2000*12)</f>
        <v>24000</v>
      </c>
      <c r="K30" s="1087">
        <v>1</v>
      </c>
      <c r="L30" s="1087">
        <f>+(K30*2000*12)</f>
        <v>24000</v>
      </c>
      <c r="M30" s="1087">
        <v>1</v>
      </c>
      <c r="N30" s="1087">
        <f>+(M30*2000*12)</f>
        <v>24000</v>
      </c>
      <c r="O30" s="1087">
        <v>1</v>
      </c>
      <c r="P30" s="1087">
        <f>+(O30*2000*12)+(O30*2340*14%*12)</f>
        <v>27931.200000000001</v>
      </c>
      <c r="Q30" s="1087">
        <v>1</v>
      </c>
      <c r="R30" s="1087">
        <f>+(Q30*2000*12)+(Q30*2340*14%*12)</f>
        <v>27931.200000000001</v>
      </c>
      <c r="S30" s="1087">
        <v>1</v>
      </c>
      <c r="T30" s="1087">
        <f>+(S30*2000*12)</f>
        <v>24000</v>
      </c>
      <c r="U30" s="1087">
        <v>1</v>
      </c>
      <c r="V30" s="1087">
        <f>+(U30*2000*12)+(U30*2340*14%*12)</f>
        <v>27931.200000000001</v>
      </c>
      <c r="W30" s="1087">
        <v>1</v>
      </c>
      <c r="X30" s="1087">
        <f>+(W30*2000*12)+(W30*2340*14%*12)</f>
        <v>27931.200000000001</v>
      </c>
      <c r="Y30" s="1087">
        <v>1</v>
      </c>
      <c r="Z30" s="1087">
        <f>+(Y30*2000*12)</f>
        <v>24000</v>
      </c>
      <c r="AA30" s="1087">
        <v>1</v>
      </c>
      <c r="AB30" s="1087">
        <f>+(AA30*2000*12)</f>
        <v>24000</v>
      </c>
      <c r="AC30" s="1087">
        <v>1</v>
      </c>
      <c r="AD30" s="1087">
        <f>+(AC30*2000*12)</f>
        <v>24000</v>
      </c>
      <c r="AE30" s="1087">
        <v>1</v>
      </c>
      <c r="AF30" s="1087">
        <f>+(AE30*2000*12)</f>
        <v>24000</v>
      </c>
      <c r="AG30" s="1087">
        <v>1</v>
      </c>
      <c r="AH30" s="1087">
        <f>+(AG30*2000*12)+(AG30*2340*14%*12)</f>
        <v>27931.200000000001</v>
      </c>
      <c r="AI30" s="1087">
        <v>1</v>
      </c>
      <c r="AJ30" s="1087">
        <f>+(AI30*2000*12)+(AI30*2340*14%*12)</f>
        <v>27931.200000000001</v>
      </c>
      <c r="AK30" s="1087">
        <v>1</v>
      </c>
      <c r="AL30" s="1087">
        <f>+(AK30*2000*12)</f>
        <v>24000</v>
      </c>
    </row>
    <row r="31" spans="1:38" s="1058" customFormat="1" ht="12.75" customHeight="1">
      <c r="A31" s="1085" t="s">
        <v>215</v>
      </c>
      <c r="B31" s="1086" t="s">
        <v>529</v>
      </c>
      <c r="C31" s="1077">
        <f t="shared" si="23"/>
        <v>17</v>
      </c>
      <c r="D31" s="1078">
        <f t="shared" si="24"/>
        <v>439449.60000000009</v>
      </c>
      <c r="E31" s="1077">
        <v>1</v>
      </c>
      <c r="F31" s="1087">
        <f>+(E31*2000*12)</f>
        <v>24000</v>
      </c>
      <c r="G31" s="1087">
        <v>1</v>
      </c>
      <c r="H31" s="1087">
        <f>+(G31*2000*12)</f>
        <v>24000</v>
      </c>
      <c r="I31" s="1087">
        <v>1</v>
      </c>
      <c r="J31" s="1087">
        <f>+(I31*2000*12)+(I31*2340*14%*12)</f>
        <v>27931.200000000001</v>
      </c>
      <c r="K31" s="1087">
        <v>1</v>
      </c>
      <c r="L31" s="1087">
        <f>+(K31*2000*12)</f>
        <v>24000</v>
      </c>
      <c r="M31" s="1087">
        <v>1</v>
      </c>
      <c r="N31" s="1087">
        <f>+(M31*2000*12)+(M31*2340*14%*12)</f>
        <v>27931.200000000001</v>
      </c>
      <c r="O31" s="1087">
        <v>1</v>
      </c>
      <c r="P31" s="1087">
        <f>+(O31*2000*12)</f>
        <v>24000</v>
      </c>
      <c r="Q31" s="1087">
        <v>1</v>
      </c>
      <c r="R31" s="1087">
        <f>+(Q31*2000*12)+(Q31*2340*14%*12)</f>
        <v>27931.200000000001</v>
      </c>
      <c r="S31" s="1087">
        <v>1</v>
      </c>
      <c r="T31" s="1087">
        <f>+(S31*2000*12)+(S31*2340*14%*12)</f>
        <v>27931.200000000001</v>
      </c>
      <c r="U31" s="1087">
        <v>1</v>
      </c>
      <c r="V31" s="1087">
        <f>+(U31*2000*12)+(U31*2340*14%*12)</f>
        <v>27931.200000000001</v>
      </c>
      <c r="W31" s="1087">
        <v>1</v>
      </c>
      <c r="X31" s="1087">
        <f>+(W31*2000*12)+(W31*2340*14%*12)</f>
        <v>27931.200000000001</v>
      </c>
      <c r="Y31" s="1087">
        <v>1</v>
      </c>
      <c r="Z31" s="1087">
        <f>+(Y31*2000*12)+(Y31*2340*14%*12)</f>
        <v>27931.200000000001</v>
      </c>
      <c r="AA31" s="1087">
        <v>1</v>
      </c>
      <c r="AB31" s="1087">
        <f>+(AA31*2000*12)+(AA31*2340*14%*12)</f>
        <v>27931.200000000001</v>
      </c>
      <c r="AC31" s="1087">
        <v>1</v>
      </c>
      <c r="AD31" s="1087">
        <f>+(AC31*2000*12)</f>
        <v>24000</v>
      </c>
      <c r="AE31" s="1087">
        <v>1</v>
      </c>
      <c r="AF31" s="1087">
        <f>+(AE31*2000*12)</f>
        <v>24000</v>
      </c>
      <c r="AG31" s="1087">
        <v>1</v>
      </c>
      <c r="AH31" s="1087">
        <f>+(AG31*2000*12)</f>
        <v>24000</v>
      </c>
      <c r="AI31" s="1087">
        <v>1</v>
      </c>
      <c r="AJ31" s="1087">
        <f>+(AI31*2000*12)</f>
        <v>24000</v>
      </c>
      <c r="AK31" s="1087">
        <v>1</v>
      </c>
      <c r="AL31" s="1087">
        <f>+(AK31*2000*12)</f>
        <v>24000</v>
      </c>
    </row>
    <row r="32" spans="1:38" s="1058" customFormat="1" ht="17.25" customHeight="1">
      <c r="A32" s="1085" t="s">
        <v>215</v>
      </c>
      <c r="B32" s="1086" t="s">
        <v>293</v>
      </c>
      <c r="C32" s="1077">
        <f t="shared" si="23"/>
        <v>17</v>
      </c>
      <c r="D32" s="1078">
        <f t="shared" si="24"/>
        <v>428498.4</v>
      </c>
      <c r="E32" s="1077">
        <v>1</v>
      </c>
      <c r="F32" s="1087">
        <f>+(E32*2000*12)</f>
        <v>24000</v>
      </c>
      <c r="G32" s="1087">
        <v>1</v>
      </c>
      <c r="H32" s="1087">
        <f>+(G32*2000*12)</f>
        <v>24000</v>
      </c>
      <c r="I32" s="1087">
        <v>1</v>
      </c>
      <c r="J32" s="1087">
        <f>+(I32*2000*12)</f>
        <v>24000</v>
      </c>
      <c r="K32" s="1087">
        <v>1</v>
      </c>
      <c r="L32" s="1087">
        <f>+(K32*2000*12)</f>
        <v>24000</v>
      </c>
      <c r="M32" s="1087">
        <v>1</v>
      </c>
      <c r="N32" s="1087">
        <f>+(M32*2000*12)+(M32*2340*14%*12)</f>
        <v>27931.200000000001</v>
      </c>
      <c r="O32" s="1087">
        <v>1</v>
      </c>
      <c r="P32" s="1087">
        <f>+(O32*2000*12)+(O32*2340*14%*12)</f>
        <v>27931.200000000001</v>
      </c>
      <c r="Q32" s="1087">
        <v>1</v>
      </c>
      <c r="R32" s="1087">
        <f>+(Q32*2000*12)</f>
        <v>24000</v>
      </c>
      <c r="S32" s="1087">
        <v>1</v>
      </c>
      <c r="T32" s="1087">
        <f>+(S32*2000*12)</f>
        <v>24000</v>
      </c>
      <c r="U32" s="1087">
        <v>1</v>
      </c>
      <c r="V32" s="1087">
        <f>+(U32*2000*12)</f>
        <v>24000</v>
      </c>
      <c r="W32" s="1087">
        <v>1</v>
      </c>
      <c r="X32" s="1087">
        <f>+(W32*2000*12)</f>
        <v>24000</v>
      </c>
      <c r="Y32" s="1087">
        <v>1</v>
      </c>
      <c r="Z32" s="1087">
        <f>+(Y32*2000*12)</f>
        <v>24000</v>
      </c>
      <c r="AA32" s="1087">
        <v>1</v>
      </c>
      <c r="AB32" s="1087">
        <f>+(AA32*2000*12)</f>
        <v>24000</v>
      </c>
      <c r="AC32" s="1087">
        <v>1</v>
      </c>
      <c r="AD32" s="1087">
        <f>+(AC32*2000*12)+(AC32*2340*17%*12)</f>
        <v>28773.599999999999</v>
      </c>
      <c r="AE32" s="1087">
        <v>1</v>
      </c>
      <c r="AF32" s="1087">
        <f>+(AE32*2000*12)+(AE32*2340*14%*12)</f>
        <v>27931.200000000001</v>
      </c>
      <c r="AG32" s="1087">
        <v>1</v>
      </c>
      <c r="AH32" s="1087">
        <f>+(AG32*2000*12)+(AG32*2340*14%*12)</f>
        <v>27931.200000000001</v>
      </c>
      <c r="AI32" s="1087">
        <v>1</v>
      </c>
      <c r="AJ32" s="1087">
        <f>+(AI32*2000*12)</f>
        <v>24000</v>
      </c>
      <c r="AK32" s="1087">
        <v>1</v>
      </c>
      <c r="AL32" s="1087">
        <f>+(AK32*2000*12)</f>
        <v>24000</v>
      </c>
    </row>
    <row r="33" spans="1:50" s="1058" customFormat="1">
      <c r="A33" s="1085" t="s">
        <v>215</v>
      </c>
      <c r="B33" s="1086" t="s">
        <v>294</v>
      </c>
      <c r="C33" s="1077">
        <f t="shared" si="23"/>
        <v>17</v>
      </c>
      <c r="D33" s="1078">
        <f t="shared" si="24"/>
        <v>439449.60000000009</v>
      </c>
      <c r="E33" s="1077">
        <v>1</v>
      </c>
      <c r="F33" s="1087">
        <f>+(E33*2000*12)</f>
        <v>24000</v>
      </c>
      <c r="G33" s="1087">
        <v>1</v>
      </c>
      <c r="H33" s="1087">
        <f>+(G33*2000*12)+(G33*2340*14%*12)</f>
        <v>27931.200000000001</v>
      </c>
      <c r="I33" s="1087">
        <v>1</v>
      </c>
      <c r="J33" s="1087">
        <f>+(I33*2000*12)</f>
        <v>24000</v>
      </c>
      <c r="K33" s="1087">
        <v>1</v>
      </c>
      <c r="L33" s="1087">
        <f>+(K33*2000*12)+(K33*2340*14%*12)</f>
        <v>27931.200000000001</v>
      </c>
      <c r="M33" s="1087">
        <v>1</v>
      </c>
      <c r="N33" s="1087">
        <f>+(M33*2000*12)+(M33*2340*14%*12)</f>
        <v>27931.200000000001</v>
      </c>
      <c r="O33" s="1087">
        <v>1</v>
      </c>
      <c r="P33" s="1087">
        <f>+(O33*2000*12)+(O33*2340*14%*12)</f>
        <v>27931.200000000001</v>
      </c>
      <c r="Q33" s="1087">
        <v>1</v>
      </c>
      <c r="R33" s="1087">
        <f>+(Q33*2000*12)</f>
        <v>24000</v>
      </c>
      <c r="S33" s="1087">
        <v>1</v>
      </c>
      <c r="T33" s="1087">
        <f>+(S33*2000*12)</f>
        <v>24000</v>
      </c>
      <c r="U33" s="1087">
        <v>1</v>
      </c>
      <c r="V33" s="1087">
        <f>+(U33*2000*12)+(U33*2340*14%*12)</f>
        <v>27931.200000000001</v>
      </c>
      <c r="W33" s="1087">
        <v>1</v>
      </c>
      <c r="X33" s="1087">
        <f>+(W33*2000*12)+(W33*2340*14%*12)</f>
        <v>27931.200000000001</v>
      </c>
      <c r="Y33" s="1087">
        <v>1</v>
      </c>
      <c r="Z33" s="1087">
        <f>+(Y33*2000*12)+(Y33*2340*14%*12)</f>
        <v>27931.200000000001</v>
      </c>
      <c r="AA33" s="1087">
        <v>1</v>
      </c>
      <c r="AB33" s="1087">
        <f>+(AA33*2000*12)+(AA33*2340*14%*12)</f>
        <v>27931.200000000001</v>
      </c>
      <c r="AC33" s="1087">
        <v>1</v>
      </c>
      <c r="AD33" s="1087">
        <f>+(AC33*2000*12)</f>
        <v>24000</v>
      </c>
      <c r="AE33" s="1087">
        <v>1</v>
      </c>
      <c r="AF33" s="1087">
        <f>+(AE33*2000*12)</f>
        <v>24000</v>
      </c>
      <c r="AG33" s="1087">
        <v>1</v>
      </c>
      <c r="AH33" s="1087">
        <f>+(AG33*2000*12)</f>
        <v>24000</v>
      </c>
      <c r="AI33" s="1087">
        <v>1</v>
      </c>
      <c r="AJ33" s="1087">
        <f>+(AI33*2000*12)</f>
        <v>24000</v>
      </c>
      <c r="AK33" s="1087">
        <v>1</v>
      </c>
      <c r="AL33" s="1087">
        <f>+(AK33*2000*12)</f>
        <v>24000</v>
      </c>
    </row>
    <row r="34" spans="1:50" s="1058" customFormat="1" ht="28.5">
      <c r="A34" s="1088" t="s">
        <v>213</v>
      </c>
      <c r="B34" s="1089" t="s">
        <v>320</v>
      </c>
      <c r="C34" s="1070">
        <f>SUM(C35:C37)</f>
        <v>360</v>
      </c>
      <c r="D34" s="1070">
        <f t="shared" ref="D34:AL34" si="25">SUM(D35:D37)</f>
        <v>10998008.4</v>
      </c>
      <c r="E34" s="1070">
        <f t="shared" si="25"/>
        <v>21</v>
      </c>
      <c r="F34" s="1070">
        <f>SUM(F35:F37)</f>
        <v>567000</v>
      </c>
      <c r="G34" s="1071">
        <f t="shared" si="25"/>
        <v>18</v>
      </c>
      <c r="H34" s="1071">
        <f t="shared" si="25"/>
        <v>606063.6</v>
      </c>
      <c r="I34" s="1071">
        <f t="shared" si="25"/>
        <v>18</v>
      </c>
      <c r="J34" s="1071">
        <f t="shared" si="25"/>
        <v>608644.80000000005</v>
      </c>
      <c r="K34" s="1071">
        <f t="shared" si="25"/>
        <v>24</v>
      </c>
      <c r="L34" s="1071">
        <f t="shared" si="25"/>
        <v>706200</v>
      </c>
      <c r="M34" s="1071">
        <f t="shared" si="25"/>
        <v>12</v>
      </c>
      <c r="N34" s="1071">
        <f t="shared" si="25"/>
        <v>415800</v>
      </c>
      <c r="O34" s="1071">
        <f t="shared" si="25"/>
        <v>15</v>
      </c>
      <c r="P34" s="1071">
        <f t="shared" si="25"/>
        <v>472500</v>
      </c>
      <c r="Q34" s="1071">
        <f t="shared" si="25"/>
        <v>21</v>
      </c>
      <c r="R34" s="1071">
        <f t="shared" si="25"/>
        <v>654600</v>
      </c>
      <c r="S34" s="1071">
        <f t="shared" si="25"/>
        <v>15</v>
      </c>
      <c r="T34" s="1071">
        <f t="shared" si="25"/>
        <v>378000</v>
      </c>
      <c r="U34" s="1071">
        <f>SUM(U35:U37)</f>
        <v>27</v>
      </c>
      <c r="V34" s="1071">
        <f t="shared" si="25"/>
        <v>793800</v>
      </c>
      <c r="W34" s="1071">
        <f t="shared" si="25"/>
        <v>33</v>
      </c>
      <c r="X34" s="1071">
        <f t="shared" si="25"/>
        <v>982800</v>
      </c>
      <c r="Y34" s="1071">
        <f>SUM(Y35:Y37)</f>
        <v>27</v>
      </c>
      <c r="Z34" s="1071">
        <f>SUM(Z35:Z37)</f>
        <v>900300</v>
      </c>
      <c r="AA34" s="1071">
        <f t="shared" si="25"/>
        <v>27</v>
      </c>
      <c r="AB34" s="1071">
        <f>SUM(AB35:AB37)</f>
        <v>907200</v>
      </c>
      <c r="AC34" s="1071">
        <f t="shared" si="25"/>
        <v>18</v>
      </c>
      <c r="AD34" s="1071">
        <f t="shared" si="25"/>
        <v>529200</v>
      </c>
      <c r="AE34" s="1071">
        <f t="shared" si="25"/>
        <v>12</v>
      </c>
      <c r="AF34" s="1071">
        <f t="shared" si="25"/>
        <v>340200</v>
      </c>
      <c r="AG34" s="1071">
        <f t="shared" si="25"/>
        <v>33</v>
      </c>
      <c r="AH34" s="1071">
        <f t="shared" si="25"/>
        <v>869400</v>
      </c>
      <c r="AI34" s="1071">
        <f t="shared" si="25"/>
        <v>12</v>
      </c>
      <c r="AJ34" s="1071">
        <f t="shared" si="25"/>
        <v>396900</v>
      </c>
      <c r="AK34" s="1071">
        <f t="shared" si="25"/>
        <v>27</v>
      </c>
      <c r="AL34" s="1071">
        <f t="shared" si="25"/>
        <v>869400</v>
      </c>
    </row>
    <row r="35" spans="1:50" s="1058" customFormat="1">
      <c r="A35" s="1090" t="s">
        <v>215</v>
      </c>
      <c r="B35" s="1091" t="s">
        <v>321</v>
      </c>
      <c r="C35" s="1077">
        <f t="shared" ref="C35:C57" si="26">+E35+G35+I35+K35+M35+O35+Q35+S35+U35+W35+AA35+Y35+AC35+AE35+AG35+AI35+AK35</f>
        <v>120</v>
      </c>
      <c r="D35" s="1078">
        <f t="shared" ref="D35:D70" si="27">+AL35+AJ35+AH35+AF35+AD35+Z35+AB35+X35+V35+T35+R35+P35+N35+L35+J35+H35+F35</f>
        <v>4016481.6</v>
      </c>
      <c r="E35" s="1077">
        <v>7</v>
      </c>
      <c r="F35" s="1087">
        <f>(E35*2300*12)+(2*2300*3)</f>
        <v>207000</v>
      </c>
      <c r="G35" s="1087">
        <v>6</v>
      </c>
      <c r="H35" s="1087">
        <f>(G35*2300*12)+(8*2300*3)</f>
        <v>220800</v>
      </c>
      <c r="I35" s="1087">
        <v>6</v>
      </c>
      <c r="J35" s="1087">
        <f>(I35*2300*12)+(I35*2340*4.5%*12)+(7*2300*3)</f>
        <v>221481.60000000001</v>
      </c>
      <c r="K35" s="1087">
        <v>8</v>
      </c>
      <c r="L35" s="1087">
        <f>(K35*2300*12)+(6*2300*3)</f>
        <v>262200</v>
      </c>
      <c r="M35" s="1087">
        <v>4</v>
      </c>
      <c r="N35" s="1087">
        <f>(M35*2300*12)+(6*2300*3)</f>
        <v>151800</v>
      </c>
      <c r="O35" s="1087">
        <v>5</v>
      </c>
      <c r="P35" s="1087">
        <f>(O35*2300*12)+(5*2300*3)</f>
        <v>172500</v>
      </c>
      <c r="Q35" s="1087">
        <v>7</v>
      </c>
      <c r="R35" s="1087">
        <f>(Q35*2300*12)+(6*2300*3)</f>
        <v>234600</v>
      </c>
      <c r="S35" s="1087">
        <v>5</v>
      </c>
      <c r="T35" s="1087">
        <f>S35*2300*12</f>
        <v>138000</v>
      </c>
      <c r="U35" s="1087">
        <v>9</v>
      </c>
      <c r="V35" s="1087">
        <f>(U35*2300*12)+(6*2300*3)</f>
        <v>289800</v>
      </c>
      <c r="W35" s="1087">
        <v>11</v>
      </c>
      <c r="X35" s="1087">
        <f>(W35*2300*12)+(8*2300*3)</f>
        <v>358800</v>
      </c>
      <c r="Y35" s="1087">
        <v>9</v>
      </c>
      <c r="Z35" s="1087">
        <f>(Y35*2300*12)+(12*2300*3)</f>
        <v>331200</v>
      </c>
      <c r="AA35" s="1087">
        <v>9</v>
      </c>
      <c r="AB35" s="1087">
        <f>(AA35*2300*12)+(12*2300*3)</f>
        <v>331200</v>
      </c>
      <c r="AC35" s="1087">
        <v>6</v>
      </c>
      <c r="AD35" s="1087">
        <f>(AC35*2300*12)+(4*2300*3)</f>
        <v>193200</v>
      </c>
      <c r="AE35" s="1087">
        <v>4</v>
      </c>
      <c r="AF35" s="1087">
        <f>(AE35*2300*12)+(2*2300*3)</f>
        <v>124200</v>
      </c>
      <c r="AG35" s="1087">
        <v>11</v>
      </c>
      <c r="AH35" s="1087">
        <f>(AG35*2300*12)+(2*2300*3)</f>
        <v>317400</v>
      </c>
      <c r="AI35" s="1087">
        <v>4</v>
      </c>
      <c r="AJ35" s="1087">
        <f>(AI35*2300*12)+(5*2300*3)</f>
        <v>144900</v>
      </c>
      <c r="AK35" s="1087">
        <v>9</v>
      </c>
      <c r="AL35" s="1087">
        <f>(AK35*2300*12)+(10*2300*3)</f>
        <v>317400</v>
      </c>
    </row>
    <row r="36" spans="1:50" s="1058" customFormat="1">
      <c r="A36" s="1090" t="s">
        <v>215</v>
      </c>
      <c r="B36" s="1092" t="s">
        <v>322</v>
      </c>
      <c r="C36" s="1077">
        <f t="shared" si="26"/>
        <v>120</v>
      </c>
      <c r="D36" s="1078">
        <f t="shared" si="27"/>
        <v>4009581.6</v>
      </c>
      <c r="E36" s="1077">
        <v>7</v>
      </c>
      <c r="F36" s="1087">
        <f>(E36*2300*12)+(2*2300*3)</f>
        <v>207000</v>
      </c>
      <c r="G36" s="1087">
        <v>6</v>
      </c>
      <c r="H36" s="1087">
        <f>(G36*2300*12)+(8*2300*3)</f>
        <v>220800</v>
      </c>
      <c r="I36" s="1087">
        <v>6</v>
      </c>
      <c r="J36" s="1087">
        <f>(I36*2300*12)+(I36*2340*4.5%*12)+(7*2300*3)</f>
        <v>221481.60000000001</v>
      </c>
      <c r="K36" s="1087">
        <v>8</v>
      </c>
      <c r="L36" s="1087">
        <f>(K36*2300*12)+(5*2300*3)</f>
        <v>255300</v>
      </c>
      <c r="M36" s="1087">
        <v>4</v>
      </c>
      <c r="N36" s="1087">
        <f>(M36*2300*12)+(6*2300*3)</f>
        <v>151800</v>
      </c>
      <c r="O36" s="1087">
        <v>5</v>
      </c>
      <c r="P36" s="1087">
        <f>(O36*2300*12)+(5*2300*3)</f>
        <v>172500</v>
      </c>
      <c r="Q36" s="1087">
        <v>7</v>
      </c>
      <c r="R36" s="1087">
        <f>(Q36*2300*12)+(7*2300*3)</f>
        <v>241500</v>
      </c>
      <c r="S36" s="1087">
        <v>5</v>
      </c>
      <c r="T36" s="1087">
        <f>S36*2300*12</f>
        <v>138000</v>
      </c>
      <c r="U36" s="1087">
        <v>9</v>
      </c>
      <c r="V36" s="1087">
        <f>(U36*2300*12)+(6*2300*3)</f>
        <v>289800</v>
      </c>
      <c r="W36" s="1087">
        <v>11</v>
      </c>
      <c r="X36" s="1087">
        <f>(W36*2300*12)+(8*2300*3)</f>
        <v>358800</v>
      </c>
      <c r="Y36" s="1087">
        <v>9</v>
      </c>
      <c r="Z36" s="1087">
        <f>(Y36*2300*12)+(11*2300*3)</f>
        <v>324300</v>
      </c>
      <c r="AA36" s="1087">
        <v>9</v>
      </c>
      <c r="AB36" s="1087">
        <f>(AA36*2300*12)+(12*2300*3)</f>
        <v>331200</v>
      </c>
      <c r="AC36" s="1087">
        <v>6</v>
      </c>
      <c r="AD36" s="1087">
        <f>(AC36*2300*12)+(4*2300*3)</f>
        <v>193200</v>
      </c>
      <c r="AE36" s="1087">
        <v>4</v>
      </c>
      <c r="AF36" s="1087">
        <f>(AE36*2300*12)+(2*2300*3)</f>
        <v>124200</v>
      </c>
      <c r="AG36" s="1087">
        <v>11</v>
      </c>
      <c r="AH36" s="1087">
        <f>(AG36*2300*12)+(2*2300*3)</f>
        <v>317400</v>
      </c>
      <c r="AI36" s="1087">
        <v>4</v>
      </c>
      <c r="AJ36" s="1087">
        <f>(AI36*2300*12)+(5*2300*3)</f>
        <v>144900</v>
      </c>
      <c r="AK36" s="1087">
        <v>9</v>
      </c>
      <c r="AL36" s="1087">
        <f>(AK36*2300*12)+(10*2300*3)</f>
        <v>317400</v>
      </c>
    </row>
    <row r="37" spans="1:50" s="1058" customFormat="1">
      <c r="A37" s="1090" t="s">
        <v>215</v>
      </c>
      <c r="B37" s="1092" t="s">
        <v>323</v>
      </c>
      <c r="C37" s="1077">
        <f t="shared" si="26"/>
        <v>120</v>
      </c>
      <c r="D37" s="1078">
        <f t="shared" si="27"/>
        <v>2971945.2</v>
      </c>
      <c r="E37" s="1077">
        <v>7</v>
      </c>
      <c r="F37" s="1087">
        <f>(E37*1700*12)+(2*1700*3)</f>
        <v>153000</v>
      </c>
      <c r="G37" s="1087">
        <v>6</v>
      </c>
      <c r="H37" s="1087">
        <f>(G37*1700*12)+(1*2340*4.5%*12)+(8*1700*3)</f>
        <v>164463.6</v>
      </c>
      <c r="I37" s="1087">
        <v>6</v>
      </c>
      <c r="J37" s="1087">
        <f>(I37*1700*12)+(I37*2340*4.5%*12)+(7*1700*3)</f>
        <v>165681.60000000001</v>
      </c>
      <c r="K37" s="1087">
        <v>8</v>
      </c>
      <c r="L37" s="1087">
        <f>(K37*1700*12)+(5*1700*3)</f>
        <v>188700</v>
      </c>
      <c r="M37" s="1087">
        <v>4</v>
      </c>
      <c r="N37" s="1087">
        <f>(M37*1700*12)+(6*1700*3)</f>
        <v>112200</v>
      </c>
      <c r="O37" s="1087">
        <v>5</v>
      </c>
      <c r="P37" s="1087">
        <f>(O37*1700*12)+(5*1700*3)</f>
        <v>127500</v>
      </c>
      <c r="Q37" s="1087">
        <v>7</v>
      </c>
      <c r="R37" s="1087">
        <f>(Q37*1700*12)+(7*1700*3)</f>
        <v>178500</v>
      </c>
      <c r="S37" s="1087">
        <v>5</v>
      </c>
      <c r="T37" s="1087">
        <f>(S37*1700*12)</f>
        <v>102000</v>
      </c>
      <c r="U37" s="1087">
        <v>9</v>
      </c>
      <c r="V37" s="1087">
        <f>(U37*1700*12)+(6*1700*3)</f>
        <v>214200</v>
      </c>
      <c r="W37" s="1087">
        <v>11</v>
      </c>
      <c r="X37" s="1087">
        <f>(W37*1700*12)+(8*1700*3)</f>
        <v>265200</v>
      </c>
      <c r="Y37" s="1087">
        <v>9</v>
      </c>
      <c r="Z37" s="1087">
        <f>(Y37*1700*12)+(12*1700*3)</f>
        <v>244800</v>
      </c>
      <c r="AA37" s="1087">
        <v>9</v>
      </c>
      <c r="AB37" s="1087">
        <f>(AA37*1700*12)+(12*1700*3)</f>
        <v>244800</v>
      </c>
      <c r="AC37" s="1087">
        <v>6</v>
      </c>
      <c r="AD37" s="1087">
        <f>(AC37*1700*12)+(4*1700*3)</f>
        <v>142800</v>
      </c>
      <c r="AE37" s="1087">
        <v>4</v>
      </c>
      <c r="AF37" s="1087">
        <f>(AE37*1700*12)+(2*1700*3)</f>
        <v>91800</v>
      </c>
      <c r="AG37" s="1087">
        <v>11</v>
      </c>
      <c r="AH37" s="1087">
        <f>(AG37*1700*12)+(2*1700*3)</f>
        <v>234600</v>
      </c>
      <c r="AI37" s="1087">
        <v>4</v>
      </c>
      <c r="AJ37" s="1087">
        <f>(AI37*1700*12)+(5*1700*3)</f>
        <v>107100</v>
      </c>
      <c r="AK37" s="1087">
        <v>9</v>
      </c>
      <c r="AL37" s="1087">
        <f>(AK37*1700*12)+(10*1700*3)</f>
        <v>234600</v>
      </c>
    </row>
    <row r="38" spans="1:50" s="1058" customFormat="1" ht="28.5">
      <c r="A38" s="996" t="s">
        <v>214</v>
      </c>
      <c r="B38" s="1084" t="s">
        <v>1333</v>
      </c>
      <c r="C38" s="1070">
        <f t="shared" si="26"/>
        <v>600</v>
      </c>
      <c r="D38" s="1066">
        <f t="shared" si="27"/>
        <v>2824050</v>
      </c>
      <c r="E38" s="1093">
        <f t="shared" ref="E38:AL38" si="28">SUM(E39:E43)</f>
        <v>35</v>
      </c>
      <c r="F38" s="1093">
        <f>SUM(F39:F43)</f>
        <v>148500</v>
      </c>
      <c r="G38" s="1093">
        <f t="shared" si="28"/>
        <v>30</v>
      </c>
      <c r="H38" s="1093">
        <f>SUM(H39:H43)</f>
        <v>152100</v>
      </c>
      <c r="I38" s="1093">
        <f t="shared" si="28"/>
        <v>30</v>
      </c>
      <c r="J38" s="1093">
        <f t="shared" si="28"/>
        <v>149250</v>
      </c>
      <c r="K38" s="1093">
        <f t="shared" si="28"/>
        <v>40</v>
      </c>
      <c r="L38" s="1093">
        <f t="shared" si="28"/>
        <v>177750</v>
      </c>
      <c r="M38" s="1093">
        <f>SUM(M39:M43)</f>
        <v>20</v>
      </c>
      <c r="N38" s="1093">
        <f t="shared" si="28"/>
        <v>108900</v>
      </c>
      <c r="O38" s="1093">
        <f t="shared" si="28"/>
        <v>25</v>
      </c>
      <c r="P38" s="1093">
        <f t="shared" si="28"/>
        <v>118500</v>
      </c>
      <c r="Q38" s="1093">
        <f t="shared" si="28"/>
        <v>35</v>
      </c>
      <c r="R38" s="1093">
        <f t="shared" si="28"/>
        <v>170400</v>
      </c>
      <c r="S38" s="1093">
        <f t="shared" si="28"/>
        <v>25</v>
      </c>
      <c r="T38" s="1093">
        <f t="shared" si="28"/>
        <v>99000</v>
      </c>
      <c r="U38" s="1093">
        <f t="shared" si="28"/>
        <v>45</v>
      </c>
      <c r="V38" s="1093">
        <f t="shared" si="28"/>
        <v>202500</v>
      </c>
      <c r="W38" s="1093">
        <f t="shared" si="28"/>
        <v>55</v>
      </c>
      <c r="X38" s="1093">
        <f t="shared" si="28"/>
        <v>253800</v>
      </c>
      <c r="Y38" s="1093">
        <f>SUM(Y39:Y43)</f>
        <v>45</v>
      </c>
      <c r="Z38" s="1093">
        <f>SUM(Z39:Z43)</f>
        <v>226500</v>
      </c>
      <c r="AA38" s="1093">
        <f t="shared" si="28"/>
        <v>45</v>
      </c>
      <c r="AB38" s="1093">
        <f t="shared" si="28"/>
        <v>236100</v>
      </c>
      <c r="AC38" s="1093">
        <f t="shared" si="28"/>
        <v>30</v>
      </c>
      <c r="AD38" s="1093">
        <f t="shared" si="28"/>
        <v>134400</v>
      </c>
      <c r="AE38" s="1093">
        <f t="shared" si="28"/>
        <v>20</v>
      </c>
      <c r="AF38" s="1093">
        <f t="shared" si="28"/>
        <v>89100</v>
      </c>
      <c r="AG38" s="1093">
        <f t="shared" si="28"/>
        <v>55</v>
      </c>
      <c r="AH38" s="1093">
        <f t="shared" si="28"/>
        <v>225600</v>
      </c>
      <c r="AI38" s="1093">
        <f t="shared" si="28"/>
        <v>20</v>
      </c>
      <c r="AJ38" s="1093">
        <f t="shared" si="28"/>
        <v>103950</v>
      </c>
      <c r="AK38" s="1093">
        <f t="shared" si="28"/>
        <v>45</v>
      </c>
      <c r="AL38" s="1093">
        <f t="shared" si="28"/>
        <v>227700</v>
      </c>
    </row>
    <row r="39" spans="1:50">
      <c r="A39" s="1090" t="s">
        <v>215</v>
      </c>
      <c r="B39" s="1001" t="s">
        <v>1334</v>
      </c>
      <c r="C39" s="1077">
        <f t="shared" si="26"/>
        <v>120</v>
      </c>
      <c r="D39" s="1078">
        <f t="shared" si="27"/>
        <v>611100</v>
      </c>
      <c r="E39" s="1077">
        <v>7</v>
      </c>
      <c r="F39" s="1080">
        <f>(E39*350*12)+(2*350*3)</f>
        <v>31500</v>
      </c>
      <c r="G39" s="1087">
        <v>6</v>
      </c>
      <c r="H39" s="1080">
        <f>(G39*350*12)+(8*350*3)</f>
        <v>33600</v>
      </c>
      <c r="I39" s="1087">
        <v>6</v>
      </c>
      <c r="J39" s="1080">
        <f>(I39*350*12)+(7*350*3)</f>
        <v>32550</v>
      </c>
      <c r="K39" s="1087">
        <v>8</v>
      </c>
      <c r="L39" s="1080">
        <f>(K39*350*12)+(5*350*3)</f>
        <v>38850</v>
      </c>
      <c r="M39" s="1087">
        <v>4</v>
      </c>
      <c r="N39" s="1080">
        <f>(M39*350*12)+(6*350*3)</f>
        <v>23100</v>
      </c>
      <c r="O39" s="1087">
        <v>5</v>
      </c>
      <c r="P39" s="1080">
        <f>(O39*350*12)+(5*350*3)</f>
        <v>26250</v>
      </c>
      <c r="Q39" s="1087">
        <v>7</v>
      </c>
      <c r="R39" s="1080">
        <f>(Q39*350*12)+(7*350*3)</f>
        <v>36750</v>
      </c>
      <c r="S39" s="1087">
        <v>5</v>
      </c>
      <c r="T39" s="1080">
        <f>S39*350*12</f>
        <v>21000</v>
      </c>
      <c r="U39" s="1087">
        <v>9</v>
      </c>
      <c r="V39" s="1080">
        <f>(U39*350*12)+(6*350*3)</f>
        <v>44100</v>
      </c>
      <c r="W39" s="1087">
        <v>11</v>
      </c>
      <c r="X39" s="1080">
        <f>(W39*350*12)+(8*350*3)</f>
        <v>54600</v>
      </c>
      <c r="Y39" s="1087">
        <v>9</v>
      </c>
      <c r="Z39" s="1080">
        <f>(Y39*350*12)+(13*350*3)</f>
        <v>51450</v>
      </c>
      <c r="AA39" s="1087">
        <v>9</v>
      </c>
      <c r="AB39" s="1080">
        <f>(AA39*350*12)+(12*350*3)</f>
        <v>50400</v>
      </c>
      <c r="AC39" s="1087">
        <v>6</v>
      </c>
      <c r="AD39" s="1080">
        <f>(AC39*350*12)+(4*350*3)</f>
        <v>29400</v>
      </c>
      <c r="AE39" s="1087">
        <v>4</v>
      </c>
      <c r="AF39" s="1080">
        <f>(AE39*350*12)+(2*350*3)</f>
        <v>18900</v>
      </c>
      <c r="AG39" s="1087">
        <v>11</v>
      </c>
      <c r="AH39" s="1080">
        <f t="shared" ref="AH39:AH40" si="29">(AG39*350*12)+(2*350*3)</f>
        <v>48300</v>
      </c>
      <c r="AI39" s="1087">
        <v>4</v>
      </c>
      <c r="AJ39" s="1080">
        <f>(AI39*350*12)+(5*350*3)</f>
        <v>22050</v>
      </c>
      <c r="AK39" s="1087">
        <v>9</v>
      </c>
      <c r="AL39" s="1080">
        <f>(AK39*350*12)+(10*350*3)</f>
        <v>48300</v>
      </c>
    </row>
    <row r="40" spans="1:50">
      <c r="A40" s="1090" t="s">
        <v>215</v>
      </c>
      <c r="B40" s="1001" t="s">
        <v>1335</v>
      </c>
      <c r="C40" s="1077">
        <f t="shared" si="26"/>
        <v>120</v>
      </c>
      <c r="D40" s="1078">
        <f t="shared" si="27"/>
        <v>611100</v>
      </c>
      <c r="E40" s="1077">
        <v>7</v>
      </c>
      <c r="F40" s="1080">
        <f t="shared" ref="F40:F42" si="30">(E40*350*12)+(2*350*3)</f>
        <v>31500</v>
      </c>
      <c r="G40" s="1087">
        <v>6</v>
      </c>
      <c r="H40" s="1080">
        <f>(G40*350*12)+(8*350*3)</f>
        <v>33600</v>
      </c>
      <c r="I40" s="1087">
        <v>6</v>
      </c>
      <c r="J40" s="1080">
        <f>(I40*350*12)+(7*350*3)</f>
        <v>32550</v>
      </c>
      <c r="K40" s="1087">
        <v>8</v>
      </c>
      <c r="L40" s="1080">
        <f>(K40*350*12)+(5*350*3)</f>
        <v>38850</v>
      </c>
      <c r="M40" s="1087">
        <v>4</v>
      </c>
      <c r="N40" s="1080">
        <f>(M40*350*12)+(6*350*3)</f>
        <v>23100</v>
      </c>
      <c r="O40" s="1087">
        <v>5</v>
      </c>
      <c r="P40" s="1080">
        <f>(O40*350*12)+(5*350*3)</f>
        <v>26250</v>
      </c>
      <c r="Q40" s="1087">
        <v>7</v>
      </c>
      <c r="R40" s="1080">
        <f>(Q40*350*12)+(7*350*3)</f>
        <v>36750</v>
      </c>
      <c r="S40" s="1087">
        <v>5</v>
      </c>
      <c r="T40" s="1080">
        <f>S40*350*12</f>
        <v>21000</v>
      </c>
      <c r="U40" s="1087">
        <v>9</v>
      </c>
      <c r="V40" s="1080">
        <f>(U40*350*12)+(6*350*3)</f>
        <v>44100</v>
      </c>
      <c r="W40" s="1087">
        <v>11</v>
      </c>
      <c r="X40" s="1080">
        <f>(W40*350*12)+(8*350*3)</f>
        <v>54600</v>
      </c>
      <c r="Y40" s="1087">
        <v>9</v>
      </c>
      <c r="Z40" s="1080">
        <f>(Y40*350*12)+(13*350*3)</f>
        <v>51450</v>
      </c>
      <c r="AA40" s="1087">
        <v>9</v>
      </c>
      <c r="AB40" s="1080">
        <f>(AA40*350*12)+(12*350*3)</f>
        <v>50400</v>
      </c>
      <c r="AC40" s="1087">
        <v>6</v>
      </c>
      <c r="AD40" s="1080">
        <f>(AC40*350*12)+(4*350*3)</f>
        <v>29400</v>
      </c>
      <c r="AE40" s="1087">
        <v>4</v>
      </c>
      <c r="AF40" s="1080">
        <f t="shared" ref="AF40:AF42" si="31">(AE40*350*12)+(2*350*3)</f>
        <v>18900</v>
      </c>
      <c r="AG40" s="1087">
        <v>11</v>
      </c>
      <c r="AH40" s="1080">
        <f t="shared" si="29"/>
        <v>48300</v>
      </c>
      <c r="AI40" s="1087">
        <v>4</v>
      </c>
      <c r="AJ40" s="1080">
        <f t="shared" ref="AJ40:AJ42" si="32">(AI40*350*12)+(5*350*3)</f>
        <v>22050</v>
      </c>
      <c r="AK40" s="1087">
        <v>9</v>
      </c>
      <c r="AL40" s="1080">
        <f t="shared" ref="AL40:AL42" si="33">(AK40*350*12)+(10*350*3)</f>
        <v>48300</v>
      </c>
    </row>
    <row r="41" spans="1:50">
      <c r="A41" s="1090" t="s">
        <v>215</v>
      </c>
      <c r="B41" s="1001" t="s">
        <v>1336</v>
      </c>
      <c r="C41" s="1077">
        <f t="shared" si="26"/>
        <v>120</v>
      </c>
      <c r="D41" s="1078">
        <f t="shared" si="27"/>
        <v>578550</v>
      </c>
      <c r="E41" s="1077">
        <v>7</v>
      </c>
      <c r="F41" s="1080">
        <f t="shared" si="30"/>
        <v>31500</v>
      </c>
      <c r="G41" s="1087">
        <v>6</v>
      </c>
      <c r="H41" s="1080">
        <f>(G41*350*12)+(4*350*3)</f>
        <v>29400</v>
      </c>
      <c r="I41" s="1087">
        <v>6</v>
      </c>
      <c r="J41" s="1080">
        <f>(I41*350*12)+(5*350*3)</f>
        <v>30450</v>
      </c>
      <c r="K41" s="1087">
        <v>8</v>
      </c>
      <c r="L41" s="1080">
        <f>(K41*350*12)+(2*350*3)</f>
        <v>35700</v>
      </c>
      <c r="M41" s="1087">
        <v>4</v>
      </c>
      <c r="N41" s="1080">
        <f>(M41*350*12)+(6*350*3)</f>
        <v>23100</v>
      </c>
      <c r="O41" s="1087">
        <v>5</v>
      </c>
      <c r="P41" s="1080">
        <f>O41*350*12</f>
        <v>21000</v>
      </c>
      <c r="Q41" s="1087">
        <v>7</v>
      </c>
      <c r="R41" s="1080">
        <f>(Q41*350*12)+(5*350*3)</f>
        <v>34650</v>
      </c>
      <c r="S41" s="1087">
        <v>5</v>
      </c>
      <c r="T41" s="1080">
        <f>S41*350*12</f>
        <v>21000</v>
      </c>
      <c r="U41" s="1087">
        <v>9</v>
      </c>
      <c r="V41" s="1080">
        <f>(U41*350*12)+(3*350*3)</f>
        <v>40950</v>
      </c>
      <c r="W41" s="1087">
        <v>11</v>
      </c>
      <c r="X41" s="1080">
        <f>(W41*350*12)+(6*350*3)</f>
        <v>52500</v>
      </c>
      <c r="Y41" s="1087">
        <v>9</v>
      </c>
      <c r="Z41" s="1080">
        <f>(Y41*350*12)+(6*350*3)</f>
        <v>44100</v>
      </c>
      <c r="AA41" s="1087">
        <v>9</v>
      </c>
      <c r="AB41" s="1080">
        <f t="shared" ref="AB41:AB42" si="34">(AA41*350*12)+(12*350*3)</f>
        <v>50400</v>
      </c>
      <c r="AC41" s="1087">
        <v>6</v>
      </c>
      <c r="AD41" s="1080">
        <f>(AC41*350*12)+(3*350*3)</f>
        <v>28350</v>
      </c>
      <c r="AE41" s="1087">
        <v>4</v>
      </c>
      <c r="AF41" s="1080">
        <f t="shared" si="31"/>
        <v>18900</v>
      </c>
      <c r="AG41" s="1087">
        <v>11</v>
      </c>
      <c r="AH41" s="1080">
        <f>(AG41*350*12)</f>
        <v>46200</v>
      </c>
      <c r="AI41" s="1087">
        <v>4</v>
      </c>
      <c r="AJ41" s="1080">
        <f t="shared" si="32"/>
        <v>22050</v>
      </c>
      <c r="AK41" s="1087">
        <v>9</v>
      </c>
      <c r="AL41" s="1080">
        <f t="shared" si="33"/>
        <v>48300</v>
      </c>
    </row>
    <row r="42" spans="1:50" ht="30">
      <c r="A42" s="1090" t="s">
        <v>215</v>
      </c>
      <c r="B42" s="1001" t="s">
        <v>1337</v>
      </c>
      <c r="C42" s="1077">
        <f t="shared" si="26"/>
        <v>120</v>
      </c>
      <c r="D42" s="1078">
        <f t="shared" si="27"/>
        <v>599550</v>
      </c>
      <c r="E42" s="1077">
        <v>7</v>
      </c>
      <c r="F42" s="1080">
        <f t="shared" si="30"/>
        <v>31500</v>
      </c>
      <c r="G42" s="1080">
        <v>6</v>
      </c>
      <c r="H42" s="1080">
        <f>(G42*350*12)+(6*350*3)</f>
        <v>31500</v>
      </c>
      <c r="I42" s="1087">
        <v>6</v>
      </c>
      <c r="J42" s="1080">
        <f>(I42*350*12)+(5*350*3)</f>
        <v>30450</v>
      </c>
      <c r="K42" s="1087">
        <v>8</v>
      </c>
      <c r="L42" s="1080">
        <f>(K42*350*12)+(5*350*3)</f>
        <v>38850</v>
      </c>
      <c r="M42" s="1087">
        <v>4</v>
      </c>
      <c r="N42" s="1080">
        <f>(M42*350*12)+(6*350*3)</f>
        <v>23100</v>
      </c>
      <c r="O42" s="1087">
        <v>5</v>
      </c>
      <c r="P42" s="1080">
        <f>(O42*350*12)+(5*350*3)</f>
        <v>26250</v>
      </c>
      <c r="Q42" s="1087">
        <v>7</v>
      </c>
      <c r="R42" s="1080">
        <f>(Q42*350*12)+(7*350*3)</f>
        <v>36750</v>
      </c>
      <c r="S42" s="1087">
        <v>5</v>
      </c>
      <c r="T42" s="1080">
        <f t="shared" ref="T42" si="35">S42*350*12</f>
        <v>21000</v>
      </c>
      <c r="U42" s="1087">
        <v>9</v>
      </c>
      <c r="V42" s="1080">
        <f>(U42*350*12)+(6*350*3)</f>
        <v>44100</v>
      </c>
      <c r="W42" s="1087">
        <v>11</v>
      </c>
      <c r="X42" s="1080">
        <f>(W42*350*12)+(8*350*3)</f>
        <v>54600</v>
      </c>
      <c r="Y42" s="1087">
        <v>9</v>
      </c>
      <c r="Z42" s="1080">
        <f>(Y42*350*12)+(9*350*3)</f>
        <v>47250</v>
      </c>
      <c r="AA42" s="1087">
        <v>9</v>
      </c>
      <c r="AB42" s="1080">
        <f t="shared" si="34"/>
        <v>50400</v>
      </c>
      <c r="AC42" s="1087">
        <v>6</v>
      </c>
      <c r="AD42" s="1080">
        <f>(AC42*350*12)+(1*350*3)</f>
        <v>26250</v>
      </c>
      <c r="AE42" s="1087">
        <v>4</v>
      </c>
      <c r="AF42" s="1080">
        <f t="shared" si="31"/>
        <v>18900</v>
      </c>
      <c r="AG42" s="1087">
        <v>11</v>
      </c>
      <c r="AH42" s="1080">
        <f>(AG42*350*12)+(2*350*3)</f>
        <v>48300</v>
      </c>
      <c r="AI42" s="1087">
        <v>4</v>
      </c>
      <c r="AJ42" s="1080">
        <f t="shared" si="32"/>
        <v>22050</v>
      </c>
      <c r="AK42" s="1087">
        <v>9</v>
      </c>
      <c r="AL42" s="1080">
        <f t="shared" si="33"/>
        <v>48300</v>
      </c>
    </row>
    <row r="43" spans="1:50">
      <c r="A43" s="1090" t="s">
        <v>215</v>
      </c>
      <c r="B43" s="1001" t="s">
        <v>1338</v>
      </c>
      <c r="C43" s="1077">
        <f t="shared" si="26"/>
        <v>120</v>
      </c>
      <c r="D43" s="1078">
        <f t="shared" si="27"/>
        <v>423750</v>
      </c>
      <c r="E43" s="1077">
        <v>7</v>
      </c>
      <c r="F43" s="1080">
        <f>(E43*250*12)+(2*250*3)</f>
        <v>22500</v>
      </c>
      <c r="G43" s="1080">
        <v>6</v>
      </c>
      <c r="H43" s="1080">
        <f>(G43*250*12)+(8*250*3)</f>
        <v>24000</v>
      </c>
      <c r="I43" s="1087">
        <v>6</v>
      </c>
      <c r="J43" s="1080">
        <f>(I43*250*12)+(7*250*3)</f>
        <v>23250</v>
      </c>
      <c r="K43" s="1087">
        <v>8</v>
      </c>
      <c r="L43" s="1080">
        <f>(K43*250*12)+(2*250*3)</f>
        <v>25500</v>
      </c>
      <c r="M43" s="1087">
        <v>4</v>
      </c>
      <c r="N43" s="1080">
        <f>(M43*250*12)+(6*250*3)</f>
        <v>16500</v>
      </c>
      <c r="O43" s="1087">
        <v>5</v>
      </c>
      <c r="P43" s="1080">
        <f>(O43*250*12)+(5*250*3)</f>
        <v>18750</v>
      </c>
      <c r="Q43" s="1087">
        <v>7</v>
      </c>
      <c r="R43" s="1080">
        <f>(Q43*250*12)+(6*250*3)</f>
        <v>25500</v>
      </c>
      <c r="S43" s="1087">
        <v>5</v>
      </c>
      <c r="T43" s="1080">
        <f>S43*250*12</f>
        <v>15000</v>
      </c>
      <c r="U43" s="1087">
        <v>9</v>
      </c>
      <c r="V43" s="1080">
        <f>(U43*250*12)+(3*250*3)</f>
        <v>29250</v>
      </c>
      <c r="W43" s="1087">
        <v>11</v>
      </c>
      <c r="X43" s="1080">
        <f>(W43*250*12)+(6*250*3)</f>
        <v>37500</v>
      </c>
      <c r="Y43" s="1087">
        <v>9</v>
      </c>
      <c r="Z43" s="1080">
        <f>(Y43*250*12)+(7*250*3)</f>
        <v>32250</v>
      </c>
      <c r="AA43" s="1087">
        <v>9</v>
      </c>
      <c r="AB43" s="1080">
        <f>(AA43*250*12)+(10*250*3)</f>
        <v>34500</v>
      </c>
      <c r="AC43" s="1087">
        <v>6</v>
      </c>
      <c r="AD43" s="1080">
        <f>(AC43*250*12)+(4*250*3)</f>
        <v>21000</v>
      </c>
      <c r="AE43" s="1087">
        <v>4</v>
      </c>
      <c r="AF43" s="1080">
        <f>(AE43*250*12)+(2*250*3)</f>
        <v>13500</v>
      </c>
      <c r="AG43" s="1087">
        <v>11</v>
      </c>
      <c r="AH43" s="1080">
        <f>(AG43*250*12)+(2*250*3)</f>
        <v>34500</v>
      </c>
      <c r="AI43" s="1087">
        <v>4</v>
      </c>
      <c r="AJ43" s="1080">
        <f>(AI43*250*12)+(5*250*3)</f>
        <v>15750</v>
      </c>
      <c r="AK43" s="1087">
        <v>9</v>
      </c>
      <c r="AL43" s="1080">
        <f>(AK43*250*12)+(10*250*3)</f>
        <v>34500</v>
      </c>
    </row>
    <row r="44" spans="1:50" s="1096" customFormat="1" ht="42.75">
      <c r="A44" s="1094">
        <v>3</v>
      </c>
      <c r="B44" s="1095" t="s">
        <v>184</v>
      </c>
      <c r="C44" s="1071">
        <f t="shared" si="26"/>
        <v>0</v>
      </c>
      <c r="D44" s="1067">
        <f t="shared" si="27"/>
        <v>0</v>
      </c>
      <c r="E44" s="1067">
        <f t="shared" ref="E44:AL44" si="36">SUM(E45:E46)</f>
        <v>0</v>
      </c>
      <c r="F44" s="1067">
        <f t="shared" si="36"/>
        <v>0</v>
      </c>
      <c r="G44" s="1067">
        <f t="shared" si="36"/>
        <v>0</v>
      </c>
      <c r="H44" s="1067">
        <f t="shared" si="36"/>
        <v>0</v>
      </c>
      <c r="I44" s="1067">
        <f t="shared" si="36"/>
        <v>0</v>
      </c>
      <c r="J44" s="1067">
        <f t="shared" si="36"/>
        <v>0</v>
      </c>
      <c r="K44" s="1067">
        <f t="shared" si="36"/>
        <v>0</v>
      </c>
      <c r="L44" s="1067">
        <f t="shared" si="36"/>
        <v>0</v>
      </c>
      <c r="M44" s="1067">
        <f t="shared" si="36"/>
        <v>0</v>
      </c>
      <c r="N44" s="1067">
        <f t="shared" si="36"/>
        <v>0</v>
      </c>
      <c r="O44" s="1067">
        <f t="shared" si="36"/>
        <v>0</v>
      </c>
      <c r="P44" s="1067">
        <f t="shared" si="36"/>
        <v>0</v>
      </c>
      <c r="Q44" s="1067">
        <f t="shared" si="36"/>
        <v>0</v>
      </c>
      <c r="R44" s="1067">
        <f t="shared" si="36"/>
        <v>0</v>
      </c>
      <c r="S44" s="1067">
        <f t="shared" si="36"/>
        <v>0</v>
      </c>
      <c r="T44" s="1067">
        <f t="shared" si="36"/>
        <v>0</v>
      </c>
      <c r="U44" s="1067">
        <f t="shared" si="36"/>
        <v>0</v>
      </c>
      <c r="V44" s="1067">
        <f t="shared" si="36"/>
        <v>0</v>
      </c>
      <c r="W44" s="1067">
        <f t="shared" si="36"/>
        <v>0</v>
      </c>
      <c r="X44" s="1067">
        <f>SUM(X45:X46)</f>
        <v>0</v>
      </c>
      <c r="Y44" s="1067">
        <f>SUM(Y45:Y46)</f>
        <v>0</v>
      </c>
      <c r="Z44" s="1067">
        <f>SUM(Z45:Z46)</f>
        <v>0</v>
      </c>
      <c r="AA44" s="1067">
        <f t="shared" si="36"/>
        <v>0</v>
      </c>
      <c r="AB44" s="1067">
        <f t="shared" si="36"/>
        <v>0</v>
      </c>
      <c r="AC44" s="1067">
        <f t="shared" ref="AC44:AD44" si="37">SUM(AC45:AC46)</f>
        <v>0</v>
      </c>
      <c r="AD44" s="1067">
        <f t="shared" si="37"/>
        <v>0</v>
      </c>
      <c r="AE44" s="1067">
        <f t="shared" si="36"/>
        <v>0</v>
      </c>
      <c r="AF44" s="1067">
        <f t="shared" si="36"/>
        <v>0</v>
      </c>
      <c r="AG44" s="1067">
        <f t="shared" si="36"/>
        <v>0</v>
      </c>
      <c r="AH44" s="1067">
        <f t="shared" si="36"/>
        <v>0</v>
      </c>
      <c r="AI44" s="1067">
        <f t="shared" si="36"/>
        <v>0</v>
      </c>
      <c r="AJ44" s="1067">
        <f t="shared" si="36"/>
        <v>0</v>
      </c>
      <c r="AK44" s="1067">
        <f t="shared" si="36"/>
        <v>0</v>
      </c>
      <c r="AL44" s="1067">
        <f t="shared" si="36"/>
        <v>0</v>
      </c>
    </row>
    <row r="45" spans="1:50">
      <c r="A45" s="998" t="s">
        <v>1</v>
      </c>
      <c r="B45" s="999" t="s">
        <v>316</v>
      </c>
      <c r="C45" s="1077">
        <f t="shared" si="26"/>
        <v>0</v>
      </c>
      <c r="D45" s="1078">
        <f t="shared" si="27"/>
        <v>0</v>
      </c>
      <c r="E45" s="1078"/>
      <c r="F45" s="1078">
        <f>E45*1.5*1490*12</f>
        <v>0</v>
      </c>
      <c r="G45" s="1079"/>
      <c r="H45" s="1079">
        <f>G45*1.5*1490*12</f>
        <v>0</v>
      </c>
      <c r="I45" s="1079"/>
      <c r="J45" s="1079">
        <f>I45*1.5*1490*12</f>
        <v>0</v>
      </c>
      <c r="K45" s="1079"/>
      <c r="L45" s="1079">
        <f>K45*1.5*1800*12</f>
        <v>0</v>
      </c>
      <c r="M45" s="1079"/>
      <c r="N45" s="1079">
        <f>M45*1.5*1800*12</f>
        <v>0</v>
      </c>
      <c r="O45" s="1079"/>
      <c r="P45" s="1079">
        <f>O45*1.5*1490*12</f>
        <v>0</v>
      </c>
      <c r="Q45" s="1079"/>
      <c r="R45" s="1079">
        <f>Q45*1.5*1490*12</f>
        <v>0</v>
      </c>
      <c r="S45" s="1079"/>
      <c r="T45" s="1079">
        <f>S45*1.5*1800*12</f>
        <v>0</v>
      </c>
      <c r="U45" s="1079"/>
      <c r="V45" s="1079">
        <f>U45*1.5*1800*12</f>
        <v>0</v>
      </c>
      <c r="W45" s="1079"/>
      <c r="X45" s="1079">
        <f>W45*1.5*1490*12</f>
        <v>0</v>
      </c>
      <c r="Y45" s="1079"/>
      <c r="Z45" s="1079">
        <f>Y45*1.5*1490*12</f>
        <v>0</v>
      </c>
      <c r="AA45" s="1079"/>
      <c r="AB45" s="1079">
        <f>AA45*1.5*1490*12</f>
        <v>0</v>
      </c>
      <c r="AC45" s="1079"/>
      <c r="AD45" s="1079">
        <f>AC45*1.5*1490*12</f>
        <v>0</v>
      </c>
      <c r="AE45" s="1079"/>
      <c r="AF45" s="1079">
        <f>AE45*1.5*1800*12</f>
        <v>0</v>
      </c>
      <c r="AG45" s="1079"/>
      <c r="AH45" s="1079">
        <f>AG45*1.5*1490*12</f>
        <v>0</v>
      </c>
      <c r="AI45" s="1079"/>
      <c r="AJ45" s="1079">
        <f>AI45*1.5*1490*12</f>
        <v>0</v>
      </c>
      <c r="AK45" s="1079">
        <v>0</v>
      </c>
      <c r="AL45" s="1079">
        <f>AK45*1.5*1800*12</f>
        <v>0</v>
      </c>
      <c r="AX45" s="1050">
        <f>413*0.3*1210*12</f>
        <v>1799028</v>
      </c>
    </row>
    <row r="46" spans="1:50">
      <c r="A46" s="998" t="s">
        <v>1</v>
      </c>
      <c r="B46" s="999" t="s">
        <v>317</v>
      </c>
      <c r="C46" s="1077">
        <f t="shared" si="26"/>
        <v>0</v>
      </c>
      <c r="D46" s="1078">
        <f t="shared" si="27"/>
        <v>0</v>
      </c>
      <c r="E46" s="1078">
        <v>0</v>
      </c>
      <c r="F46" s="1078">
        <f>E46*1.5*2340*12</f>
        <v>0</v>
      </c>
      <c r="G46" s="1079">
        <v>0</v>
      </c>
      <c r="H46" s="1079">
        <f>G46*1.5*1800*12</f>
        <v>0</v>
      </c>
      <c r="I46" s="1079">
        <v>0</v>
      </c>
      <c r="J46" s="1079">
        <f>I46*1.5*1800*12</f>
        <v>0</v>
      </c>
      <c r="K46" s="1079"/>
      <c r="L46" s="1079">
        <f>K46*1.5*1800*12</f>
        <v>0</v>
      </c>
      <c r="M46" s="1079">
        <v>0</v>
      </c>
      <c r="N46" s="1079">
        <f>M46*1.5*1800*12</f>
        <v>0</v>
      </c>
      <c r="O46" s="1079"/>
      <c r="P46" s="1079">
        <f>O46*1.5*1490*12</f>
        <v>0</v>
      </c>
      <c r="Q46" s="1079"/>
      <c r="R46" s="1079">
        <f>Q46*1.5*1490*12</f>
        <v>0</v>
      </c>
      <c r="S46" s="1079">
        <v>0</v>
      </c>
      <c r="T46" s="1079">
        <f>S46*1.5*1800*12</f>
        <v>0</v>
      </c>
      <c r="U46" s="1079"/>
      <c r="V46" s="1079">
        <f>U46*1.5*1800*12</f>
        <v>0</v>
      </c>
      <c r="W46" s="1079"/>
      <c r="X46" s="1079">
        <f>W46*1.5*1490*12</f>
        <v>0</v>
      </c>
      <c r="Y46" s="1079">
        <v>0</v>
      </c>
      <c r="Z46" s="1079">
        <f>Y46*1.5*1800*12</f>
        <v>0</v>
      </c>
      <c r="AA46" s="1079"/>
      <c r="AB46" s="1079">
        <f>AA46*1.5*1490*12</f>
        <v>0</v>
      </c>
      <c r="AC46" s="1079">
        <v>0</v>
      </c>
      <c r="AD46" s="1079">
        <f>AC46*1.5*1800*12</f>
        <v>0</v>
      </c>
      <c r="AE46" s="1079">
        <v>0</v>
      </c>
      <c r="AF46" s="1079">
        <f>AE46*1.5*1800*12</f>
        <v>0</v>
      </c>
      <c r="AG46" s="1079"/>
      <c r="AH46" s="1079">
        <f>AG46*1.5*1490*12</f>
        <v>0</v>
      </c>
      <c r="AI46" s="1079"/>
      <c r="AJ46" s="1079">
        <f>AI46*1.5*1490*12</f>
        <v>0</v>
      </c>
      <c r="AK46" s="1079">
        <v>0</v>
      </c>
      <c r="AL46" s="1079">
        <f>AK46*1.5*1800*12</f>
        <v>0</v>
      </c>
    </row>
    <row r="47" spans="1:50" s="1096" customFormat="1">
      <c r="A47" s="1094">
        <v>4</v>
      </c>
      <c r="B47" s="1097" t="s">
        <v>145</v>
      </c>
      <c r="C47" s="1071">
        <f t="shared" si="26"/>
        <v>410</v>
      </c>
      <c r="D47" s="1067">
        <f t="shared" si="27"/>
        <v>2444223.6</v>
      </c>
      <c r="E47" s="1071">
        <f t="shared" ref="E47:AL47" si="38">+E48+E49</f>
        <v>25</v>
      </c>
      <c r="F47" s="1071">
        <f>+F48+F49</f>
        <v>153316.79999999999</v>
      </c>
      <c r="G47" s="1071">
        <f t="shared" si="38"/>
        <v>27</v>
      </c>
      <c r="H47" s="1071">
        <f>+H48+H49</f>
        <v>155844</v>
      </c>
      <c r="I47" s="1071">
        <f t="shared" si="38"/>
        <v>28</v>
      </c>
      <c r="J47" s="1071">
        <f t="shared" si="38"/>
        <v>149947.20000000001</v>
      </c>
      <c r="K47" s="1071">
        <f t="shared" si="38"/>
        <v>23</v>
      </c>
      <c r="L47" s="1071">
        <f t="shared" si="38"/>
        <v>136468.79999999999</v>
      </c>
      <c r="M47" s="1071">
        <f t="shared" si="38"/>
        <v>22</v>
      </c>
      <c r="N47" s="1071">
        <f t="shared" si="38"/>
        <v>128044.8</v>
      </c>
      <c r="O47" s="1071">
        <f t="shared" si="38"/>
        <v>23</v>
      </c>
      <c r="P47" s="1071">
        <f t="shared" si="38"/>
        <v>136468.79999999999</v>
      </c>
      <c r="Q47" s="1071">
        <f t="shared" si="38"/>
        <v>23</v>
      </c>
      <c r="R47" s="1071">
        <f t="shared" si="38"/>
        <v>143629.20000000001</v>
      </c>
      <c r="S47" s="1071">
        <f t="shared" si="38"/>
        <v>17</v>
      </c>
      <c r="T47" s="1071">
        <f t="shared" si="38"/>
        <v>100245.6</v>
      </c>
      <c r="U47" s="1071">
        <f t="shared" si="38"/>
        <v>27</v>
      </c>
      <c r="V47" s="1071">
        <f t="shared" si="38"/>
        <v>163004.4</v>
      </c>
      <c r="W47" s="1071">
        <f t="shared" si="38"/>
        <v>28</v>
      </c>
      <c r="X47" s="1071">
        <f t="shared" si="38"/>
        <v>164268</v>
      </c>
      <c r="Y47" s="1071">
        <f>+Y48+Y49</f>
        <v>24</v>
      </c>
      <c r="Z47" s="1071">
        <f>+Z48+Z49</f>
        <v>152053.20000000001</v>
      </c>
      <c r="AA47" s="1071">
        <f t="shared" si="38"/>
        <v>23</v>
      </c>
      <c r="AB47" s="1071">
        <f t="shared" si="38"/>
        <v>150789.6</v>
      </c>
      <c r="AC47" s="1071">
        <f t="shared" si="38"/>
        <v>22</v>
      </c>
      <c r="AD47" s="1071">
        <f t="shared" si="38"/>
        <v>128044.8</v>
      </c>
      <c r="AE47" s="1071">
        <f t="shared" si="38"/>
        <v>21</v>
      </c>
      <c r="AF47" s="1071">
        <f t="shared" si="38"/>
        <v>126781.2</v>
      </c>
      <c r="AG47" s="1071">
        <f t="shared" si="38"/>
        <v>28</v>
      </c>
      <c r="AH47" s="1071">
        <f t="shared" si="38"/>
        <v>157107.6</v>
      </c>
      <c r="AI47" s="1071">
        <f t="shared" si="38"/>
        <v>21</v>
      </c>
      <c r="AJ47" s="1071">
        <f t="shared" si="38"/>
        <v>126781.2</v>
      </c>
      <c r="AK47" s="1071">
        <f t="shared" si="38"/>
        <v>28</v>
      </c>
      <c r="AL47" s="1071">
        <f t="shared" si="38"/>
        <v>171428.4</v>
      </c>
    </row>
    <row r="48" spans="1:50">
      <c r="A48" s="998"/>
      <c r="B48" s="999" t="s">
        <v>146</v>
      </c>
      <c r="C48" s="1077">
        <f t="shared" si="26"/>
        <v>269</v>
      </c>
      <c r="D48" s="1078">
        <f t="shared" si="27"/>
        <v>2266056</v>
      </c>
      <c r="E48" s="1078">
        <v>17</v>
      </c>
      <c r="F48" s="1098">
        <f>0.3*2340*12*E48</f>
        <v>143208</v>
      </c>
      <c r="G48" s="1079">
        <v>17</v>
      </c>
      <c r="H48" s="1098">
        <f>0.3*2340*12*G48</f>
        <v>143208</v>
      </c>
      <c r="I48" s="1079">
        <v>16</v>
      </c>
      <c r="J48" s="1098">
        <f>0.3*2340*12*I48</f>
        <v>134784</v>
      </c>
      <c r="K48" s="1079">
        <v>15</v>
      </c>
      <c r="L48" s="1098">
        <f>0.3*2340*12*K48</f>
        <v>126360</v>
      </c>
      <c r="M48" s="1079">
        <v>14</v>
      </c>
      <c r="N48" s="1098">
        <f>0.3*2340*12*M48</f>
        <v>117936</v>
      </c>
      <c r="O48" s="1079">
        <v>15</v>
      </c>
      <c r="P48" s="1098">
        <f>0.3*2340*12*O48</f>
        <v>126360</v>
      </c>
      <c r="Q48" s="1079">
        <v>16</v>
      </c>
      <c r="R48" s="1098">
        <f>0.3*2340*12*Q48</f>
        <v>134784</v>
      </c>
      <c r="S48" s="1079">
        <v>11</v>
      </c>
      <c r="T48" s="1098">
        <f>0.3*2340*12*S48</f>
        <v>92664</v>
      </c>
      <c r="U48" s="1080">
        <v>18</v>
      </c>
      <c r="V48" s="1098">
        <f>0.3*2340*12*U48</f>
        <v>151632</v>
      </c>
      <c r="W48" s="1080">
        <v>18</v>
      </c>
      <c r="X48" s="1098">
        <f>0.3*2340*12*W48</f>
        <v>151632</v>
      </c>
      <c r="Y48" s="1080">
        <v>17</v>
      </c>
      <c r="Z48" s="1098">
        <f>0.3*2340*12*Y48</f>
        <v>143208</v>
      </c>
      <c r="AA48" s="1080">
        <v>17</v>
      </c>
      <c r="AB48" s="1098">
        <f>0.3*2340*12*AA48</f>
        <v>143208</v>
      </c>
      <c r="AC48" s="1080">
        <v>14</v>
      </c>
      <c r="AD48" s="1098">
        <f>0.3*2340*12*AC48</f>
        <v>117936</v>
      </c>
      <c r="AE48" s="1079">
        <v>14</v>
      </c>
      <c r="AF48" s="1098">
        <f>0.3*2340*12*AE48</f>
        <v>117936</v>
      </c>
      <c r="AG48" s="1079">
        <v>17</v>
      </c>
      <c r="AH48" s="1098">
        <f>0.3*2340*12*AG48</f>
        <v>143208</v>
      </c>
      <c r="AI48" s="1079">
        <v>14</v>
      </c>
      <c r="AJ48" s="1098">
        <f>0.3*2340*12*AI48</f>
        <v>117936</v>
      </c>
      <c r="AK48" s="1080">
        <v>19</v>
      </c>
      <c r="AL48" s="1098">
        <f>0.3*2340*12*AK48</f>
        <v>160056</v>
      </c>
      <c r="AX48" s="1050">
        <f>413*0.3*1210*12</f>
        <v>1799028</v>
      </c>
    </row>
    <row r="49" spans="1:38" ht="28.5" customHeight="1">
      <c r="A49" s="998"/>
      <c r="B49" s="999" t="s">
        <v>315</v>
      </c>
      <c r="C49" s="1077">
        <f t="shared" si="26"/>
        <v>141</v>
      </c>
      <c r="D49" s="1078">
        <f t="shared" si="27"/>
        <v>178167.6</v>
      </c>
      <c r="E49" s="1078">
        <v>8</v>
      </c>
      <c r="F49" s="1098">
        <f>2340*12*4.5%*E49</f>
        <v>10108.799999999999</v>
      </c>
      <c r="G49" s="1079">
        <v>10</v>
      </c>
      <c r="H49" s="1098">
        <f>2340*12*4.5%*G49</f>
        <v>12636</v>
      </c>
      <c r="I49" s="1079">
        <v>12</v>
      </c>
      <c r="J49" s="1098">
        <f>2340*12*4.5%*I49</f>
        <v>15163.199999999999</v>
      </c>
      <c r="K49" s="1079">
        <v>8</v>
      </c>
      <c r="L49" s="1098">
        <f>2340*12*4.5%*K49</f>
        <v>10108.799999999999</v>
      </c>
      <c r="M49" s="1079">
        <v>8</v>
      </c>
      <c r="N49" s="1098">
        <f>2340*12*4.5%*M49</f>
        <v>10108.799999999999</v>
      </c>
      <c r="O49" s="1079">
        <v>8</v>
      </c>
      <c r="P49" s="1098">
        <f>2340*12*4.5%*O49</f>
        <v>10108.799999999999</v>
      </c>
      <c r="Q49" s="1079">
        <v>7</v>
      </c>
      <c r="R49" s="1098">
        <f>2340*12*4.5%*Q49</f>
        <v>8845.1999999999989</v>
      </c>
      <c r="S49" s="1079">
        <v>6</v>
      </c>
      <c r="T49" s="1098">
        <f>2340*12*4.5%*S49</f>
        <v>7581.5999999999995</v>
      </c>
      <c r="U49" s="1080">
        <v>9</v>
      </c>
      <c r="V49" s="1098">
        <f>2340*12*4.5%*U49</f>
        <v>11372.4</v>
      </c>
      <c r="W49" s="1080">
        <v>10</v>
      </c>
      <c r="X49" s="1098">
        <f>2340*12*4.5%*W49</f>
        <v>12636</v>
      </c>
      <c r="Y49" s="1080">
        <v>7</v>
      </c>
      <c r="Z49" s="1098">
        <f>2340*12*4.5%*Y49</f>
        <v>8845.1999999999989</v>
      </c>
      <c r="AA49" s="1080">
        <v>6</v>
      </c>
      <c r="AB49" s="1098">
        <f>2340*12*4.5%*AA49</f>
        <v>7581.5999999999995</v>
      </c>
      <c r="AC49" s="1080">
        <v>8</v>
      </c>
      <c r="AD49" s="1098">
        <f>2340*12*4.5%*AC49</f>
        <v>10108.799999999999</v>
      </c>
      <c r="AE49" s="1079">
        <v>7</v>
      </c>
      <c r="AF49" s="1098">
        <f>2340*12*4.5%*AE49</f>
        <v>8845.1999999999989</v>
      </c>
      <c r="AG49" s="1079">
        <v>11</v>
      </c>
      <c r="AH49" s="1098">
        <f>2340*12*4.5%*AG49</f>
        <v>13899.599999999999</v>
      </c>
      <c r="AI49" s="1079">
        <v>7</v>
      </c>
      <c r="AJ49" s="1098">
        <f>2340*12*4.5%*AI49</f>
        <v>8845.1999999999989</v>
      </c>
      <c r="AK49" s="1080">
        <v>9</v>
      </c>
      <c r="AL49" s="1098">
        <f>2340*12*4.5%*AK49</f>
        <v>11372.4</v>
      </c>
    </row>
    <row r="50" spans="1:38" s="1058" customFormat="1" ht="19.5" customHeight="1">
      <c r="A50" s="996">
        <v>5</v>
      </c>
      <c r="B50" s="997" t="s">
        <v>172</v>
      </c>
      <c r="C50" s="1070">
        <f t="shared" si="26"/>
        <v>120</v>
      </c>
      <c r="D50" s="1066">
        <f t="shared" si="27"/>
        <v>1200000</v>
      </c>
      <c r="E50" s="1066">
        <v>7</v>
      </c>
      <c r="F50" s="1066">
        <f>10000*E50</f>
        <v>70000</v>
      </c>
      <c r="G50" s="1067">
        <v>6</v>
      </c>
      <c r="H50" s="1067">
        <f>10000*G50</f>
        <v>60000</v>
      </c>
      <c r="I50" s="1067">
        <v>6</v>
      </c>
      <c r="J50" s="1067">
        <f>10000*I50</f>
        <v>60000</v>
      </c>
      <c r="K50" s="1067">
        <v>8</v>
      </c>
      <c r="L50" s="1067">
        <f>10000*K50</f>
        <v>80000</v>
      </c>
      <c r="M50" s="1067">
        <v>4</v>
      </c>
      <c r="N50" s="1067">
        <f>10000*M50</f>
        <v>40000</v>
      </c>
      <c r="O50" s="1067">
        <v>5</v>
      </c>
      <c r="P50" s="1067">
        <f>10000*O50</f>
        <v>50000</v>
      </c>
      <c r="Q50" s="1067">
        <v>7</v>
      </c>
      <c r="R50" s="1067">
        <f>10000*Q50</f>
        <v>70000</v>
      </c>
      <c r="S50" s="1067">
        <v>5</v>
      </c>
      <c r="T50" s="1067">
        <f>10000*S50</f>
        <v>50000</v>
      </c>
      <c r="U50" s="1069">
        <v>9</v>
      </c>
      <c r="V50" s="1067">
        <f>10000*U50</f>
        <v>90000</v>
      </c>
      <c r="W50" s="1069">
        <v>11</v>
      </c>
      <c r="X50" s="1067">
        <f>10000*W50</f>
        <v>110000</v>
      </c>
      <c r="Y50" s="1069">
        <v>9</v>
      </c>
      <c r="Z50" s="1067">
        <f>10000*Y50</f>
        <v>90000</v>
      </c>
      <c r="AA50" s="1069">
        <v>9</v>
      </c>
      <c r="AB50" s="1067">
        <f>10000*AA50</f>
        <v>90000</v>
      </c>
      <c r="AC50" s="1069">
        <v>6</v>
      </c>
      <c r="AD50" s="1067">
        <f>10000*AC50</f>
        <v>60000</v>
      </c>
      <c r="AE50" s="1067">
        <v>4</v>
      </c>
      <c r="AF50" s="1067">
        <f>10000*AE50</f>
        <v>40000</v>
      </c>
      <c r="AG50" s="1067">
        <v>11</v>
      </c>
      <c r="AH50" s="1067">
        <f>10000*AG50</f>
        <v>110000</v>
      </c>
      <c r="AI50" s="1067">
        <v>4</v>
      </c>
      <c r="AJ50" s="1067">
        <f>10000*AI50</f>
        <v>40000</v>
      </c>
      <c r="AK50" s="1069">
        <v>9</v>
      </c>
      <c r="AL50" s="1067">
        <f>10000*AK50</f>
        <v>90000</v>
      </c>
    </row>
    <row r="51" spans="1:38" s="1058" customFormat="1" ht="69" customHeight="1">
      <c r="A51" s="996">
        <v>6</v>
      </c>
      <c r="B51" s="997" t="s">
        <v>1339</v>
      </c>
      <c r="C51" s="1070">
        <f t="shared" si="26"/>
        <v>120</v>
      </c>
      <c r="D51" s="1066">
        <f t="shared" si="27"/>
        <v>705000</v>
      </c>
      <c r="E51" s="1066">
        <v>7</v>
      </c>
      <c r="F51" s="1066">
        <f>6000*E51</f>
        <v>42000</v>
      </c>
      <c r="G51" s="1067">
        <v>6</v>
      </c>
      <c r="H51" s="1067">
        <f>5000*G51+5000</f>
        <v>35000</v>
      </c>
      <c r="I51" s="1067">
        <v>6</v>
      </c>
      <c r="J51" s="1067">
        <f>5000*I51+1000</f>
        <v>31000</v>
      </c>
      <c r="K51" s="1067">
        <v>8</v>
      </c>
      <c r="L51" s="1067">
        <f>6000*K51</f>
        <v>48000</v>
      </c>
      <c r="M51" s="1067">
        <v>4</v>
      </c>
      <c r="N51" s="1067">
        <f>6000*M51</f>
        <v>24000</v>
      </c>
      <c r="O51" s="1067">
        <v>5</v>
      </c>
      <c r="P51" s="1067">
        <f>6000*O51</f>
        <v>30000</v>
      </c>
      <c r="Q51" s="1067">
        <v>7</v>
      </c>
      <c r="R51" s="1067">
        <f>6000*Q51</f>
        <v>42000</v>
      </c>
      <c r="S51" s="1067">
        <v>5</v>
      </c>
      <c r="T51" s="1067">
        <f>6000*S51</f>
        <v>30000</v>
      </c>
      <c r="U51" s="1069">
        <v>9</v>
      </c>
      <c r="V51" s="1069">
        <f>6000*U51</f>
        <v>54000</v>
      </c>
      <c r="W51" s="1069">
        <v>11</v>
      </c>
      <c r="X51" s="1069">
        <f>6000*W51</f>
        <v>66000</v>
      </c>
      <c r="Y51" s="1069">
        <v>9</v>
      </c>
      <c r="Z51" s="1069">
        <f>6000*Y51</f>
        <v>54000</v>
      </c>
      <c r="AA51" s="1069">
        <v>9</v>
      </c>
      <c r="AB51" s="1069">
        <f>6000*AA51</f>
        <v>54000</v>
      </c>
      <c r="AC51" s="1069">
        <v>6</v>
      </c>
      <c r="AD51" s="1069">
        <f>5000*AC51+3000</f>
        <v>33000</v>
      </c>
      <c r="AE51" s="1067">
        <v>4</v>
      </c>
      <c r="AF51" s="1067">
        <f>6000*AE51</f>
        <v>24000</v>
      </c>
      <c r="AG51" s="1067">
        <v>11</v>
      </c>
      <c r="AH51" s="1067">
        <f>6000*AG51</f>
        <v>66000</v>
      </c>
      <c r="AI51" s="1067">
        <v>4</v>
      </c>
      <c r="AJ51" s="1067">
        <f>6000*AI51</f>
        <v>24000</v>
      </c>
      <c r="AK51" s="1069">
        <v>9</v>
      </c>
      <c r="AL51" s="1069">
        <f>5000*AK51+3000</f>
        <v>48000</v>
      </c>
    </row>
    <row r="52" spans="1:38" s="1058" customFormat="1" ht="18" customHeight="1">
      <c r="A52" s="996">
        <v>7</v>
      </c>
      <c r="B52" s="997" t="s">
        <v>181</v>
      </c>
      <c r="C52" s="1070">
        <f t="shared" si="26"/>
        <v>0</v>
      </c>
      <c r="D52" s="1066">
        <f t="shared" si="27"/>
        <v>1360000</v>
      </c>
      <c r="E52" s="1066"/>
      <c r="F52" s="1066">
        <v>80000</v>
      </c>
      <c r="G52" s="1067"/>
      <c r="H52" s="1067">
        <v>80000</v>
      </c>
      <c r="I52" s="1067"/>
      <c r="J52" s="1067">
        <v>80000</v>
      </c>
      <c r="K52" s="1067"/>
      <c r="L52" s="1067">
        <v>80000</v>
      </c>
      <c r="M52" s="1067"/>
      <c r="N52" s="1067">
        <v>80000</v>
      </c>
      <c r="O52" s="1067"/>
      <c r="P52" s="1067">
        <v>80000</v>
      </c>
      <c r="Q52" s="1067"/>
      <c r="R52" s="1067">
        <v>80000</v>
      </c>
      <c r="S52" s="1067"/>
      <c r="T52" s="1067">
        <v>80000</v>
      </c>
      <c r="U52" s="1069"/>
      <c r="V52" s="1067">
        <v>80000</v>
      </c>
      <c r="W52" s="1069"/>
      <c r="X52" s="1067">
        <v>80000</v>
      </c>
      <c r="Y52" s="1069"/>
      <c r="Z52" s="1067">
        <v>80000</v>
      </c>
      <c r="AA52" s="1069"/>
      <c r="AB52" s="1067">
        <v>80000</v>
      </c>
      <c r="AC52" s="1069"/>
      <c r="AD52" s="1067">
        <v>80000</v>
      </c>
      <c r="AE52" s="1067"/>
      <c r="AF52" s="1067">
        <v>80000</v>
      </c>
      <c r="AG52" s="1067"/>
      <c r="AH52" s="1067">
        <v>80000</v>
      </c>
      <c r="AI52" s="1067"/>
      <c r="AJ52" s="1067">
        <v>80000</v>
      </c>
      <c r="AK52" s="1069"/>
      <c r="AL52" s="1067">
        <v>80000</v>
      </c>
    </row>
    <row r="53" spans="1:38" s="1058" customFormat="1" ht="18" customHeight="1">
      <c r="A53" s="996">
        <v>8</v>
      </c>
      <c r="B53" s="997" t="s">
        <v>325</v>
      </c>
      <c r="C53" s="1070">
        <f t="shared" si="26"/>
        <v>221</v>
      </c>
      <c r="D53" s="1066">
        <f t="shared" si="27"/>
        <v>110500</v>
      </c>
      <c r="E53" s="1066">
        <v>9</v>
      </c>
      <c r="F53" s="1066">
        <f>+E53*500</f>
        <v>4500</v>
      </c>
      <c r="G53" s="1067">
        <v>14</v>
      </c>
      <c r="H53" s="1067">
        <f>+G53*500</f>
        <v>7000</v>
      </c>
      <c r="I53" s="1067">
        <v>13</v>
      </c>
      <c r="J53" s="1067">
        <f>+I53*500</f>
        <v>6500</v>
      </c>
      <c r="K53" s="1067">
        <v>13</v>
      </c>
      <c r="L53" s="1067">
        <f>+K53*500</f>
        <v>6500</v>
      </c>
      <c r="M53" s="1067">
        <v>10</v>
      </c>
      <c r="N53" s="1067">
        <f>+M53*500</f>
        <v>5000</v>
      </c>
      <c r="O53" s="1067">
        <v>10</v>
      </c>
      <c r="P53" s="1067">
        <f>+O53*500</f>
        <v>5000</v>
      </c>
      <c r="Q53" s="1067">
        <v>14</v>
      </c>
      <c r="R53" s="1067">
        <f>+Q53*500</f>
        <v>7000</v>
      </c>
      <c r="S53" s="1067">
        <v>5</v>
      </c>
      <c r="T53" s="1067">
        <f>+S53*500</f>
        <v>2500</v>
      </c>
      <c r="U53" s="1069">
        <v>15</v>
      </c>
      <c r="V53" s="1067">
        <f>+U53*500</f>
        <v>7500</v>
      </c>
      <c r="W53" s="1069">
        <v>19</v>
      </c>
      <c r="X53" s="1067">
        <f>+W53*500</f>
        <v>9500</v>
      </c>
      <c r="Y53" s="1069">
        <v>21</v>
      </c>
      <c r="Z53" s="1067">
        <f>+Y53*500</f>
        <v>10500</v>
      </c>
      <c r="AA53" s="1069">
        <v>21</v>
      </c>
      <c r="AB53" s="1067">
        <f>+AA53*500</f>
        <v>10500</v>
      </c>
      <c r="AC53" s="1069">
        <v>10</v>
      </c>
      <c r="AD53" s="1067">
        <f>+AC53*500</f>
        <v>5000</v>
      </c>
      <c r="AE53" s="1067">
        <v>6</v>
      </c>
      <c r="AF53" s="1067">
        <f>+AE53*500</f>
        <v>3000</v>
      </c>
      <c r="AG53" s="1067">
        <v>13</v>
      </c>
      <c r="AH53" s="1067">
        <f>+AG53*500</f>
        <v>6500</v>
      </c>
      <c r="AI53" s="1067">
        <v>9</v>
      </c>
      <c r="AJ53" s="1067">
        <f>+AI53*500</f>
        <v>4500</v>
      </c>
      <c r="AK53" s="1069">
        <v>19</v>
      </c>
      <c r="AL53" s="1067">
        <f>+AK53*500</f>
        <v>9500</v>
      </c>
    </row>
    <row r="54" spans="1:38" s="1058" customFormat="1" ht="45" customHeight="1">
      <c r="A54" s="996">
        <v>9</v>
      </c>
      <c r="B54" s="1099" t="s">
        <v>339</v>
      </c>
      <c r="C54" s="1070">
        <f t="shared" si="26"/>
        <v>17</v>
      </c>
      <c r="D54" s="1066">
        <f t="shared" si="27"/>
        <v>405000</v>
      </c>
      <c r="E54" s="1066">
        <v>1</v>
      </c>
      <c r="F54" s="1066">
        <f>+E54*25000</f>
        <v>25000</v>
      </c>
      <c r="G54" s="1067">
        <v>1</v>
      </c>
      <c r="H54" s="1067">
        <f>+G54*20000</f>
        <v>20000</v>
      </c>
      <c r="I54" s="1067">
        <v>1</v>
      </c>
      <c r="J54" s="1067">
        <f>+I54*20000</f>
        <v>20000</v>
      </c>
      <c r="K54" s="1067">
        <v>1</v>
      </c>
      <c r="L54" s="1067">
        <f>+K54*25000</f>
        <v>25000</v>
      </c>
      <c r="M54" s="1067">
        <v>1</v>
      </c>
      <c r="N54" s="1067">
        <f>+M54*25000</f>
        <v>25000</v>
      </c>
      <c r="O54" s="1067">
        <v>1</v>
      </c>
      <c r="P54" s="1067">
        <f>+O54*25000</f>
        <v>25000</v>
      </c>
      <c r="Q54" s="1067">
        <v>1</v>
      </c>
      <c r="R54" s="1067">
        <f>+Q54*25000</f>
        <v>25000</v>
      </c>
      <c r="S54" s="1067">
        <v>1</v>
      </c>
      <c r="T54" s="1067">
        <f>+S54*25000</f>
        <v>25000</v>
      </c>
      <c r="U54" s="1067">
        <v>1</v>
      </c>
      <c r="V54" s="1067">
        <f>+U54*25000</f>
        <v>25000</v>
      </c>
      <c r="W54" s="1067">
        <v>1</v>
      </c>
      <c r="X54" s="1067">
        <f>+W54*25000</f>
        <v>25000</v>
      </c>
      <c r="Y54" s="1067">
        <v>1</v>
      </c>
      <c r="Z54" s="1067">
        <f>+Y54*25000</f>
        <v>25000</v>
      </c>
      <c r="AA54" s="1067">
        <v>1</v>
      </c>
      <c r="AB54" s="1067">
        <f>+AA54*25000</f>
        <v>25000</v>
      </c>
      <c r="AC54" s="1067">
        <v>1</v>
      </c>
      <c r="AD54" s="1067">
        <v>20000</v>
      </c>
      <c r="AE54" s="1067">
        <v>1</v>
      </c>
      <c r="AF54" s="1067">
        <f>+AE54*25000</f>
        <v>25000</v>
      </c>
      <c r="AG54" s="1067">
        <v>1</v>
      </c>
      <c r="AH54" s="1067">
        <f>+AG54*25000</f>
        <v>25000</v>
      </c>
      <c r="AI54" s="1067">
        <v>1</v>
      </c>
      <c r="AJ54" s="1067">
        <f>+AI54*25000</f>
        <v>25000</v>
      </c>
      <c r="AK54" s="1069">
        <v>1</v>
      </c>
      <c r="AL54" s="1067">
        <v>20000</v>
      </c>
    </row>
    <row r="55" spans="1:38" s="1058" customFormat="1">
      <c r="A55" s="996" t="s">
        <v>41</v>
      </c>
      <c r="B55" s="997" t="s">
        <v>150</v>
      </c>
      <c r="C55" s="1070">
        <f t="shared" si="26"/>
        <v>0</v>
      </c>
      <c r="D55" s="1066">
        <f t="shared" si="27"/>
        <v>355000</v>
      </c>
      <c r="E55" s="1066"/>
      <c r="F55" s="1066">
        <v>20000</v>
      </c>
      <c r="G55" s="1067"/>
      <c r="H55" s="1067">
        <v>20000</v>
      </c>
      <c r="I55" s="1067"/>
      <c r="J55" s="1067">
        <v>20000</v>
      </c>
      <c r="K55" s="1067"/>
      <c r="L55" s="1067">
        <v>20000</v>
      </c>
      <c r="M55" s="1067"/>
      <c r="N55" s="1067">
        <v>20000</v>
      </c>
      <c r="O55" s="1067"/>
      <c r="P55" s="1067">
        <v>20000</v>
      </c>
      <c r="Q55" s="1067"/>
      <c r="R55" s="1067">
        <v>20000</v>
      </c>
      <c r="S55" s="1067"/>
      <c r="T55" s="1067">
        <v>20000</v>
      </c>
      <c r="U55" s="1069"/>
      <c r="V55" s="1067">
        <v>20000</v>
      </c>
      <c r="W55" s="1069"/>
      <c r="X55" s="1067">
        <v>20000</v>
      </c>
      <c r="Y55" s="1069"/>
      <c r="Z55" s="1067">
        <v>20000</v>
      </c>
      <c r="AA55" s="1069"/>
      <c r="AB55" s="1067">
        <v>20000</v>
      </c>
      <c r="AC55" s="1069"/>
      <c r="AD55" s="1067">
        <v>20000</v>
      </c>
      <c r="AE55" s="1067"/>
      <c r="AF55" s="1067">
        <v>20000</v>
      </c>
      <c r="AG55" s="1067"/>
      <c r="AH55" s="1067">
        <v>20000</v>
      </c>
      <c r="AI55" s="1067"/>
      <c r="AJ55" s="1067">
        <v>20000</v>
      </c>
      <c r="AK55" s="1069"/>
      <c r="AL55" s="1067">
        <v>35000</v>
      </c>
    </row>
    <row r="56" spans="1:38" s="1058" customFormat="1">
      <c r="A56" s="996" t="s">
        <v>42</v>
      </c>
      <c r="B56" s="997" t="s">
        <v>176</v>
      </c>
      <c r="C56" s="1070">
        <f t="shared" si="26"/>
        <v>0</v>
      </c>
      <c r="D56" s="1066">
        <f t="shared" si="27"/>
        <v>261000</v>
      </c>
      <c r="E56" s="1066"/>
      <c r="F56" s="1066">
        <v>15000</v>
      </c>
      <c r="G56" s="1067"/>
      <c r="H56" s="1067">
        <v>15000</v>
      </c>
      <c r="I56" s="1067"/>
      <c r="J56" s="1067">
        <v>15000</v>
      </c>
      <c r="K56" s="1067"/>
      <c r="L56" s="1067">
        <v>15000</v>
      </c>
      <c r="M56" s="1067"/>
      <c r="N56" s="1067">
        <v>15000</v>
      </c>
      <c r="O56" s="1067"/>
      <c r="P56" s="1067">
        <v>15000</v>
      </c>
      <c r="Q56" s="1067"/>
      <c r="R56" s="1067">
        <v>15000</v>
      </c>
      <c r="S56" s="1067"/>
      <c r="T56" s="1067">
        <v>15000</v>
      </c>
      <c r="U56" s="1069"/>
      <c r="V56" s="1067">
        <v>15000</v>
      </c>
      <c r="W56" s="1069"/>
      <c r="X56" s="1067">
        <v>18000</v>
      </c>
      <c r="Y56" s="1069"/>
      <c r="Z56" s="1067">
        <v>15000</v>
      </c>
      <c r="AA56" s="1069"/>
      <c r="AB56" s="1067">
        <v>15000</v>
      </c>
      <c r="AC56" s="1069"/>
      <c r="AD56" s="1067">
        <v>15000</v>
      </c>
      <c r="AE56" s="1067"/>
      <c r="AF56" s="1067">
        <v>15000</v>
      </c>
      <c r="AG56" s="1067"/>
      <c r="AH56" s="1067">
        <v>18000</v>
      </c>
      <c r="AI56" s="1067"/>
      <c r="AJ56" s="1067">
        <v>15000</v>
      </c>
      <c r="AK56" s="1069"/>
      <c r="AL56" s="1071">
        <v>15000</v>
      </c>
    </row>
    <row r="57" spans="1:38" s="1058" customFormat="1">
      <c r="A57" s="996" t="s">
        <v>173</v>
      </c>
      <c r="B57" s="997" t="s">
        <v>151</v>
      </c>
      <c r="C57" s="1070">
        <f t="shared" si="26"/>
        <v>601</v>
      </c>
      <c r="D57" s="1066">
        <f t="shared" si="27"/>
        <v>2545543.6</v>
      </c>
      <c r="E57" s="1070">
        <f t="shared" ref="E57:AK57" si="39">E58+E63</f>
        <v>37</v>
      </c>
      <c r="F57" s="1070">
        <f>F58+F63</f>
        <v>64563.6</v>
      </c>
      <c r="G57" s="1071">
        <f t="shared" si="39"/>
        <v>38</v>
      </c>
      <c r="H57" s="1071">
        <f t="shared" si="39"/>
        <v>105927.2</v>
      </c>
      <c r="I57" s="1071">
        <f t="shared" si="39"/>
        <v>40</v>
      </c>
      <c r="J57" s="1071">
        <f t="shared" si="39"/>
        <v>150540.79999999999</v>
      </c>
      <c r="K57" s="1071">
        <f t="shared" si="39"/>
        <v>26</v>
      </c>
      <c r="L57" s="1071">
        <f t="shared" si="39"/>
        <v>14300</v>
      </c>
      <c r="M57" s="1071">
        <f t="shared" si="39"/>
        <v>15</v>
      </c>
      <c r="N57" s="1071">
        <f t="shared" si="39"/>
        <v>94377.2</v>
      </c>
      <c r="O57" s="1071">
        <f t="shared" si="39"/>
        <v>29</v>
      </c>
      <c r="P57" s="1071">
        <f t="shared" si="39"/>
        <v>144390.79999999999</v>
      </c>
      <c r="Q57" s="1071">
        <f t="shared" si="39"/>
        <v>34</v>
      </c>
      <c r="R57" s="1071">
        <f t="shared" si="39"/>
        <v>103927.2</v>
      </c>
      <c r="S57" s="1071">
        <f t="shared" si="39"/>
        <v>21</v>
      </c>
      <c r="T57" s="1071">
        <f t="shared" si="39"/>
        <v>184904.4</v>
      </c>
      <c r="U57" s="1071">
        <f t="shared" si="39"/>
        <v>44</v>
      </c>
      <c r="V57" s="1071">
        <f t="shared" si="39"/>
        <v>111227.2</v>
      </c>
      <c r="W57" s="1071">
        <f t="shared" si="39"/>
        <v>45</v>
      </c>
      <c r="X57" s="1071">
        <f t="shared" si="39"/>
        <v>281931.59999999998</v>
      </c>
      <c r="Y57" s="1071">
        <f>Y58+Y63</f>
        <v>35</v>
      </c>
      <c r="Z57" s="1071">
        <f>Z58+Z63</f>
        <v>426972.4</v>
      </c>
      <c r="AA57" s="1071">
        <f t="shared" si="39"/>
        <v>49</v>
      </c>
      <c r="AB57" s="1071">
        <f t="shared" si="39"/>
        <v>242118</v>
      </c>
      <c r="AC57" s="1071">
        <f t="shared" si="39"/>
        <v>32</v>
      </c>
      <c r="AD57" s="1071">
        <f>AD58+AD63</f>
        <v>102227.2</v>
      </c>
      <c r="AE57" s="1071">
        <f t="shared" si="39"/>
        <v>15</v>
      </c>
      <c r="AF57" s="1071">
        <f t="shared" si="39"/>
        <v>179804.4</v>
      </c>
      <c r="AG57" s="1071">
        <f t="shared" si="39"/>
        <v>23</v>
      </c>
      <c r="AH57" s="1071">
        <f t="shared" si="39"/>
        <v>13850</v>
      </c>
      <c r="AI57" s="1071">
        <f t="shared" si="39"/>
        <v>19</v>
      </c>
      <c r="AJ57" s="1071">
        <f t="shared" si="39"/>
        <v>10950</v>
      </c>
      <c r="AK57" s="1071">
        <f t="shared" si="39"/>
        <v>99</v>
      </c>
      <c r="AL57" s="1071">
        <f>AL58+AL63</f>
        <v>313531.59999999998</v>
      </c>
    </row>
    <row r="58" spans="1:38" s="1058" customFormat="1">
      <c r="A58" s="996">
        <v>1</v>
      </c>
      <c r="B58" s="997" t="s">
        <v>59</v>
      </c>
      <c r="C58" s="1070">
        <f>SUM(C59:C61)</f>
        <v>51</v>
      </c>
      <c r="D58" s="1066">
        <f t="shared" si="27"/>
        <v>2229843.6</v>
      </c>
      <c r="E58" s="1070">
        <f t="shared" ref="E58:AC58" si="40">SUM(E59:E62)</f>
        <v>1</v>
      </c>
      <c r="F58" s="1070">
        <f>SUM(F59:F62)</f>
        <v>43263.6</v>
      </c>
      <c r="G58" s="1071">
        <f t="shared" si="40"/>
        <v>2</v>
      </c>
      <c r="H58" s="1071">
        <f t="shared" si="40"/>
        <v>86527.2</v>
      </c>
      <c r="I58" s="1071">
        <f t="shared" si="40"/>
        <v>3</v>
      </c>
      <c r="J58" s="1071">
        <f t="shared" si="40"/>
        <v>129790.8</v>
      </c>
      <c r="K58" s="1071">
        <f t="shared" si="40"/>
        <v>0</v>
      </c>
      <c r="L58" s="1071">
        <f t="shared" si="40"/>
        <v>0</v>
      </c>
      <c r="M58" s="1071">
        <f t="shared" si="40"/>
        <v>2</v>
      </c>
      <c r="N58" s="1071">
        <f t="shared" si="40"/>
        <v>86527.2</v>
      </c>
      <c r="O58" s="1071">
        <f t="shared" si="40"/>
        <v>3</v>
      </c>
      <c r="P58" s="1071">
        <f t="shared" si="40"/>
        <v>129790.8</v>
      </c>
      <c r="Q58" s="1071">
        <f t="shared" si="40"/>
        <v>2</v>
      </c>
      <c r="R58" s="1071">
        <f t="shared" si="40"/>
        <v>86527.2</v>
      </c>
      <c r="S58" s="1071">
        <f t="shared" si="40"/>
        <v>4</v>
      </c>
      <c r="T58" s="1071">
        <f t="shared" si="40"/>
        <v>173054.4</v>
      </c>
      <c r="U58" s="1071">
        <f t="shared" si="40"/>
        <v>2</v>
      </c>
      <c r="V58" s="1071">
        <f t="shared" si="40"/>
        <v>86527.2</v>
      </c>
      <c r="W58" s="1071">
        <f>SUM(W59:W62)</f>
        <v>6</v>
      </c>
      <c r="X58" s="1071">
        <f t="shared" si="40"/>
        <v>259581.6</v>
      </c>
      <c r="Y58" s="1071">
        <f>SUM(Y59:Y62)</f>
        <v>9</v>
      </c>
      <c r="Z58" s="1071">
        <f>SUM(Z59:Z62)</f>
        <v>412772.4</v>
      </c>
      <c r="AA58" s="1071">
        <f>SUM(AA59:AA62)</f>
        <v>5</v>
      </c>
      <c r="AB58" s="1071">
        <f>SUM(AB59:AB62)</f>
        <v>216318</v>
      </c>
      <c r="AC58" s="1071">
        <f t="shared" si="40"/>
        <v>2</v>
      </c>
      <c r="AD58" s="1071">
        <f>SUM(AD59:AD62)</f>
        <v>86527.2</v>
      </c>
      <c r="AE58" s="1071">
        <f t="shared" ref="AE58:AI58" si="41">SUM(AE59:AE62)</f>
        <v>4</v>
      </c>
      <c r="AF58" s="1071">
        <f>SUM(AF59:AF62)</f>
        <v>173054.4</v>
      </c>
      <c r="AG58" s="1071">
        <f t="shared" si="41"/>
        <v>0</v>
      </c>
      <c r="AH58" s="1071">
        <f>SUM(AH59:AH62)</f>
        <v>0</v>
      </c>
      <c r="AI58" s="1071">
        <f t="shared" si="41"/>
        <v>0</v>
      </c>
      <c r="AJ58" s="1071">
        <f>SUM(AJ59:AJ62)</f>
        <v>0</v>
      </c>
      <c r="AK58" s="1071">
        <f>SUM(AK59:AK62)</f>
        <v>6</v>
      </c>
      <c r="AL58" s="1071">
        <f>SUM(AL59:AL62)</f>
        <v>259581.6</v>
      </c>
    </row>
    <row r="59" spans="1:38" ht="21.75" customHeight="1">
      <c r="A59" s="998"/>
      <c r="B59" s="999" t="s">
        <v>1340</v>
      </c>
      <c r="C59" s="1077">
        <f t="shared" ref="C59:C70" si="42">+E59+G59+I59+K59+M59+O59+Q59+S59+U59+W59+AA59+Y59+AC59+AE59+AG59+AI59+AK59</f>
        <v>14</v>
      </c>
      <c r="D59" s="1078">
        <f t="shared" si="27"/>
        <v>588000</v>
      </c>
      <c r="E59" s="1078"/>
      <c r="F59" s="1078">
        <f>3500*E59*12</f>
        <v>0</v>
      </c>
      <c r="G59" s="1079"/>
      <c r="H59" s="1078">
        <f>3500*G59*12</f>
        <v>0</v>
      </c>
      <c r="I59" s="1079"/>
      <c r="J59" s="1078">
        <f>3500*I59*12</f>
        <v>0</v>
      </c>
      <c r="K59" s="1079"/>
      <c r="L59" s="1078">
        <f>3500*K59*12</f>
        <v>0</v>
      </c>
      <c r="M59" s="1079"/>
      <c r="N59" s="1079">
        <f>3500*M59*12</f>
        <v>0</v>
      </c>
      <c r="O59" s="1079">
        <v>1</v>
      </c>
      <c r="P59" s="1078">
        <f>3500*O59*12</f>
        <v>42000</v>
      </c>
      <c r="Q59" s="1079"/>
      <c r="R59" s="1078">
        <f>3500*Q59*12</f>
        <v>0</v>
      </c>
      <c r="S59" s="1079">
        <v>1</v>
      </c>
      <c r="T59" s="1078">
        <f>3500*S59*12</f>
        <v>42000</v>
      </c>
      <c r="U59" s="1080">
        <v>1</v>
      </c>
      <c r="V59" s="1078">
        <f>3500*U59*12</f>
        <v>42000</v>
      </c>
      <c r="W59" s="1080">
        <v>3</v>
      </c>
      <c r="X59" s="1078">
        <f>3500*W59*12</f>
        <v>126000</v>
      </c>
      <c r="Y59" s="1080">
        <v>2</v>
      </c>
      <c r="Z59" s="1078">
        <f>3500*Y59*12</f>
        <v>84000</v>
      </c>
      <c r="AA59" s="1080">
        <v>1</v>
      </c>
      <c r="AB59" s="1078">
        <f>3500*AA59*12</f>
        <v>42000</v>
      </c>
      <c r="AC59" s="1080"/>
      <c r="AD59" s="1078">
        <f>3500*AC59*12</f>
        <v>0</v>
      </c>
      <c r="AE59" s="1079">
        <v>3</v>
      </c>
      <c r="AF59" s="1078">
        <f>3500*AE59*12</f>
        <v>126000</v>
      </c>
      <c r="AG59" s="1079"/>
      <c r="AH59" s="1078">
        <f>3500*AG59*12</f>
        <v>0</v>
      </c>
      <c r="AI59" s="1079"/>
      <c r="AJ59" s="1078">
        <f>3500*AI59*12</f>
        <v>0</v>
      </c>
      <c r="AK59" s="1080">
        <v>2</v>
      </c>
      <c r="AL59" s="1078">
        <f>3500*AK59*12</f>
        <v>84000</v>
      </c>
    </row>
    <row r="60" spans="1:38" ht="18.75" customHeight="1">
      <c r="A60" s="998"/>
      <c r="B60" s="999" t="s">
        <v>1341</v>
      </c>
      <c r="C60" s="1077">
        <f t="shared" si="42"/>
        <v>12</v>
      </c>
      <c r="D60" s="1078">
        <f t="shared" si="27"/>
        <v>504000</v>
      </c>
      <c r="E60" s="1078">
        <v>1</v>
      </c>
      <c r="F60" s="1078">
        <f>3500*E60*12</f>
        <v>42000</v>
      </c>
      <c r="G60" s="1079">
        <v>1</v>
      </c>
      <c r="H60" s="1078">
        <f>3500*G60*12</f>
        <v>42000</v>
      </c>
      <c r="I60" s="1079">
        <v>1</v>
      </c>
      <c r="J60" s="1078">
        <f>3500*I60*12</f>
        <v>42000</v>
      </c>
      <c r="K60" s="1079"/>
      <c r="L60" s="1078">
        <f>3500*K60*12</f>
        <v>0</v>
      </c>
      <c r="M60" s="1079">
        <v>1</v>
      </c>
      <c r="N60" s="1079">
        <f>3500*M60*12</f>
        <v>42000</v>
      </c>
      <c r="O60" s="1079">
        <v>1</v>
      </c>
      <c r="P60" s="1078">
        <f>3500*O60*12</f>
        <v>42000</v>
      </c>
      <c r="Q60" s="1079">
        <v>1</v>
      </c>
      <c r="R60" s="1078">
        <f t="shared" ref="R60:R61" si="43">3500*Q60*12</f>
        <v>42000</v>
      </c>
      <c r="S60" s="1079">
        <v>2</v>
      </c>
      <c r="T60" s="1078">
        <f t="shared" ref="T60:T61" si="44">3500*S60*12</f>
        <v>84000</v>
      </c>
      <c r="U60" s="1080">
        <v>0</v>
      </c>
      <c r="V60" s="1078">
        <f>3500*U60*12</f>
        <v>0</v>
      </c>
      <c r="W60" s="1080"/>
      <c r="X60" s="1078">
        <f t="shared" ref="X60:X61" si="45">3500*W60*12</f>
        <v>0</v>
      </c>
      <c r="Y60" s="1080">
        <v>2</v>
      </c>
      <c r="Z60" s="1078">
        <f t="shared" ref="Z60" si="46">3500*Y60*12</f>
        <v>84000</v>
      </c>
      <c r="AA60" s="1080"/>
      <c r="AB60" s="1078">
        <f t="shared" ref="AB60:AB61" si="47">3500*AA60*12</f>
        <v>0</v>
      </c>
      <c r="AC60" s="1080">
        <v>1</v>
      </c>
      <c r="AD60" s="1078">
        <f>3500*AC60*12</f>
        <v>42000</v>
      </c>
      <c r="AE60" s="1079"/>
      <c r="AF60" s="1078">
        <f t="shared" ref="AF60:AF61" si="48">3500*AE60*12</f>
        <v>0</v>
      </c>
      <c r="AG60" s="1079">
        <v>0</v>
      </c>
      <c r="AH60" s="1078">
        <f t="shared" ref="AH60:AH61" si="49">3500*AG60*12</f>
        <v>0</v>
      </c>
      <c r="AI60" s="1079"/>
      <c r="AJ60" s="1078">
        <f t="shared" ref="AJ60" si="50">3500*AI60*12</f>
        <v>0</v>
      </c>
      <c r="AK60" s="1080">
        <v>1</v>
      </c>
      <c r="AL60" s="1078">
        <f>3500*AK60*12</f>
        <v>42000</v>
      </c>
    </row>
    <row r="61" spans="1:38" ht="18.75" customHeight="1">
      <c r="A61" s="998"/>
      <c r="B61" s="999" t="s">
        <v>1342</v>
      </c>
      <c r="C61" s="1077">
        <f t="shared" si="42"/>
        <v>25</v>
      </c>
      <c r="D61" s="1078">
        <f t="shared" si="27"/>
        <v>1073400</v>
      </c>
      <c r="E61" s="1078"/>
      <c r="F61" s="1078">
        <f>2817*E61*12</f>
        <v>0</v>
      </c>
      <c r="G61" s="1079">
        <v>1</v>
      </c>
      <c r="H61" s="1078">
        <f>3500*G61*12</f>
        <v>42000</v>
      </c>
      <c r="I61" s="1079">
        <v>2</v>
      </c>
      <c r="J61" s="1078">
        <f>3500*I61*12</f>
        <v>84000</v>
      </c>
      <c r="K61" s="1079"/>
      <c r="L61" s="1078">
        <f>3500*K61*12</f>
        <v>0</v>
      </c>
      <c r="M61" s="1079">
        <v>1</v>
      </c>
      <c r="N61" s="1079">
        <f>3500*M61*12</f>
        <v>42000</v>
      </c>
      <c r="O61" s="1079">
        <v>1</v>
      </c>
      <c r="P61" s="1078">
        <f>3500*O61*12</f>
        <v>42000</v>
      </c>
      <c r="Q61" s="1079">
        <v>1</v>
      </c>
      <c r="R61" s="1078">
        <f t="shared" si="43"/>
        <v>42000</v>
      </c>
      <c r="S61" s="1079">
        <v>1</v>
      </c>
      <c r="T61" s="1078">
        <f t="shared" si="44"/>
        <v>42000</v>
      </c>
      <c r="U61" s="1080">
        <v>1</v>
      </c>
      <c r="V61" s="1078">
        <f>3500*U61*12</f>
        <v>42000</v>
      </c>
      <c r="W61" s="1080">
        <v>3</v>
      </c>
      <c r="X61" s="1078">
        <f t="shared" si="45"/>
        <v>126000</v>
      </c>
      <c r="Y61" s="1080">
        <v>5</v>
      </c>
      <c r="Z61" s="1078">
        <f>(3500*Y61*12)+23400</f>
        <v>233400</v>
      </c>
      <c r="AA61" s="1080">
        <v>4</v>
      </c>
      <c r="AB61" s="1078">
        <f t="shared" si="47"/>
        <v>168000</v>
      </c>
      <c r="AC61" s="1080">
        <v>1</v>
      </c>
      <c r="AD61" s="1078">
        <f>3500*AC61*12</f>
        <v>42000</v>
      </c>
      <c r="AE61" s="1079">
        <v>1</v>
      </c>
      <c r="AF61" s="1078">
        <f t="shared" si="48"/>
        <v>42000</v>
      </c>
      <c r="AG61" s="1079"/>
      <c r="AH61" s="1078">
        <f t="shared" si="49"/>
        <v>0</v>
      </c>
      <c r="AI61" s="1079">
        <v>0</v>
      </c>
      <c r="AJ61" s="1078">
        <f>2340*AI61*10</f>
        <v>0</v>
      </c>
      <c r="AK61" s="1080">
        <v>3</v>
      </c>
      <c r="AL61" s="1078">
        <f>3500*AK61*12</f>
        <v>126000</v>
      </c>
    </row>
    <row r="62" spans="1:38" ht="18.75" customHeight="1">
      <c r="A62" s="998"/>
      <c r="B62" s="999" t="s">
        <v>185</v>
      </c>
      <c r="C62" s="1077">
        <f t="shared" si="42"/>
        <v>0</v>
      </c>
      <c r="D62" s="1078">
        <f t="shared" si="27"/>
        <v>64443.599999999991</v>
      </c>
      <c r="E62" s="1078"/>
      <c r="F62" s="1078">
        <f>2340*12*4.5%*E58</f>
        <v>1263.5999999999999</v>
      </c>
      <c r="G62" s="1067"/>
      <c r="H62" s="1078">
        <f>2340*12*4.5%*G58</f>
        <v>2527.1999999999998</v>
      </c>
      <c r="I62" s="1079"/>
      <c r="J62" s="1078">
        <f>2340*12*4.5%*I58</f>
        <v>3790.7999999999997</v>
      </c>
      <c r="K62" s="1079"/>
      <c r="L62" s="1078">
        <f>2340*12*4.5%*K58</f>
        <v>0</v>
      </c>
      <c r="M62" s="1079"/>
      <c r="N62" s="1078">
        <f>2340*12*4.5%*M58</f>
        <v>2527.1999999999998</v>
      </c>
      <c r="O62" s="1079"/>
      <c r="P62" s="1078">
        <f>2340*12*4.5%*O58</f>
        <v>3790.7999999999997</v>
      </c>
      <c r="Q62" s="1079"/>
      <c r="R62" s="1078">
        <f>2340*12*4.5%*Q58</f>
        <v>2527.1999999999998</v>
      </c>
      <c r="S62" s="1079"/>
      <c r="T62" s="1078">
        <f>2340*12*4.5%*S58</f>
        <v>5054.3999999999996</v>
      </c>
      <c r="U62" s="1080"/>
      <c r="V62" s="1078">
        <f>2340*12*4.5%*U58</f>
        <v>2527.1999999999998</v>
      </c>
      <c r="W62" s="1080"/>
      <c r="X62" s="1078">
        <f>2340*12*4.5%*W58</f>
        <v>7581.5999999999995</v>
      </c>
      <c r="Y62" s="1080"/>
      <c r="Z62" s="1078">
        <f>2340*12*4.5%*Y58</f>
        <v>11372.4</v>
      </c>
      <c r="AA62" s="1080"/>
      <c r="AB62" s="1078">
        <f>2340*12*4.5%*AA58</f>
        <v>6318</v>
      </c>
      <c r="AC62" s="1080"/>
      <c r="AD62" s="1078">
        <f>2340*12*4.5%*AC58</f>
        <v>2527.1999999999998</v>
      </c>
      <c r="AE62" s="1079"/>
      <c r="AF62" s="1078">
        <f>2340*12*4.5%*AE58</f>
        <v>5054.3999999999996</v>
      </c>
      <c r="AG62" s="1079"/>
      <c r="AH62" s="1078">
        <f>2340*12*4.5%*AG58</f>
        <v>0</v>
      </c>
      <c r="AI62" s="1079"/>
      <c r="AJ62" s="1078"/>
      <c r="AK62" s="1080"/>
      <c r="AL62" s="1078">
        <f>2340*12*4.5%*AK58</f>
        <v>7581.5999999999995</v>
      </c>
    </row>
    <row r="63" spans="1:38" s="1058" customFormat="1" ht="18" customHeight="1">
      <c r="A63" s="996">
        <v>2</v>
      </c>
      <c r="B63" s="1084" t="s">
        <v>60</v>
      </c>
      <c r="C63" s="1070">
        <f t="shared" si="42"/>
        <v>550</v>
      </c>
      <c r="D63" s="1066">
        <f t="shared" si="27"/>
        <v>315700</v>
      </c>
      <c r="E63" s="1070">
        <f t="shared" ref="E63:AJ63" si="51">SUM(E64:E70)</f>
        <v>36</v>
      </c>
      <c r="F63" s="1070">
        <f>SUM(F64:F70)</f>
        <v>21300</v>
      </c>
      <c r="G63" s="1071">
        <f>SUM(G64:G70)</f>
        <v>36</v>
      </c>
      <c r="H63" s="1071">
        <f>SUM(H64:H70)</f>
        <v>19400</v>
      </c>
      <c r="I63" s="1071">
        <f t="shared" si="51"/>
        <v>37</v>
      </c>
      <c r="J63" s="1071">
        <f t="shared" si="51"/>
        <v>20750</v>
      </c>
      <c r="K63" s="1071">
        <f t="shared" si="51"/>
        <v>26</v>
      </c>
      <c r="L63" s="1071">
        <f t="shared" si="51"/>
        <v>14300</v>
      </c>
      <c r="M63" s="1071">
        <f t="shared" si="51"/>
        <v>13</v>
      </c>
      <c r="N63" s="1071">
        <f t="shared" si="51"/>
        <v>7850</v>
      </c>
      <c r="O63" s="1071">
        <f t="shared" si="51"/>
        <v>26</v>
      </c>
      <c r="P63" s="1071">
        <f t="shared" si="51"/>
        <v>14600</v>
      </c>
      <c r="Q63" s="1071">
        <f t="shared" si="51"/>
        <v>32</v>
      </c>
      <c r="R63" s="1071">
        <f t="shared" si="51"/>
        <v>17400</v>
      </c>
      <c r="S63" s="1071">
        <f t="shared" si="51"/>
        <v>17</v>
      </c>
      <c r="T63" s="1071">
        <f t="shared" si="51"/>
        <v>11850</v>
      </c>
      <c r="U63" s="1071">
        <f t="shared" ref="U63:AD63" si="52">SUM(U64:U70)</f>
        <v>42</v>
      </c>
      <c r="V63" s="1071">
        <f t="shared" si="52"/>
        <v>24700</v>
      </c>
      <c r="W63" s="1071">
        <f t="shared" si="52"/>
        <v>39</v>
      </c>
      <c r="X63" s="1071">
        <f t="shared" si="52"/>
        <v>22350</v>
      </c>
      <c r="Y63" s="1071">
        <f>SUM(Y64:Y70)</f>
        <v>26</v>
      </c>
      <c r="Z63" s="1071">
        <f>SUM(Z64:Z70)</f>
        <v>14200</v>
      </c>
      <c r="AA63" s="1071">
        <f t="shared" si="52"/>
        <v>44</v>
      </c>
      <c r="AB63" s="1071">
        <f t="shared" si="52"/>
        <v>25800</v>
      </c>
      <c r="AC63" s="1071">
        <f t="shared" si="52"/>
        <v>30</v>
      </c>
      <c r="AD63" s="1071">
        <f t="shared" si="52"/>
        <v>15700</v>
      </c>
      <c r="AE63" s="1071">
        <f t="shared" si="51"/>
        <v>11</v>
      </c>
      <c r="AF63" s="1071">
        <f t="shared" si="51"/>
        <v>6750</v>
      </c>
      <c r="AG63" s="1071">
        <f t="shared" si="51"/>
        <v>23</v>
      </c>
      <c r="AH63" s="1071">
        <f t="shared" si="51"/>
        <v>13850</v>
      </c>
      <c r="AI63" s="1071">
        <f t="shared" si="51"/>
        <v>19</v>
      </c>
      <c r="AJ63" s="1071">
        <f t="shared" si="51"/>
        <v>10950</v>
      </c>
      <c r="AK63" s="1071">
        <f>SUM(AK64:AK70)</f>
        <v>93</v>
      </c>
      <c r="AL63" s="1071">
        <f>SUM(AL64:AL70)</f>
        <v>53950</v>
      </c>
    </row>
    <row r="64" spans="1:38" s="1102" customFormat="1" ht="18.75" customHeight="1">
      <c r="A64" s="1100"/>
      <c r="B64" s="1001" t="s">
        <v>272</v>
      </c>
      <c r="C64" s="1077">
        <f t="shared" si="42"/>
        <v>199</v>
      </c>
      <c r="D64" s="1078">
        <f t="shared" si="27"/>
        <v>59700</v>
      </c>
      <c r="E64" s="1098">
        <v>11</v>
      </c>
      <c r="F64" s="1098">
        <f>E64*300</f>
        <v>3300</v>
      </c>
      <c r="G64" s="1080">
        <v>16</v>
      </c>
      <c r="H64" s="1080">
        <f>G64*300</f>
        <v>4800</v>
      </c>
      <c r="I64" s="1080">
        <v>16</v>
      </c>
      <c r="J64" s="1080">
        <f>I64*300</f>
        <v>4800</v>
      </c>
      <c r="K64" s="1080">
        <v>12</v>
      </c>
      <c r="L64" s="1080">
        <f>K64*300</f>
        <v>3600</v>
      </c>
      <c r="M64" s="1080">
        <v>1</v>
      </c>
      <c r="N64" s="1080">
        <f>M64*300</f>
        <v>300</v>
      </c>
      <c r="O64" s="1080">
        <v>7</v>
      </c>
      <c r="P64" s="1080">
        <f>O64*300</f>
        <v>2100</v>
      </c>
      <c r="Q64" s="1080">
        <v>13</v>
      </c>
      <c r="R64" s="1080">
        <f>Q64*300</f>
        <v>3900</v>
      </c>
      <c r="S64" s="1080">
        <v>3</v>
      </c>
      <c r="T64" s="1080">
        <f>S64*300</f>
        <v>900</v>
      </c>
      <c r="U64" s="1080">
        <v>15</v>
      </c>
      <c r="V64" s="1080">
        <f>U64*300</f>
        <v>4500</v>
      </c>
      <c r="W64" s="1080">
        <v>18</v>
      </c>
      <c r="X64" s="1080">
        <f>W64*300</f>
        <v>5400</v>
      </c>
      <c r="Y64" s="1080">
        <v>12</v>
      </c>
      <c r="Z64" s="1080">
        <f>Y64*300</f>
        <v>3600</v>
      </c>
      <c r="AA64" s="1080">
        <v>14</v>
      </c>
      <c r="AB64" s="1080">
        <f>AA64*300</f>
        <v>4200</v>
      </c>
      <c r="AC64" s="1080">
        <v>16</v>
      </c>
      <c r="AD64" s="1080">
        <f>AC64*300</f>
        <v>4800</v>
      </c>
      <c r="AE64" s="1080">
        <v>4</v>
      </c>
      <c r="AF64" s="1080">
        <f>AE64*300</f>
        <v>1200</v>
      </c>
      <c r="AG64" s="1080">
        <v>9</v>
      </c>
      <c r="AH64" s="1080">
        <f>AG64*300</f>
        <v>2700</v>
      </c>
      <c r="AI64" s="1080">
        <v>4</v>
      </c>
      <c r="AJ64" s="1080">
        <f>AI64*300</f>
        <v>1200</v>
      </c>
      <c r="AK64" s="1101">
        <v>28</v>
      </c>
      <c r="AL64" s="1080">
        <f>AK64*300</f>
        <v>8400</v>
      </c>
    </row>
    <row r="65" spans="1:38" s="1102" customFormat="1" ht="42.75" customHeight="1">
      <c r="A65" s="1100"/>
      <c r="B65" s="1001" t="s">
        <v>273</v>
      </c>
      <c r="C65" s="1077">
        <f t="shared" si="42"/>
        <v>164</v>
      </c>
      <c r="D65" s="1078">
        <f t="shared" si="27"/>
        <v>65600</v>
      </c>
      <c r="E65" s="1098">
        <v>12</v>
      </c>
      <c r="F65" s="1098">
        <f>E65*400</f>
        <v>4800</v>
      </c>
      <c r="G65" s="1080">
        <v>10</v>
      </c>
      <c r="H65" s="1080">
        <f>G65*400</f>
        <v>4000</v>
      </c>
      <c r="I65" s="1080">
        <v>7</v>
      </c>
      <c r="J65" s="1080">
        <f>I65*400</f>
        <v>2800</v>
      </c>
      <c r="K65" s="1080">
        <v>6</v>
      </c>
      <c r="L65" s="1080">
        <f>K65*400</f>
        <v>2400</v>
      </c>
      <c r="M65" s="1080">
        <v>6</v>
      </c>
      <c r="N65" s="1080">
        <f>M65*400</f>
        <v>2400</v>
      </c>
      <c r="O65" s="1080">
        <v>12</v>
      </c>
      <c r="P65" s="1080">
        <f>O65*400</f>
        <v>4800</v>
      </c>
      <c r="Q65" s="1080">
        <v>11</v>
      </c>
      <c r="R65" s="1080">
        <f>Q65*400</f>
        <v>4400</v>
      </c>
      <c r="S65" s="1080">
        <v>5</v>
      </c>
      <c r="T65" s="1080">
        <f>S65*400</f>
        <v>2000</v>
      </c>
      <c r="U65" s="1080">
        <v>9</v>
      </c>
      <c r="V65" s="1080">
        <f>U65*400</f>
        <v>3600</v>
      </c>
      <c r="W65" s="1080">
        <v>9</v>
      </c>
      <c r="X65" s="1080">
        <f>W65*400</f>
        <v>3600</v>
      </c>
      <c r="Y65" s="1080">
        <v>8</v>
      </c>
      <c r="Z65" s="1080">
        <f>Y65*400</f>
        <v>3200</v>
      </c>
      <c r="AA65" s="1080">
        <v>13</v>
      </c>
      <c r="AB65" s="1080">
        <f>AA65*400</f>
        <v>5200</v>
      </c>
      <c r="AC65" s="1080">
        <v>8</v>
      </c>
      <c r="AD65" s="1080">
        <f>AC65*400</f>
        <v>3200</v>
      </c>
      <c r="AE65" s="1080">
        <v>1</v>
      </c>
      <c r="AF65" s="1080">
        <f>AE65*400</f>
        <v>400</v>
      </c>
      <c r="AG65" s="1080">
        <v>6</v>
      </c>
      <c r="AH65" s="1080">
        <f>AG65*400</f>
        <v>2400</v>
      </c>
      <c r="AI65" s="1080">
        <v>8</v>
      </c>
      <c r="AJ65" s="1080">
        <f>AI65*400</f>
        <v>3200</v>
      </c>
      <c r="AK65" s="1101">
        <v>33</v>
      </c>
      <c r="AL65" s="1080">
        <f>AK65*400</f>
        <v>13200</v>
      </c>
    </row>
    <row r="66" spans="1:38" s="1102" customFormat="1" ht="22.5" customHeight="1">
      <c r="A66" s="1100"/>
      <c r="B66" s="1001" t="s">
        <v>274</v>
      </c>
      <c r="C66" s="1077">
        <f t="shared" si="42"/>
        <v>97</v>
      </c>
      <c r="D66" s="1078">
        <f t="shared" si="27"/>
        <v>48500</v>
      </c>
      <c r="E66" s="1098">
        <v>9</v>
      </c>
      <c r="F66" s="1098">
        <f>E66*500</f>
        <v>4500</v>
      </c>
      <c r="G66" s="1080">
        <v>8</v>
      </c>
      <c r="H66" s="1080">
        <f>G66*500</f>
        <v>4000</v>
      </c>
      <c r="I66" s="1080">
        <v>8</v>
      </c>
      <c r="J66" s="1080">
        <f>I66*500</f>
        <v>4000</v>
      </c>
      <c r="K66" s="1080">
        <v>4</v>
      </c>
      <c r="L66" s="1080">
        <f>K66*500</f>
        <v>2000</v>
      </c>
      <c r="M66" s="1080">
        <v>4</v>
      </c>
      <c r="N66" s="1080">
        <f>M66*500</f>
        <v>2000</v>
      </c>
      <c r="O66" s="1080">
        <v>4</v>
      </c>
      <c r="P66" s="1080">
        <f>O66*500</f>
        <v>2000</v>
      </c>
      <c r="Q66" s="1080">
        <v>5</v>
      </c>
      <c r="R66" s="1080">
        <f>Q66*500</f>
        <v>2500</v>
      </c>
      <c r="S66" s="1080">
        <v>2</v>
      </c>
      <c r="T66" s="1080">
        <f>S66*500</f>
        <v>1000</v>
      </c>
      <c r="U66" s="1080">
        <v>11</v>
      </c>
      <c r="V66" s="1080">
        <f>U66*500</f>
        <v>5500</v>
      </c>
      <c r="W66" s="1080">
        <v>3</v>
      </c>
      <c r="X66" s="1080">
        <f>W66*500</f>
        <v>1500</v>
      </c>
      <c r="Y66" s="1080">
        <v>4</v>
      </c>
      <c r="Z66" s="1080">
        <f>Y66*500</f>
        <v>2000</v>
      </c>
      <c r="AA66" s="1080">
        <v>7</v>
      </c>
      <c r="AB66" s="1080">
        <f>AA66*500</f>
        <v>3500</v>
      </c>
      <c r="AC66" s="1080">
        <v>4</v>
      </c>
      <c r="AD66" s="1080">
        <f>AC66*500</f>
        <v>2000</v>
      </c>
      <c r="AE66" s="1080">
        <v>1</v>
      </c>
      <c r="AF66" s="1080">
        <f>AE66*500</f>
        <v>500</v>
      </c>
      <c r="AG66" s="1080">
        <v>1</v>
      </c>
      <c r="AH66" s="1080">
        <f>AG66*500</f>
        <v>500</v>
      </c>
      <c r="AI66" s="1080">
        <v>5</v>
      </c>
      <c r="AJ66" s="1080">
        <f>AI66*500</f>
        <v>2500</v>
      </c>
      <c r="AK66" s="1101">
        <v>17</v>
      </c>
      <c r="AL66" s="1080">
        <f>AK66*500</f>
        <v>8500</v>
      </c>
    </row>
    <row r="67" spans="1:38" s="1102" customFormat="1" ht="21" customHeight="1">
      <c r="A67" s="1100"/>
      <c r="B67" s="1001" t="s">
        <v>275</v>
      </c>
      <c r="C67" s="1077">
        <f t="shared" si="42"/>
        <v>76</v>
      </c>
      <c r="D67" s="1078">
        <f t="shared" si="27"/>
        <v>45600</v>
      </c>
      <c r="E67" s="1098">
        <v>3</v>
      </c>
      <c r="F67" s="1098">
        <f>E67*600</f>
        <v>1800</v>
      </c>
      <c r="G67" s="1080">
        <v>2</v>
      </c>
      <c r="H67" s="1080">
        <f>G67*600</f>
        <v>1200</v>
      </c>
      <c r="I67" s="1080">
        <v>6</v>
      </c>
      <c r="J67" s="1080">
        <f>I67*600</f>
        <v>3600</v>
      </c>
      <c r="K67" s="1080">
        <v>4</v>
      </c>
      <c r="L67" s="1080">
        <f>K67*600</f>
        <v>2400</v>
      </c>
      <c r="M67" s="1080">
        <v>2</v>
      </c>
      <c r="N67" s="1080">
        <f>M67*600</f>
        <v>1200</v>
      </c>
      <c r="O67" s="1080">
        <v>3</v>
      </c>
      <c r="P67" s="1080">
        <f>O67*600</f>
        <v>1800</v>
      </c>
      <c r="Q67" s="1080">
        <v>3</v>
      </c>
      <c r="R67" s="1080">
        <f>Q67*600</f>
        <v>1800</v>
      </c>
      <c r="S67" s="1080">
        <v>5</v>
      </c>
      <c r="T67" s="1080">
        <f>S67*600</f>
        <v>3000</v>
      </c>
      <c r="U67" s="1080">
        <v>5</v>
      </c>
      <c r="V67" s="1080">
        <f>U67*600</f>
        <v>3000</v>
      </c>
      <c r="W67" s="1080">
        <v>7</v>
      </c>
      <c r="X67" s="1080">
        <f>W67*600</f>
        <v>4200</v>
      </c>
      <c r="Y67" s="1080">
        <v>1</v>
      </c>
      <c r="Z67" s="1080">
        <f>Y67*600</f>
        <v>600</v>
      </c>
      <c r="AA67" s="1080">
        <v>9</v>
      </c>
      <c r="AB67" s="1080">
        <f>AA67*600</f>
        <v>5400</v>
      </c>
      <c r="AC67" s="1080">
        <v>2</v>
      </c>
      <c r="AD67" s="1080">
        <f>AC67*600</f>
        <v>1200</v>
      </c>
      <c r="AE67" s="1080">
        <v>5</v>
      </c>
      <c r="AF67" s="1080">
        <f>AE67*600</f>
        <v>3000</v>
      </c>
      <c r="AG67" s="1080">
        <v>5</v>
      </c>
      <c r="AH67" s="1080">
        <f>AG67*600</f>
        <v>3000</v>
      </c>
      <c r="AI67" s="1080">
        <v>2</v>
      </c>
      <c r="AJ67" s="1080">
        <f>AI67*600</f>
        <v>1200</v>
      </c>
      <c r="AK67" s="1101">
        <v>12</v>
      </c>
      <c r="AL67" s="1080">
        <f>AK67*600</f>
        <v>7200</v>
      </c>
    </row>
    <row r="68" spans="1:38" s="1102" customFormat="1" ht="16.5" customHeight="1">
      <c r="A68" s="1100"/>
      <c r="B68" s="1001" t="s">
        <v>276</v>
      </c>
      <c r="C68" s="1077">
        <f t="shared" si="42"/>
        <v>12</v>
      </c>
      <c r="D68" s="1078">
        <f t="shared" si="27"/>
        <v>10800</v>
      </c>
      <c r="E68" s="1098"/>
      <c r="F68" s="1098">
        <f>E68*900</f>
        <v>0</v>
      </c>
      <c r="G68" s="1080"/>
      <c r="H68" s="1080">
        <f>G68*900</f>
        <v>0</v>
      </c>
      <c r="I68" s="1080"/>
      <c r="J68" s="1080">
        <f>I68*900</f>
        <v>0</v>
      </c>
      <c r="K68" s="1080"/>
      <c r="L68" s="1080">
        <f>K68*900</f>
        <v>0</v>
      </c>
      <c r="M68" s="1080"/>
      <c r="N68" s="1080">
        <f>M68*900</f>
        <v>0</v>
      </c>
      <c r="O68" s="1080"/>
      <c r="P68" s="1080">
        <f>O68*900</f>
        <v>0</v>
      </c>
      <c r="Q68" s="1080"/>
      <c r="R68" s="1080">
        <f>Q68*900</f>
        <v>0</v>
      </c>
      <c r="S68" s="1080">
        <v>1</v>
      </c>
      <c r="T68" s="1080">
        <f>S68*900</f>
        <v>900</v>
      </c>
      <c r="U68" s="1080">
        <v>2</v>
      </c>
      <c r="V68" s="1080">
        <f>U68*900</f>
        <v>1800</v>
      </c>
      <c r="W68" s="1080">
        <v>2</v>
      </c>
      <c r="X68" s="1080">
        <f>W68*900</f>
        <v>1800</v>
      </c>
      <c r="Y68" s="1080">
        <v>1</v>
      </c>
      <c r="Z68" s="1080">
        <f>Y68*900</f>
        <v>900</v>
      </c>
      <c r="AA68" s="1080">
        <v>1</v>
      </c>
      <c r="AB68" s="1080">
        <f>AA68*900</f>
        <v>900</v>
      </c>
      <c r="AC68" s="1080"/>
      <c r="AD68" s="1080">
        <f>AC68*900</f>
        <v>0</v>
      </c>
      <c r="AE68" s="1080"/>
      <c r="AF68" s="1080">
        <f>AE68*900</f>
        <v>0</v>
      </c>
      <c r="AG68" s="1080">
        <v>2</v>
      </c>
      <c r="AH68" s="1080">
        <f>AG68*900</f>
        <v>1800</v>
      </c>
      <c r="AI68" s="1080"/>
      <c r="AJ68" s="1080">
        <f>AI68*900</f>
        <v>0</v>
      </c>
      <c r="AK68" s="1101">
        <v>3</v>
      </c>
      <c r="AL68" s="1080">
        <f>AK68*900</f>
        <v>2700</v>
      </c>
    </row>
    <row r="69" spans="1:38" s="1102" customFormat="1" ht="16.5" customHeight="1">
      <c r="A69" s="1100"/>
      <c r="B69" s="1001" t="s">
        <v>356</v>
      </c>
      <c r="C69" s="1077">
        <f t="shared" si="42"/>
        <v>2</v>
      </c>
      <c r="D69" s="1078">
        <f t="shared" si="27"/>
        <v>3000</v>
      </c>
      <c r="E69" s="1098">
        <v>1</v>
      </c>
      <c r="F69" s="1098">
        <f>E69*1500</f>
        <v>1500</v>
      </c>
      <c r="G69" s="1080"/>
      <c r="H69" s="1080">
        <f>G69*1500</f>
        <v>0</v>
      </c>
      <c r="I69" s="1080"/>
      <c r="J69" s="1080">
        <f>I69*1500</f>
        <v>0</v>
      </c>
      <c r="K69" s="1080"/>
      <c r="L69" s="1080">
        <f>K69*1500</f>
        <v>0</v>
      </c>
      <c r="M69" s="1080"/>
      <c r="N69" s="1080">
        <f>M69*1500</f>
        <v>0</v>
      </c>
      <c r="O69" s="1080"/>
      <c r="P69" s="1080">
        <f>O69*1500</f>
        <v>0</v>
      </c>
      <c r="Q69" s="1080"/>
      <c r="R69" s="1080">
        <f>Q69*1500</f>
        <v>0</v>
      </c>
      <c r="S69" s="1080">
        <v>1</v>
      </c>
      <c r="T69" s="1080">
        <f>S69*1500</f>
        <v>1500</v>
      </c>
      <c r="U69" s="1080"/>
      <c r="V69" s="1080">
        <f>U69*1500</f>
        <v>0</v>
      </c>
      <c r="W69" s="1080">
        <v>0</v>
      </c>
      <c r="X69" s="1080">
        <f>W69*1500</f>
        <v>0</v>
      </c>
      <c r="Y69" s="1080"/>
      <c r="Z69" s="1080">
        <f>Y69*1500</f>
        <v>0</v>
      </c>
      <c r="AA69" s="1080"/>
      <c r="AB69" s="1080">
        <f>AA69*1500</f>
        <v>0</v>
      </c>
      <c r="AC69" s="1080"/>
      <c r="AD69" s="1080">
        <f>AC69*1500</f>
        <v>0</v>
      </c>
      <c r="AE69" s="1080"/>
      <c r="AF69" s="1080">
        <f>AE69*1500</f>
        <v>0</v>
      </c>
      <c r="AG69" s="1080">
        <v>0</v>
      </c>
      <c r="AH69" s="1080">
        <f>AG69*1500</f>
        <v>0</v>
      </c>
      <c r="AI69" s="1080"/>
      <c r="AJ69" s="1080">
        <f>AI69*1500</f>
        <v>0</v>
      </c>
      <c r="AK69" s="1080"/>
      <c r="AL69" s="1080">
        <f>AK69*1500</f>
        <v>0</v>
      </c>
    </row>
    <row r="70" spans="1:38" s="1102" customFormat="1" ht="29.25" customHeight="1">
      <c r="A70" s="1100"/>
      <c r="B70" s="999" t="s">
        <v>280</v>
      </c>
      <c r="C70" s="1077">
        <f t="shared" si="42"/>
        <v>0</v>
      </c>
      <c r="D70" s="1078">
        <f t="shared" si="27"/>
        <v>82500</v>
      </c>
      <c r="E70" s="1098"/>
      <c r="F70" s="1098">
        <f>E63*150</f>
        <v>5400</v>
      </c>
      <c r="G70" s="1080"/>
      <c r="H70" s="1080">
        <f>G63*150</f>
        <v>5400</v>
      </c>
      <c r="I70" s="1080"/>
      <c r="J70" s="1080">
        <f>I63*150</f>
        <v>5550</v>
      </c>
      <c r="K70" s="1080"/>
      <c r="L70" s="1080">
        <f>K63*150</f>
        <v>3900</v>
      </c>
      <c r="M70" s="1080"/>
      <c r="N70" s="1080">
        <f>M63*150</f>
        <v>1950</v>
      </c>
      <c r="O70" s="1080"/>
      <c r="P70" s="1080">
        <f>O63*150</f>
        <v>3900</v>
      </c>
      <c r="Q70" s="1080"/>
      <c r="R70" s="1080">
        <f>Q63*150</f>
        <v>4800</v>
      </c>
      <c r="S70" s="1080"/>
      <c r="T70" s="1080">
        <f>S63*150</f>
        <v>2550</v>
      </c>
      <c r="U70" s="1080"/>
      <c r="V70" s="1080">
        <f>U63*150</f>
        <v>6300</v>
      </c>
      <c r="W70" s="1080"/>
      <c r="X70" s="1080">
        <f>W63*150</f>
        <v>5850</v>
      </c>
      <c r="Y70" s="1080"/>
      <c r="Z70" s="1080">
        <f>Y63*150</f>
        <v>3900</v>
      </c>
      <c r="AA70" s="1080"/>
      <c r="AB70" s="1080">
        <f>AA63*150</f>
        <v>6600</v>
      </c>
      <c r="AC70" s="1080"/>
      <c r="AD70" s="1080">
        <f>AC63*150</f>
        <v>4500</v>
      </c>
      <c r="AE70" s="1080"/>
      <c r="AF70" s="1080">
        <f>AE63*150</f>
        <v>1650</v>
      </c>
      <c r="AG70" s="1080"/>
      <c r="AH70" s="1080">
        <f>AG63*150</f>
        <v>3450</v>
      </c>
      <c r="AI70" s="1080"/>
      <c r="AJ70" s="1080">
        <f>AI63*150</f>
        <v>2850</v>
      </c>
      <c r="AK70" s="1080"/>
      <c r="AL70" s="1080">
        <f>AK63*150</f>
        <v>13950</v>
      </c>
    </row>
    <row r="71" spans="1:38" s="1058" customFormat="1" ht="16.5" customHeight="1">
      <c r="A71" s="996" t="s">
        <v>61</v>
      </c>
      <c r="B71" s="1103" t="s">
        <v>530</v>
      </c>
      <c r="C71" s="1066">
        <f t="shared" ref="C71:AL71" si="53">+C72+C81</f>
        <v>3487</v>
      </c>
      <c r="D71" s="1066">
        <f t="shared" si="53"/>
        <v>9816707.1999999993</v>
      </c>
      <c r="E71" s="1066">
        <f t="shared" si="53"/>
        <v>156</v>
      </c>
      <c r="F71" s="1066">
        <f>+F72+F81</f>
        <v>487795.82</v>
      </c>
      <c r="G71" s="1067">
        <f t="shared" si="53"/>
        <v>199</v>
      </c>
      <c r="H71" s="1067">
        <f t="shared" si="53"/>
        <v>612232.06400000001</v>
      </c>
      <c r="I71" s="1067">
        <f t="shared" si="53"/>
        <v>194</v>
      </c>
      <c r="J71" s="1067">
        <f t="shared" si="53"/>
        <v>612390.24800000002</v>
      </c>
      <c r="K71" s="1067">
        <f t="shared" si="53"/>
        <v>186</v>
      </c>
      <c r="L71" s="1067">
        <f t="shared" si="53"/>
        <v>526558.84400000004</v>
      </c>
      <c r="M71" s="1067">
        <f t="shared" si="53"/>
        <v>162</v>
      </c>
      <c r="N71" s="1067">
        <f t="shared" si="53"/>
        <v>440896.56799999997</v>
      </c>
      <c r="O71" s="1067">
        <f t="shared" si="53"/>
        <v>163</v>
      </c>
      <c r="P71" s="1067">
        <f t="shared" si="53"/>
        <v>480068.48</v>
      </c>
      <c r="Q71" s="1067">
        <f t="shared" si="53"/>
        <v>201</v>
      </c>
      <c r="R71" s="1067">
        <f t="shared" si="53"/>
        <v>573854.58799999999</v>
      </c>
      <c r="S71" s="1067">
        <f t="shared" si="53"/>
        <v>121</v>
      </c>
      <c r="T71" s="1067">
        <f t="shared" si="53"/>
        <v>377374.02800000005</v>
      </c>
      <c r="U71" s="1067">
        <f t="shared" si="53"/>
        <v>213</v>
      </c>
      <c r="V71" s="1067">
        <f t="shared" si="53"/>
        <v>645505.61600000004</v>
      </c>
      <c r="W71" s="1067">
        <f t="shared" si="53"/>
        <v>243</v>
      </c>
      <c r="X71" s="1067">
        <f t="shared" si="53"/>
        <v>735178.7</v>
      </c>
      <c r="Y71" s="1067">
        <f>+Y72+Y81</f>
        <v>274</v>
      </c>
      <c r="Z71" s="1067">
        <f>+Z72+Z81</f>
        <v>812225.60000000009</v>
      </c>
      <c r="AA71" s="1067">
        <f t="shared" si="53"/>
        <v>256</v>
      </c>
      <c r="AB71" s="1067">
        <f t="shared" si="53"/>
        <v>752961.848</v>
      </c>
      <c r="AC71" s="1067">
        <f t="shared" si="53"/>
        <v>167</v>
      </c>
      <c r="AD71" s="1067">
        <f t="shared" si="53"/>
        <v>507734.21600000001</v>
      </c>
      <c r="AE71" s="1067">
        <f t="shared" si="53"/>
        <v>125</v>
      </c>
      <c r="AF71" s="1067">
        <f t="shared" si="53"/>
        <v>378224.696</v>
      </c>
      <c r="AG71" s="1067">
        <f t="shared" si="53"/>
        <v>196</v>
      </c>
      <c r="AH71" s="1067">
        <f t="shared" si="53"/>
        <v>632520.35600000003</v>
      </c>
      <c r="AI71" s="1067">
        <f t="shared" si="53"/>
        <v>161</v>
      </c>
      <c r="AJ71" s="1067">
        <f t="shared" si="53"/>
        <v>505290.51199999999</v>
      </c>
      <c r="AK71" s="1067">
        <f t="shared" si="53"/>
        <v>246</v>
      </c>
      <c r="AL71" s="1067">
        <f t="shared" si="53"/>
        <v>735895.01600000006</v>
      </c>
    </row>
    <row r="72" spans="1:38" s="1058" customFormat="1" ht="17.25" customHeight="1">
      <c r="A72" s="996">
        <v>1</v>
      </c>
      <c r="B72" s="997" t="s">
        <v>73</v>
      </c>
      <c r="C72" s="1066">
        <f>SUM(C73:C80)</f>
        <v>448</v>
      </c>
      <c r="D72" s="1066">
        <f>D73+D74</f>
        <v>3027200</v>
      </c>
      <c r="E72" s="1066">
        <f t="shared" ref="E72:AL72" si="54">E73+E74</f>
        <v>9</v>
      </c>
      <c r="F72" s="1066">
        <f t="shared" si="54"/>
        <v>142600</v>
      </c>
      <c r="G72" s="1066">
        <f t="shared" si="54"/>
        <v>15</v>
      </c>
      <c r="H72" s="1066">
        <f t="shared" si="54"/>
        <v>199000</v>
      </c>
      <c r="I72" s="1066">
        <f t="shared" si="54"/>
        <v>13</v>
      </c>
      <c r="J72" s="1066">
        <f t="shared" si="54"/>
        <v>194800</v>
      </c>
      <c r="K72" s="1066">
        <f t="shared" si="54"/>
        <v>8</v>
      </c>
      <c r="L72" s="1066">
        <f t="shared" si="54"/>
        <v>124600</v>
      </c>
      <c r="M72" s="1066">
        <f t="shared" si="54"/>
        <v>10</v>
      </c>
      <c r="N72" s="1066">
        <f t="shared" si="54"/>
        <v>99040</v>
      </c>
      <c r="O72" s="1066">
        <f t="shared" si="54"/>
        <v>11</v>
      </c>
      <c r="P72" s="1066">
        <f t="shared" si="54"/>
        <v>150520</v>
      </c>
      <c r="Q72" s="1066">
        <f t="shared" si="54"/>
        <v>13</v>
      </c>
      <c r="R72" s="1066">
        <f t="shared" si="54"/>
        <v>159640</v>
      </c>
      <c r="S72" s="1066">
        <f t="shared" si="54"/>
        <v>7</v>
      </c>
      <c r="T72" s="1066">
        <f t="shared" si="54"/>
        <v>89320</v>
      </c>
      <c r="U72" s="1066">
        <f t="shared" si="54"/>
        <v>15</v>
      </c>
      <c r="V72" s="1066">
        <f t="shared" si="54"/>
        <v>203200</v>
      </c>
      <c r="W72" s="1066">
        <f t="shared" si="54"/>
        <v>18</v>
      </c>
      <c r="X72" s="1066">
        <f t="shared" si="54"/>
        <v>242800</v>
      </c>
      <c r="Y72" s="1066">
        <f>Y73+Y74</f>
        <v>23</v>
      </c>
      <c r="Z72" s="1066">
        <f>Z73+Z74</f>
        <v>317200</v>
      </c>
      <c r="AA72" s="1066">
        <f t="shared" si="54"/>
        <v>20</v>
      </c>
      <c r="AB72" s="1066">
        <f t="shared" si="54"/>
        <v>265000</v>
      </c>
      <c r="AC72" s="1066">
        <f t="shared" si="54"/>
        <v>10</v>
      </c>
      <c r="AD72" s="1066">
        <f t="shared" si="54"/>
        <v>148600</v>
      </c>
      <c r="AE72" s="1066">
        <f t="shared" si="54"/>
        <v>8</v>
      </c>
      <c r="AF72" s="1066">
        <f t="shared" si="54"/>
        <v>111520</v>
      </c>
      <c r="AG72" s="1066">
        <f t="shared" si="54"/>
        <v>14</v>
      </c>
      <c r="AH72" s="1066">
        <f t="shared" si="54"/>
        <v>191320</v>
      </c>
      <c r="AI72" s="1066">
        <f t="shared" si="54"/>
        <v>9</v>
      </c>
      <c r="AJ72" s="1066">
        <f t="shared" si="54"/>
        <v>125320</v>
      </c>
      <c r="AK72" s="1066">
        <f t="shared" si="54"/>
        <v>21</v>
      </c>
      <c r="AL72" s="1066">
        <f t="shared" si="54"/>
        <v>262720</v>
      </c>
    </row>
    <row r="73" spans="1:38" s="1102" customFormat="1" ht="17.25" customHeight="1">
      <c r="A73" s="1100" t="s">
        <v>177</v>
      </c>
      <c r="B73" s="1104" t="s">
        <v>183</v>
      </c>
      <c r="C73" s="1105">
        <f>+E73+G73+I73+K73+M73+O73+Q73+S73+U73+W73+AA73+Y73+AC73+AE73+AG73+AI73+AK73</f>
        <v>0</v>
      </c>
      <c r="D73" s="1106">
        <f>+AL73+AJ73+AH73+AF73+AD73+Z73+AB73+X73+V73+T73+R73+P73+N73+L73+J73+H73+F73</f>
        <v>374000</v>
      </c>
      <c r="E73" s="1106"/>
      <c r="F73" s="1106">
        <v>22000</v>
      </c>
      <c r="G73" s="1107"/>
      <c r="H73" s="1107">
        <v>22000</v>
      </c>
      <c r="I73" s="1107"/>
      <c r="J73" s="1107">
        <v>22000</v>
      </c>
      <c r="K73" s="1107"/>
      <c r="L73" s="1107">
        <v>22000</v>
      </c>
      <c r="M73" s="1107"/>
      <c r="N73" s="1107">
        <v>22000</v>
      </c>
      <c r="O73" s="1107"/>
      <c r="P73" s="1107">
        <v>22000</v>
      </c>
      <c r="Q73" s="1107"/>
      <c r="R73" s="1107">
        <v>22000</v>
      </c>
      <c r="S73" s="1107"/>
      <c r="T73" s="1107">
        <v>22000</v>
      </c>
      <c r="U73" s="1108"/>
      <c r="V73" s="1107">
        <v>22000</v>
      </c>
      <c r="W73" s="1108"/>
      <c r="X73" s="1107">
        <v>22000</v>
      </c>
      <c r="Y73" s="1108"/>
      <c r="Z73" s="1107">
        <v>22000</v>
      </c>
      <c r="AA73" s="1108"/>
      <c r="AB73" s="1107">
        <v>22000</v>
      </c>
      <c r="AC73" s="1108"/>
      <c r="AD73" s="1107">
        <v>22000</v>
      </c>
      <c r="AE73" s="1107"/>
      <c r="AF73" s="1107">
        <v>22000</v>
      </c>
      <c r="AG73" s="1107"/>
      <c r="AH73" s="1107">
        <v>22000</v>
      </c>
      <c r="AI73" s="1107"/>
      <c r="AJ73" s="1107">
        <v>22000</v>
      </c>
      <c r="AK73" s="1108"/>
      <c r="AL73" s="1107">
        <v>22000</v>
      </c>
    </row>
    <row r="74" spans="1:38" s="1102" customFormat="1" ht="17.25" customHeight="1">
      <c r="A74" s="1100" t="s">
        <v>178</v>
      </c>
      <c r="B74" s="1104" t="s">
        <v>1343</v>
      </c>
      <c r="C74" s="1105">
        <f t="shared" ref="C74:AL74" si="55">SUM(C75:C80)</f>
        <v>224</v>
      </c>
      <c r="D74" s="1105">
        <f t="shared" si="55"/>
        <v>2653200</v>
      </c>
      <c r="E74" s="1105">
        <f t="shared" si="55"/>
        <v>9</v>
      </c>
      <c r="F74" s="1105">
        <f>SUM(F75:F80)</f>
        <v>120600</v>
      </c>
      <c r="G74" s="1105">
        <f t="shared" si="55"/>
        <v>15</v>
      </c>
      <c r="H74" s="1105">
        <f>SUM(H75:H80)</f>
        <v>177000</v>
      </c>
      <c r="I74" s="1105">
        <f t="shared" si="55"/>
        <v>13</v>
      </c>
      <c r="J74" s="1105">
        <f t="shared" si="55"/>
        <v>172800</v>
      </c>
      <c r="K74" s="1105">
        <f t="shared" si="55"/>
        <v>8</v>
      </c>
      <c r="L74" s="1105">
        <f t="shared" si="55"/>
        <v>102600</v>
      </c>
      <c r="M74" s="1105">
        <f t="shared" si="55"/>
        <v>10</v>
      </c>
      <c r="N74" s="1105">
        <f t="shared" si="55"/>
        <v>77040</v>
      </c>
      <c r="O74" s="1105">
        <f t="shared" si="55"/>
        <v>11</v>
      </c>
      <c r="P74" s="1105">
        <f t="shared" si="55"/>
        <v>128520</v>
      </c>
      <c r="Q74" s="1105">
        <f t="shared" si="55"/>
        <v>13</v>
      </c>
      <c r="R74" s="1105">
        <f t="shared" si="55"/>
        <v>137640</v>
      </c>
      <c r="S74" s="1105">
        <f t="shared" si="55"/>
        <v>7</v>
      </c>
      <c r="T74" s="1105">
        <f t="shared" si="55"/>
        <v>67320</v>
      </c>
      <c r="U74" s="1105">
        <f t="shared" si="55"/>
        <v>15</v>
      </c>
      <c r="V74" s="1105">
        <f t="shared" si="55"/>
        <v>181200</v>
      </c>
      <c r="W74" s="1105">
        <f t="shared" si="55"/>
        <v>18</v>
      </c>
      <c r="X74" s="1105">
        <f t="shared" si="55"/>
        <v>220800</v>
      </c>
      <c r="Y74" s="1105">
        <f>SUM(Y75:Y80)</f>
        <v>23</v>
      </c>
      <c r="Z74" s="1105">
        <f>SUM(Z75:Z80)</f>
        <v>295200</v>
      </c>
      <c r="AA74" s="1105">
        <f t="shared" si="55"/>
        <v>20</v>
      </c>
      <c r="AB74" s="1105">
        <f t="shared" si="55"/>
        <v>243000</v>
      </c>
      <c r="AC74" s="1105">
        <f t="shared" si="55"/>
        <v>10</v>
      </c>
      <c r="AD74" s="1105">
        <f t="shared" si="55"/>
        <v>126600</v>
      </c>
      <c r="AE74" s="1105">
        <f t="shared" si="55"/>
        <v>8</v>
      </c>
      <c r="AF74" s="1105">
        <f t="shared" si="55"/>
        <v>89520</v>
      </c>
      <c r="AG74" s="1105">
        <f t="shared" si="55"/>
        <v>14</v>
      </c>
      <c r="AH74" s="1105">
        <f t="shared" si="55"/>
        <v>169320</v>
      </c>
      <c r="AI74" s="1105">
        <f t="shared" si="55"/>
        <v>9</v>
      </c>
      <c r="AJ74" s="1105">
        <f t="shared" si="55"/>
        <v>103320</v>
      </c>
      <c r="AK74" s="1105">
        <f t="shared" si="55"/>
        <v>21</v>
      </c>
      <c r="AL74" s="1105">
        <f t="shared" si="55"/>
        <v>240720</v>
      </c>
    </row>
    <row r="75" spans="1:38" ht="17.25" customHeight="1">
      <c r="A75" s="998"/>
      <c r="B75" s="1081" t="s">
        <v>1344</v>
      </c>
      <c r="C75" s="1077">
        <f t="shared" ref="C75:C80" si="56">+E75+G75+I75+K75+M75+O75+Q75+S75+U75+W75+AA75+Y75+AC75+AE75+AG75+AI75+AK75</f>
        <v>42</v>
      </c>
      <c r="D75" s="1078">
        <f>+AL75+AJ75+AH75+AF75+AD75+Z75+AB75+X75+V75+T75+R75+P75+N75+L75+J75+H75+F75</f>
        <v>630000</v>
      </c>
      <c r="E75" s="1078">
        <v>3</v>
      </c>
      <c r="F75" s="1078">
        <f>E75*1250*12</f>
        <v>45000</v>
      </c>
      <c r="G75" s="1079">
        <v>2</v>
      </c>
      <c r="H75" s="1078">
        <f>G75*1250*12</f>
        <v>30000</v>
      </c>
      <c r="I75" s="1079">
        <v>4</v>
      </c>
      <c r="J75" s="1078">
        <f>I75*1250*12</f>
        <v>60000</v>
      </c>
      <c r="K75" s="1079">
        <v>2</v>
      </c>
      <c r="L75" s="1078">
        <f>K75*1250*12</f>
        <v>30000</v>
      </c>
      <c r="M75" s="1079"/>
      <c r="N75" s="1078">
        <f>M75*1250*12</f>
        <v>0</v>
      </c>
      <c r="O75" s="1079">
        <v>2</v>
      </c>
      <c r="P75" s="1078">
        <f>O75*1250*12</f>
        <v>30000</v>
      </c>
      <c r="Q75" s="1079">
        <v>2</v>
      </c>
      <c r="R75" s="1078">
        <f>Q75*1250*12</f>
        <v>30000</v>
      </c>
      <c r="S75" s="1079"/>
      <c r="T75" s="1078">
        <f>S75*1250*12</f>
        <v>0</v>
      </c>
      <c r="U75" s="1079">
        <v>3</v>
      </c>
      <c r="V75" s="1078">
        <f>U75*1250*12</f>
        <v>45000</v>
      </c>
      <c r="W75" s="1079">
        <v>5</v>
      </c>
      <c r="X75" s="1078">
        <f>W75*1250*12</f>
        <v>75000</v>
      </c>
      <c r="Y75" s="1079">
        <v>6</v>
      </c>
      <c r="Z75" s="1078">
        <f>Y75*1250*12</f>
        <v>90000</v>
      </c>
      <c r="AA75" s="1079">
        <v>2</v>
      </c>
      <c r="AB75" s="1078">
        <f>AA75*1250*12</f>
        <v>30000</v>
      </c>
      <c r="AC75" s="1079">
        <v>2</v>
      </c>
      <c r="AD75" s="1078">
        <f>AC75*1250*12</f>
        <v>30000</v>
      </c>
      <c r="AE75" s="1079">
        <v>2</v>
      </c>
      <c r="AF75" s="1078">
        <f>AE75*1250*12</f>
        <v>30000</v>
      </c>
      <c r="AG75" s="1079">
        <v>2</v>
      </c>
      <c r="AH75" s="1078">
        <f>AG75*1250*12</f>
        <v>30000</v>
      </c>
      <c r="AI75" s="1079">
        <v>1</v>
      </c>
      <c r="AJ75" s="1078">
        <f>AI75*1250*12</f>
        <v>15000</v>
      </c>
      <c r="AK75" s="1079">
        <v>4</v>
      </c>
      <c r="AL75" s="1078">
        <f>AK75*1250*12</f>
        <v>60000</v>
      </c>
    </row>
    <row r="76" spans="1:38" ht="16.5" customHeight="1">
      <c r="A76" s="998"/>
      <c r="B76" s="1081" t="s">
        <v>1345</v>
      </c>
      <c r="C76" s="1077">
        <f t="shared" si="56"/>
        <v>18</v>
      </c>
      <c r="D76" s="1078">
        <f>+AL76+AJ76+AH76+AF76+AD76+Z76+AB76+X76+V76+T76+R76+P76+N76+L76+J76+H76+F76</f>
        <v>162000</v>
      </c>
      <c r="E76" s="1078">
        <v>0</v>
      </c>
      <c r="F76" s="1078">
        <f>E76*1250*60%*12</f>
        <v>0</v>
      </c>
      <c r="G76" s="1079">
        <v>1</v>
      </c>
      <c r="H76" s="1078">
        <f>G76*1250*60%*12</f>
        <v>9000</v>
      </c>
      <c r="I76" s="1079">
        <v>0</v>
      </c>
      <c r="J76" s="1078">
        <f>I76*1250*60%*12</f>
        <v>0</v>
      </c>
      <c r="K76" s="1079">
        <v>1</v>
      </c>
      <c r="L76" s="1078">
        <f>K76*1250*60%*12</f>
        <v>9000</v>
      </c>
      <c r="M76" s="1079">
        <v>2</v>
      </c>
      <c r="N76" s="1078">
        <f>M76*1250*60%*12</f>
        <v>18000</v>
      </c>
      <c r="O76" s="1079">
        <v>1</v>
      </c>
      <c r="P76" s="1078">
        <f>O76*1250*60%*12</f>
        <v>9000</v>
      </c>
      <c r="Q76" s="1079">
        <v>1</v>
      </c>
      <c r="R76" s="1078">
        <f>Q76*1250*60%*12</f>
        <v>9000</v>
      </c>
      <c r="S76" s="1079">
        <v>1</v>
      </c>
      <c r="T76" s="1078">
        <f>S76*1250*60%*12</f>
        <v>9000</v>
      </c>
      <c r="U76" s="1079">
        <v>1</v>
      </c>
      <c r="V76" s="1078">
        <f>U76*1250*60%*12</f>
        <v>9000</v>
      </c>
      <c r="W76" s="1079">
        <v>1</v>
      </c>
      <c r="X76" s="1078">
        <f>W76*1250*60%*12</f>
        <v>9000</v>
      </c>
      <c r="Y76" s="1079"/>
      <c r="Z76" s="1078">
        <f>Y76*1250*60%*12</f>
        <v>0</v>
      </c>
      <c r="AA76" s="1079">
        <v>3</v>
      </c>
      <c r="AB76" s="1078">
        <f>AA76*1250*60%*12</f>
        <v>27000</v>
      </c>
      <c r="AC76" s="1079">
        <v>1</v>
      </c>
      <c r="AD76" s="1078">
        <f>AC76*1250*60%*12</f>
        <v>9000</v>
      </c>
      <c r="AE76" s="1079">
        <v>0</v>
      </c>
      <c r="AF76" s="1078">
        <f>AE76*1250*60%*12</f>
        <v>0</v>
      </c>
      <c r="AG76" s="1079">
        <v>1</v>
      </c>
      <c r="AH76" s="1078">
        <f>AG76*1250*60%*12</f>
        <v>9000</v>
      </c>
      <c r="AI76" s="1079">
        <v>2</v>
      </c>
      <c r="AJ76" s="1078">
        <f>AI76*1250*60%*12</f>
        <v>18000</v>
      </c>
      <c r="AK76" s="1079">
        <v>2</v>
      </c>
      <c r="AL76" s="1078">
        <f>AK76*1250*60%*12</f>
        <v>18000</v>
      </c>
    </row>
    <row r="77" spans="1:38" ht="16.5" customHeight="1">
      <c r="A77" s="998"/>
      <c r="B77" s="1081" t="s">
        <v>1346</v>
      </c>
      <c r="C77" s="1077">
        <f t="shared" si="56"/>
        <v>49</v>
      </c>
      <c r="D77" s="1078">
        <f t="shared" ref="D77:D80" si="57">+AL77+AJ77+AH77+AF77+AD77+Z77+AB77+X77+V77+T77+R77+P77+N77+L77+J77+H77+F77</f>
        <v>646800</v>
      </c>
      <c r="E77" s="1078">
        <v>3</v>
      </c>
      <c r="F77" s="1078">
        <f>E77*1100*12</f>
        <v>39600</v>
      </c>
      <c r="G77" s="1079">
        <v>3</v>
      </c>
      <c r="H77" s="1078">
        <f>G77*1100*12</f>
        <v>39600</v>
      </c>
      <c r="I77" s="1079">
        <v>4</v>
      </c>
      <c r="J77" s="1078">
        <f>I77*1100*12</f>
        <v>52800</v>
      </c>
      <c r="K77" s="1079">
        <v>3</v>
      </c>
      <c r="L77" s="1078">
        <f>K77*1100*12</f>
        <v>39600</v>
      </c>
      <c r="M77" s="1079"/>
      <c r="N77" s="1078">
        <f>M77*1100*12</f>
        <v>0</v>
      </c>
      <c r="O77" s="1079">
        <v>2</v>
      </c>
      <c r="P77" s="1078">
        <f>O77*1100*12</f>
        <v>26400</v>
      </c>
      <c r="Q77" s="1079">
        <v>1</v>
      </c>
      <c r="R77" s="1078">
        <f>Q77*1100*12</f>
        <v>13200</v>
      </c>
      <c r="S77" s="1079">
        <v>0</v>
      </c>
      <c r="T77" s="1078">
        <f>S77*1100*12</f>
        <v>0</v>
      </c>
      <c r="U77" s="1079">
        <v>4</v>
      </c>
      <c r="V77" s="1078">
        <f>U77*1100*12</f>
        <v>52800</v>
      </c>
      <c r="W77" s="1079">
        <v>6</v>
      </c>
      <c r="X77" s="1078">
        <f>W77*1100*12</f>
        <v>79200</v>
      </c>
      <c r="Y77" s="1079">
        <v>5</v>
      </c>
      <c r="Z77" s="1078">
        <f>Y77*1100*12</f>
        <v>66000</v>
      </c>
      <c r="AA77" s="1079">
        <v>5</v>
      </c>
      <c r="AB77" s="1078">
        <f>AA77*1100*12</f>
        <v>66000</v>
      </c>
      <c r="AC77" s="1079">
        <v>3</v>
      </c>
      <c r="AD77" s="1078">
        <f>AC77*1100*12</f>
        <v>39600</v>
      </c>
      <c r="AE77" s="1079">
        <v>1</v>
      </c>
      <c r="AF77" s="1078">
        <f>AE77*1100*12</f>
        <v>13200</v>
      </c>
      <c r="AG77" s="1079">
        <v>2</v>
      </c>
      <c r="AH77" s="1078">
        <f>AG77*1100*12</f>
        <v>26400</v>
      </c>
      <c r="AI77" s="1079">
        <v>2</v>
      </c>
      <c r="AJ77" s="1078">
        <f>AI77*1100*12</f>
        <v>26400</v>
      </c>
      <c r="AK77" s="1079">
        <v>5</v>
      </c>
      <c r="AL77" s="1078">
        <f>AK77*1100*12</f>
        <v>66000</v>
      </c>
    </row>
    <row r="78" spans="1:38" ht="16.5" customHeight="1">
      <c r="A78" s="998"/>
      <c r="B78" s="1081" t="s">
        <v>1347</v>
      </c>
      <c r="C78" s="1077">
        <f t="shared" si="56"/>
        <v>10</v>
      </c>
      <c r="D78" s="1078">
        <f t="shared" si="57"/>
        <v>79200</v>
      </c>
      <c r="E78" s="1078">
        <v>0</v>
      </c>
      <c r="F78" s="1078">
        <f>E78*1100*60%*12</f>
        <v>0</v>
      </c>
      <c r="G78" s="1079">
        <v>0</v>
      </c>
      <c r="H78" s="1078">
        <f>G78*1100*60%*12</f>
        <v>0</v>
      </c>
      <c r="I78" s="1079">
        <v>0</v>
      </c>
      <c r="J78" s="1078">
        <f>I78*1100*60%*12</f>
        <v>0</v>
      </c>
      <c r="K78" s="1079"/>
      <c r="L78" s="1078">
        <f>K78*1100*60%*12</f>
        <v>0</v>
      </c>
      <c r="M78" s="1079">
        <v>2</v>
      </c>
      <c r="N78" s="1078">
        <f>M78*1100*60%*12</f>
        <v>15840</v>
      </c>
      <c r="O78" s="1079">
        <v>1</v>
      </c>
      <c r="P78" s="1078">
        <f>O78*1100*60%*12</f>
        <v>7920</v>
      </c>
      <c r="Q78" s="1079">
        <v>2</v>
      </c>
      <c r="R78" s="1078">
        <f>Q78*1100*60%*12</f>
        <v>15840</v>
      </c>
      <c r="S78" s="1079">
        <v>1</v>
      </c>
      <c r="T78" s="1078">
        <f>S78*1100*60%*12</f>
        <v>7920</v>
      </c>
      <c r="U78" s="1079">
        <v>0</v>
      </c>
      <c r="V78" s="1078">
        <f>U78*1100*60%*12</f>
        <v>0</v>
      </c>
      <c r="W78" s="1079">
        <v>0</v>
      </c>
      <c r="X78" s="1078">
        <f>W78*1100*60%*12</f>
        <v>0</v>
      </c>
      <c r="Y78" s="1079">
        <v>0</v>
      </c>
      <c r="Z78" s="1078">
        <f>Y78*1100*60%*12</f>
        <v>0</v>
      </c>
      <c r="AA78" s="1079">
        <v>0</v>
      </c>
      <c r="AB78" s="1078">
        <f>AA78*1100*60%*12</f>
        <v>0</v>
      </c>
      <c r="AC78" s="1079">
        <v>0</v>
      </c>
      <c r="AD78" s="1078">
        <f>AC78*1100*60%*12</f>
        <v>0</v>
      </c>
      <c r="AE78" s="1079">
        <v>1</v>
      </c>
      <c r="AF78" s="1078">
        <f>AE78*1100*60%*12</f>
        <v>7920</v>
      </c>
      <c r="AG78" s="1079">
        <v>1</v>
      </c>
      <c r="AH78" s="1078">
        <f>AG78*1100*60%*12</f>
        <v>7920</v>
      </c>
      <c r="AI78" s="1079">
        <v>1</v>
      </c>
      <c r="AJ78" s="1078">
        <f>AI78*1100*60%*12</f>
        <v>7920</v>
      </c>
      <c r="AK78" s="1079">
        <v>1</v>
      </c>
      <c r="AL78" s="1078">
        <f>AK78*1100*60%*12</f>
        <v>7920</v>
      </c>
    </row>
    <row r="79" spans="1:38" ht="16.5" customHeight="1">
      <c r="A79" s="998"/>
      <c r="B79" s="1081" t="s">
        <v>1348</v>
      </c>
      <c r="C79" s="1077">
        <f t="shared" si="56"/>
        <v>79</v>
      </c>
      <c r="D79" s="1078">
        <f t="shared" si="57"/>
        <v>948000</v>
      </c>
      <c r="E79" s="1078">
        <v>3</v>
      </c>
      <c r="F79" s="1078">
        <f>E79*1000*12</f>
        <v>36000</v>
      </c>
      <c r="G79" s="1079">
        <v>7</v>
      </c>
      <c r="H79" s="1078">
        <f>G79*1000*12</f>
        <v>84000</v>
      </c>
      <c r="I79" s="1079">
        <v>5</v>
      </c>
      <c r="J79" s="1078">
        <f>I79*1000*12</f>
        <v>60000</v>
      </c>
      <c r="K79" s="1079">
        <v>2</v>
      </c>
      <c r="L79" s="1078">
        <f>K79*1000*12</f>
        <v>24000</v>
      </c>
      <c r="M79" s="1079"/>
      <c r="N79" s="1078">
        <f>M79*1000*12</f>
        <v>0</v>
      </c>
      <c r="O79" s="1079">
        <v>4</v>
      </c>
      <c r="P79" s="1078">
        <f>O79*1000*12</f>
        <v>48000</v>
      </c>
      <c r="Q79" s="1079">
        <v>4</v>
      </c>
      <c r="R79" s="1078">
        <f>Q79*1000*12</f>
        <v>48000</v>
      </c>
      <c r="S79" s="1079">
        <v>3</v>
      </c>
      <c r="T79" s="1078">
        <f>S79*1000*12</f>
        <v>36000</v>
      </c>
      <c r="U79" s="1079">
        <v>5</v>
      </c>
      <c r="V79" s="1078">
        <f>U79*1000*12</f>
        <v>60000</v>
      </c>
      <c r="W79" s="1079">
        <v>3</v>
      </c>
      <c r="X79" s="1078">
        <f>W79*1000*12</f>
        <v>36000</v>
      </c>
      <c r="Y79" s="1079">
        <v>11</v>
      </c>
      <c r="Z79" s="1078">
        <f>Y79*1000*12</f>
        <v>132000</v>
      </c>
      <c r="AA79" s="1079">
        <v>10</v>
      </c>
      <c r="AB79" s="1078">
        <f>AA79*1000*12</f>
        <v>120000</v>
      </c>
      <c r="AC79" s="1079">
        <v>4</v>
      </c>
      <c r="AD79" s="1078">
        <f>AC79*1000*12</f>
        <v>48000</v>
      </c>
      <c r="AE79" s="1079">
        <v>2</v>
      </c>
      <c r="AF79" s="1078">
        <f>AE79*1000*12</f>
        <v>24000</v>
      </c>
      <c r="AG79" s="1079">
        <v>8</v>
      </c>
      <c r="AH79" s="1078">
        <f>AG79*1000*12</f>
        <v>96000</v>
      </c>
      <c r="AI79" s="1079">
        <v>3</v>
      </c>
      <c r="AJ79" s="1078">
        <f>AI79*1000*12</f>
        <v>36000</v>
      </c>
      <c r="AK79" s="1079">
        <v>5</v>
      </c>
      <c r="AL79" s="1078">
        <f>AK79*1000*12</f>
        <v>60000</v>
      </c>
    </row>
    <row r="80" spans="1:38" ht="15" customHeight="1">
      <c r="A80" s="998"/>
      <c r="B80" s="1081" t="s">
        <v>1349</v>
      </c>
      <c r="C80" s="1077">
        <f t="shared" si="56"/>
        <v>26</v>
      </c>
      <c r="D80" s="1078">
        <f t="shared" si="57"/>
        <v>187200</v>
      </c>
      <c r="E80" s="1078">
        <v>0</v>
      </c>
      <c r="F80" s="1078">
        <f>E80*1000*60%*12</f>
        <v>0</v>
      </c>
      <c r="G80" s="1079">
        <v>2</v>
      </c>
      <c r="H80" s="1078">
        <f>G80*1000*60%*12</f>
        <v>14400</v>
      </c>
      <c r="I80" s="1079">
        <v>0</v>
      </c>
      <c r="J80" s="1078">
        <f>I80*1000*60%*12</f>
        <v>0</v>
      </c>
      <c r="K80" s="1079"/>
      <c r="L80" s="1078">
        <f>K80*1000*60%*12</f>
        <v>0</v>
      </c>
      <c r="M80" s="1079">
        <v>6</v>
      </c>
      <c r="N80" s="1078">
        <f>M80*1000*60%*12</f>
        <v>43200</v>
      </c>
      <c r="O80" s="1079">
        <v>1</v>
      </c>
      <c r="P80" s="1078">
        <f>O80*1000*60%*12</f>
        <v>7200</v>
      </c>
      <c r="Q80" s="1079">
        <v>3</v>
      </c>
      <c r="R80" s="1078">
        <f>Q80*1000*60%*12</f>
        <v>21600</v>
      </c>
      <c r="S80" s="1079">
        <v>2</v>
      </c>
      <c r="T80" s="1078">
        <f>S80*1000*60%*12</f>
        <v>14400</v>
      </c>
      <c r="U80" s="1079">
        <v>2</v>
      </c>
      <c r="V80" s="1078">
        <f>U80*1000*60%*12</f>
        <v>14400</v>
      </c>
      <c r="W80" s="1079">
        <v>3</v>
      </c>
      <c r="X80" s="1078">
        <f>W80*1000*60%*12</f>
        <v>21600</v>
      </c>
      <c r="Y80" s="1079">
        <v>1</v>
      </c>
      <c r="Z80" s="1078">
        <f>Y80*1000*60%*12</f>
        <v>7200</v>
      </c>
      <c r="AA80" s="1079">
        <v>0</v>
      </c>
      <c r="AB80" s="1078">
        <f>AA80*1000*60%*12</f>
        <v>0</v>
      </c>
      <c r="AC80" s="1079">
        <v>0</v>
      </c>
      <c r="AD80" s="1078">
        <f>AC80*1000*60%*12</f>
        <v>0</v>
      </c>
      <c r="AE80" s="1079">
        <v>2</v>
      </c>
      <c r="AF80" s="1078">
        <f>AE80*1000*60%*12</f>
        <v>14400</v>
      </c>
      <c r="AG80" s="1079">
        <v>0</v>
      </c>
      <c r="AH80" s="1078">
        <f>AG80*1000*60%*12</f>
        <v>0</v>
      </c>
      <c r="AI80" s="1079">
        <v>0</v>
      </c>
      <c r="AJ80" s="1078">
        <f>AI80*1000*60%*12</f>
        <v>0</v>
      </c>
      <c r="AK80" s="1079">
        <v>4</v>
      </c>
      <c r="AL80" s="1078">
        <f>AK80*1000*60%*12</f>
        <v>28800</v>
      </c>
    </row>
    <row r="81" spans="1:39" s="1058" customFormat="1" ht="16.5" customHeight="1">
      <c r="A81" s="996">
        <v>2</v>
      </c>
      <c r="B81" s="997" t="s">
        <v>148</v>
      </c>
      <c r="C81" s="1066">
        <f>C82+C107</f>
        <v>3039</v>
      </c>
      <c r="D81" s="1066">
        <f>+AL81+AJ81+AH81+AF81+AD81+Z81+AB81+X81+V81+T81+R81+P81+N81+L81+J81+H81+F81</f>
        <v>6789507.2000000002</v>
      </c>
      <c r="E81" s="1066">
        <f>E82+E107</f>
        <v>147</v>
      </c>
      <c r="F81" s="1066">
        <f>F82</f>
        <v>345195.82</v>
      </c>
      <c r="G81" s="1067">
        <f t="shared" ref="G81:AK81" si="58">G82+G107</f>
        <v>184</v>
      </c>
      <c r="H81" s="1067">
        <f>H82</f>
        <v>413232.06400000001</v>
      </c>
      <c r="I81" s="1067">
        <f t="shared" si="58"/>
        <v>181</v>
      </c>
      <c r="J81" s="1067">
        <f>J82</f>
        <v>417590.24800000002</v>
      </c>
      <c r="K81" s="1067">
        <f t="shared" si="58"/>
        <v>178</v>
      </c>
      <c r="L81" s="1067">
        <f>L82</f>
        <v>401958.84400000004</v>
      </c>
      <c r="M81" s="1067">
        <f t="shared" si="58"/>
        <v>152</v>
      </c>
      <c r="N81" s="1067">
        <f>N82</f>
        <v>341856.56799999997</v>
      </c>
      <c r="O81" s="1067">
        <f t="shared" si="58"/>
        <v>152</v>
      </c>
      <c r="P81" s="1067">
        <f>P82</f>
        <v>329548.48</v>
      </c>
      <c r="Q81" s="1067">
        <f t="shared" si="58"/>
        <v>188</v>
      </c>
      <c r="R81" s="1067">
        <f>R82</f>
        <v>414214.58799999999</v>
      </c>
      <c r="S81" s="1067">
        <f t="shared" si="58"/>
        <v>114</v>
      </c>
      <c r="T81" s="1067">
        <f>T82</f>
        <v>288054.02800000005</v>
      </c>
      <c r="U81" s="1067">
        <f t="shared" si="58"/>
        <v>198</v>
      </c>
      <c r="V81" s="1067">
        <f>V82</f>
        <v>442305.61600000004</v>
      </c>
      <c r="W81" s="1067">
        <f t="shared" si="58"/>
        <v>225</v>
      </c>
      <c r="X81" s="1067">
        <f>X82</f>
        <v>492378.69999999995</v>
      </c>
      <c r="Y81" s="1067">
        <f>Y82+Y107</f>
        <v>251</v>
      </c>
      <c r="Z81" s="1067">
        <f>Z82</f>
        <v>495025.60000000003</v>
      </c>
      <c r="AA81" s="1067">
        <f t="shared" si="58"/>
        <v>236</v>
      </c>
      <c r="AB81" s="1067">
        <f>AB82</f>
        <v>487961.848</v>
      </c>
      <c r="AC81" s="1067">
        <f t="shared" si="58"/>
        <v>157</v>
      </c>
      <c r="AD81" s="1067">
        <f>AD82</f>
        <v>359134.21600000001</v>
      </c>
      <c r="AE81" s="1067">
        <f t="shared" si="58"/>
        <v>117</v>
      </c>
      <c r="AF81" s="1067">
        <f>AF82</f>
        <v>266704.696</v>
      </c>
      <c r="AG81" s="1067">
        <f t="shared" si="58"/>
        <v>182</v>
      </c>
      <c r="AH81" s="1067">
        <f>AH82</f>
        <v>441200.35600000003</v>
      </c>
      <c r="AI81" s="1067">
        <f t="shared" si="58"/>
        <v>152</v>
      </c>
      <c r="AJ81" s="1067">
        <f>AJ82</f>
        <v>379970.51199999999</v>
      </c>
      <c r="AK81" s="1067">
        <f t="shared" si="58"/>
        <v>225</v>
      </c>
      <c r="AL81" s="1067">
        <f>AL82</f>
        <v>473175.016</v>
      </c>
    </row>
    <row r="82" spans="1:39" s="1058" customFormat="1" ht="16.5" customHeight="1">
      <c r="A82" s="996"/>
      <c r="B82" s="997" t="s">
        <v>1350</v>
      </c>
      <c r="C82" s="1066">
        <f t="shared" ref="C82:D82" si="59">+C83+C90+C91+C96+C100+C108+C109+C111+C112</f>
        <v>1897</v>
      </c>
      <c r="D82" s="1066">
        <f t="shared" si="59"/>
        <v>6115197.1999999993</v>
      </c>
      <c r="E82" s="1066">
        <f>+E83+E90+E91+E96+E100+E108+E109+E111+E112</f>
        <v>92</v>
      </c>
      <c r="F82" s="1067">
        <f>F83+F90+F91+F96+F100+F107+F108+F109+F111+F112</f>
        <v>345195.82</v>
      </c>
      <c r="G82" s="1067">
        <f t="shared" ref="G82:AK82" si="60">+G83+G90+G91+G96+G100+G108+G109+G111+G112</f>
        <v>114</v>
      </c>
      <c r="H82" s="1067">
        <f>H83+H90+H91+H96+H100+H107+H108+H109+H111+H112</f>
        <v>413232.06400000001</v>
      </c>
      <c r="I82" s="1067">
        <f t="shared" si="60"/>
        <v>114</v>
      </c>
      <c r="J82" s="1067">
        <f>J83+J90+J91+J96+J100+J107+J108+J109+J111+J112</f>
        <v>417590.24800000002</v>
      </c>
      <c r="K82" s="1067">
        <f t="shared" si="60"/>
        <v>111</v>
      </c>
      <c r="L82" s="1067">
        <f>L83+L90+L91+L96+L100+L107+L108+L109+L111+L112</f>
        <v>401958.84400000004</v>
      </c>
      <c r="M82" s="1067">
        <f t="shared" si="60"/>
        <v>94</v>
      </c>
      <c r="N82" s="1067">
        <f>N83+N90+N91+N96+N100+N107+N108+N109+N111+N112</f>
        <v>341856.56799999997</v>
      </c>
      <c r="O82" s="1067">
        <f t="shared" si="60"/>
        <v>94</v>
      </c>
      <c r="P82" s="1067">
        <f>P83+P90+P91+P96+P100+P107+P108+P109+P111+P112</f>
        <v>329548.48</v>
      </c>
      <c r="Q82" s="1067">
        <f t="shared" si="60"/>
        <v>118</v>
      </c>
      <c r="R82" s="1067">
        <f>R83+R90+R91+R96+R100+R107+R108+R109+R111+R112</f>
        <v>414214.58799999999</v>
      </c>
      <c r="S82" s="1067">
        <f t="shared" si="60"/>
        <v>71</v>
      </c>
      <c r="T82" s="1067">
        <f>T83+T90+T91+T96+T100+T107+T108+T109+T111+T112</f>
        <v>288054.02800000005</v>
      </c>
      <c r="U82" s="1067">
        <f t="shared" si="60"/>
        <v>125</v>
      </c>
      <c r="V82" s="1067">
        <f>V83+V90+V91+V96+V100+V107+V108+V109+V111+V112</f>
        <v>442305.61600000004</v>
      </c>
      <c r="W82" s="1067">
        <f t="shared" si="60"/>
        <v>140</v>
      </c>
      <c r="X82" s="1067">
        <f>X83+X90+X91+X96+X100+X107+X108+X109+X111+X112</f>
        <v>492378.69999999995</v>
      </c>
      <c r="Y82" s="1067">
        <f>+Y83+Y90+Y91+Y96+Y100+Y108+Y109+Y111+Y112</f>
        <v>157</v>
      </c>
      <c r="Z82" s="1067">
        <f>Z83+Z90+Z91+Z96+Z100+Z107+Z108+Z109+Z111+Z112</f>
        <v>495025.60000000003</v>
      </c>
      <c r="AA82" s="1067">
        <f t="shared" si="60"/>
        <v>145</v>
      </c>
      <c r="AB82" s="1067">
        <f>AB83+AB90+AB91+AB96+AB100+AB107+AB108+AB109+AB111+AB112</f>
        <v>487961.848</v>
      </c>
      <c r="AC82" s="1067">
        <f t="shared" si="60"/>
        <v>99</v>
      </c>
      <c r="AD82" s="1067">
        <f>AD83+AD90+AD91+AD96+AD100+AD107+AD108+AD109+AD111+AD112</f>
        <v>359134.21600000001</v>
      </c>
      <c r="AE82" s="1067">
        <f t="shared" si="60"/>
        <v>71</v>
      </c>
      <c r="AF82" s="1067">
        <f>AF83+AF90+AF91+AF96+AF100+AF107+AF108+AF109+AF111+AF112</f>
        <v>266704.696</v>
      </c>
      <c r="AG82" s="1067">
        <f t="shared" si="60"/>
        <v>115</v>
      </c>
      <c r="AH82" s="1067">
        <f>AH83+AH90+AH91+AH96+AH100+AH107+AH108+AH109+AH111+AH112</f>
        <v>441200.35600000003</v>
      </c>
      <c r="AI82" s="1067">
        <f t="shared" si="60"/>
        <v>97</v>
      </c>
      <c r="AJ82" s="1067">
        <f>AJ83+AJ90+AJ91+AJ96+AJ100+AJ107+AJ108+AJ109+AJ111+AJ112</f>
        <v>379970.51199999999</v>
      </c>
      <c r="AK82" s="1067">
        <f t="shared" si="60"/>
        <v>140</v>
      </c>
      <c r="AL82" s="1067">
        <f>AL83+AL90+AL91+AL96+AL100+AL107+AL108+AL109+AL111+AL112</f>
        <v>473175.016</v>
      </c>
    </row>
    <row r="83" spans="1:39" s="1058" customFormat="1" ht="16.5" customHeight="1">
      <c r="A83" s="996"/>
      <c r="B83" s="997" t="s">
        <v>596</v>
      </c>
      <c r="C83" s="1070">
        <f>SUM(C84:C89)</f>
        <v>525</v>
      </c>
      <c r="D83" s="1066">
        <f t="shared" ref="D83:D125" si="61">+AL83+AJ83+AH83+AF83+AD83+Z83+AB83+X83+V83+T83+R83+P83+N83+L83+J83+H83+F83</f>
        <v>993993.59999999986</v>
      </c>
      <c r="E83" s="1070">
        <f t="shared" ref="E83:AL83" si="62">SUM(E84:E89)</f>
        <v>25</v>
      </c>
      <c r="F83" s="1070">
        <f t="shared" si="62"/>
        <v>48991.200000000004</v>
      </c>
      <c r="G83" s="1071">
        <f t="shared" si="62"/>
        <v>30</v>
      </c>
      <c r="H83" s="1071">
        <f t="shared" si="62"/>
        <v>58288.80000000001</v>
      </c>
      <c r="I83" s="1071">
        <f t="shared" si="62"/>
        <v>33</v>
      </c>
      <c r="J83" s="1071">
        <f t="shared" si="62"/>
        <v>65083.200000000004</v>
      </c>
      <c r="K83" s="1071">
        <f t="shared" si="62"/>
        <v>30</v>
      </c>
      <c r="L83" s="1071">
        <f t="shared" si="62"/>
        <v>57931.200000000004</v>
      </c>
      <c r="M83" s="1071">
        <f t="shared" si="62"/>
        <v>25</v>
      </c>
      <c r="N83" s="1071">
        <f t="shared" si="62"/>
        <v>50779.199999999997</v>
      </c>
      <c r="O83" s="1071">
        <f t="shared" si="62"/>
        <v>24</v>
      </c>
      <c r="P83" s="1071">
        <f t="shared" si="62"/>
        <v>50421.599999999999</v>
      </c>
      <c r="Q83" s="1071">
        <f t="shared" si="62"/>
        <v>33</v>
      </c>
      <c r="R83" s="1071">
        <f t="shared" si="62"/>
        <v>57216.000000000015</v>
      </c>
      <c r="S83" s="1071">
        <f t="shared" si="62"/>
        <v>18</v>
      </c>
      <c r="T83" s="1071">
        <f t="shared" si="62"/>
        <v>37905.600000000006</v>
      </c>
      <c r="U83" s="1071">
        <f t="shared" si="62"/>
        <v>37</v>
      </c>
      <c r="V83" s="1071">
        <f t="shared" si="62"/>
        <v>62222.400000000009</v>
      </c>
      <c r="W83" s="1071">
        <f t="shared" si="62"/>
        <v>37</v>
      </c>
      <c r="X83" s="1071">
        <f t="shared" si="62"/>
        <v>68301.600000000006</v>
      </c>
      <c r="Y83" s="1071">
        <f>SUM(Y84:Y89)</f>
        <v>49</v>
      </c>
      <c r="Z83" s="1071">
        <f>SUM(Z84:Z89)</f>
        <v>77241.600000000006</v>
      </c>
      <c r="AA83" s="1071">
        <f t="shared" si="62"/>
        <v>39</v>
      </c>
      <c r="AB83" s="1071">
        <f t="shared" si="62"/>
        <v>75453.600000000006</v>
      </c>
      <c r="AC83" s="1071">
        <f t="shared" ref="AC83:AD83" si="63">SUM(AC84:AC89)</f>
        <v>28</v>
      </c>
      <c r="AD83" s="1071">
        <f t="shared" si="63"/>
        <v>67809.600000000006</v>
      </c>
      <c r="AE83" s="1071">
        <f t="shared" si="62"/>
        <v>16</v>
      </c>
      <c r="AF83" s="1071">
        <f t="shared" si="62"/>
        <v>28965.600000000006</v>
      </c>
      <c r="AG83" s="1071">
        <f t="shared" si="62"/>
        <v>33</v>
      </c>
      <c r="AH83" s="1071">
        <f t="shared" si="62"/>
        <v>59004</v>
      </c>
      <c r="AI83" s="1071">
        <f t="shared" si="62"/>
        <v>27</v>
      </c>
      <c r="AJ83" s="1071">
        <f t="shared" si="62"/>
        <v>49706.400000000009</v>
      </c>
      <c r="AK83" s="1071">
        <f t="shared" si="62"/>
        <v>41</v>
      </c>
      <c r="AL83" s="1071">
        <f t="shared" si="62"/>
        <v>78672</v>
      </c>
    </row>
    <row r="84" spans="1:39" ht="29.45" customHeight="1">
      <c r="A84" s="998"/>
      <c r="B84" s="999" t="s">
        <v>597</v>
      </c>
      <c r="C84" s="1077">
        <f t="shared" ref="C84:C90" si="64">+E84+G84+I84+K84+M84+O84+Q84+S84+U84+W84+AA84+Y84+AC84+AE84+AG84+AI84+AK84</f>
        <v>71</v>
      </c>
      <c r="D84" s="1078">
        <f t="shared" si="61"/>
        <v>129180</v>
      </c>
      <c r="E84" s="1078">
        <v>4</v>
      </c>
      <c r="F84" s="1078">
        <f>149*E84*12</f>
        <v>7152</v>
      </c>
      <c r="G84" s="1079">
        <v>3</v>
      </c>
      <c r="H84" s="1079">
        <f>149*G84*12</f>
        <v>5364</v>
      </c>
      <c r="I84" s="1079">
        <v>6</v>
      </c>
      <c r="J84" s="1079">
        <f>149*I84*12</f>
        <v>10728</v>
      </c>
      <c r="K84" s="1079">
        <v>4</v>
      </c>
      <c r="L84" s="1079">
        <f>149*K84*12</f>
        <v>7152</v>
      </c>
      <c r="M84" s="1079">
        <v>4</v>
      </c>
      <c r="N84" s="1079">
        <f>149*M84*12</f>
        <v>7152</v>
      </c>
      <c r="O84" s="1079">
        <v>4</v>
      </c>
      <c r="P84" s="1079">
        <f>149*O84*12</f>
        <v>7152</v>
      </c>
      <c r="Q84" s="1079">
        <v>4</v>
      </c>
      <c r="R84" s="1079">
        <f>149*Q84*12</f>
        <v>7152</v>
      </c>
      <c r="S84" s="1079">
        <v>3</v>
      </c>
      <c r="T84" s="1079">
        <f>149*S84*12</f>
        <v>5364</v>
      </c>
      <c r="U84" s="1080">
        <v>4</v>
      </c>
      <c r="V84" s="1079">
        <f>149*U84*12</f>
        <v>7152</v>
      </c>
      <c r="W84" s="1080">
        <v>2</v>
      </c>
      <c r="X84" s="1079">
        <f>149*W84*12</f>
        <v>3576</v>
      </c>
      <c r="Y84" s="1080">
        <v>4</v>
      </c>
      <c r="Z84" s="1079">
        <f>149*Y84*12</f>
        <v>7152</v>
      </c>
      <c r="AA84" s="1080">
        <v>4</v>
      </c>
      <c r="AB84" s="1079">
        <f>149*AA84*12</f>
        <v>7152</v>
      </c>
      <c r="AC84" s="1080">
        <v>6</v>
      </c>
      <c r="AD84" s="1079">
        <f>0.1*1800*AC84*12</f>
        <v>12960</v>
      </c>
      <c r="AE84" s="1079">
        <v>4</v>
      </c>
      <c r="AF84" s="1079">
        <f>149*AE84*12</f>
        <v>7152</v>
      </c>
      <c r="AG84" s="1079">
        <v>4</v>
      </c>
      <c r="AH84" s="1079">
        <f>149*AG84*12</f>
        <v>7152</v>
      </c>
      <c r="AI84" s="1079">
        <v>4</v>
      </c>
      <c r="AJ84" s="1079">
        <f>149*AI84*12</f>
        <v>7152</v>
      </c>
      <c r="AK84" s="1080">
        <v>7</v>
      </c>
      <c r="AL84" s="1079">
        <f>149*AK84*12</f>
        <v>12516</v>
      </c>
    </row>
    <row r="85" spans="1:39" ht="32.1" customHeight="1">
      <c r="A85" s="998"/>
      <c r="B85" s="999" t="s">
        <v>598</v>
      </c>
      <c r="C85" s="1077">
        <f t="shared" si="64"/>
        <v>219</v>
      </c>
      <c r="D85" s="1078">
        <f t="shared" si="61"/>
        <v>474796.80000000005</v>
      </c>
      <c r="E85" s="1078">
        <v>9</v>
      </c>
      <c r="F85" s="1078">
        <f>178.8*E85*12</f>
        <v>19310.400000000001</v>
      </c>
      <c r="G85" s="1079">
        <v>14</v>
      </c>
      <c r="H85" s="1079">
        <f>178.8*G85*12</f>
        <v>30038.400000000001</v>
      </c>
      <c r="I85" s="1079">
        <v>13</v>
      </c>
      <c r="J85" s="1079">
        <f>178.8*I85*12</f>
        <v>27892.800000000003</v>
      </c>
      <c r="K85" s="1079">
        <v>13</v>
      </c>
      <c r="L85" s="1079">
        <f>178.8*K85*12</f>
        <v>27892.800000000003</v>
      </c>
      <c r="M85" s="1079">
        <v>10</v>
      </c>
      <c r="N85" s="1079">
        <f>178.8*M85*12</f>
        <v>21456</v>
      </c>
      <c r="O85" s="1079">
        <v>10</v>
      </c>
      <c r="P85" s="1079">
        <f>178.8*O85*12</f>
        <v>21456</v>
      </c>
      <c r="Q85" s="1079">
        <v>12</v>
      </c>
      <c r="R85" s="1079">
        <f>178.8*Q85*12</f>
        <v>25747.200000000004</v>
      </c>
      <c r="S85" s="1079">
        <v>5</v>
      </c>
      <c r="T85" s="1079">
        <f>178.8*S85*12</f>
        <v>10728</v>
      </c>
      <c r="U85" s="1080">
        <v>14</v>
      </c>
      <c r="V85" s="1079">
        <f>178.8*U85*12</f>
        <v>30038.400000000001</v>
      </c>
      <c r="W85" s="1080">
        <v>19</v>
      </c>
      <c r="X85" s="1079">
        <f>178.8*W85*12</f>
        <v>40766.400000000001</v>
      </c>
      <c r="Y85" s="1080">
        <v>20</v>
      </c>
      <c r="Z85" s="1079">
        <f>178.8*Y85*12</f>
        <v>42912</v>
      </c>
      <c r="AA85" s="1080">
        <v>21</v>
      </c>
      <c r="AB85" s="1079">
        <f>178.8*AA85*12</f>
        <v>45057.600000000006</v>
      </c>
      <c r="AC85" s="1080">
        <v>11</v>
      </c>
      <c r="AD85" s="1079">
        <f>0.12*1800*AC85*12</f>
        <v>28512</v>
      </c>
      <c r="AE85" s="1079">
        <v>6</v>
      </c>
      <c r="AF85" s="1079">
        <f>178.8*AE85*12</f>
        <v>12873.600000000002</v>
      </c>
      <c r="AG85" s="1079">
        <v>13</v>
      </c>
      <c r="AH85" s="1079">
        <f>178.8*AG85*12</f>
        <v>27892.800000000003</v>
      </c>
      <c r="AI85" s="1079">
        <v>9</v>
      </c>
      <c r="AJ85" s="1079">
        <f>178.8*AI85*12</f>
        <v>19310.400000000001</v>
      </c>
      <c r="AK85" s="1080">
        <v>20</v>
      </c>
      <c r="AL85" s="1079">
        <f>178.8*AK85*12</f>
        <v>42912</v>
      </c>
    </row>
    <row r="86" spans="1:39" ht="18.75" customHeight="1">
      <c r="A86" s="998"/>
      <c r="B86" s="999" t="s">
        <v>599</v>
      </c>
      <c r="C86" s="1077">
        <f t="shared" si="64"/>
        <v>18</v>
      </c>
      <c r="D86" s="1078">
        <f t="shared" si="61"/>
        <v>65112</v>
      </c>
      <c r="E86" s="1078">
        <v>1</v>
      </c>
      <c r="F86" s="1078">
        <f>298*E86*12</f>
        <v>3576</v>
      </c>
      <c r="G86" s="1079">
        <v>1</v>
      </c>
      <c r="H86" s="1079">
        <f>298*G86*12</f>
        <v>3576</v>
      </c>
      <c r="I86" s="1079">
        <v>2</v>
      </c>
      <c r="J86" s="1079">
        <f>298*I86*12</f>
        <v>7152</v>
      </c>
      <c r="K86" s="1079">
        <v>1</v>
      </c>
      <c r="L86" s="1079">
        <f>298*K86*12</f>
        <v>3576</v>
      </c>
      <c r="M86" s="1079">
        <v>1</v>
      </c>
      <c r="N86" s="1079">
        <f>298*M86*12</f>
        <v>3576</v>
      </c>
      <c r="O86" s="1079">
        <v>1</v>
      </c>
      <c r="P86" s="1079">
        <f>298*O86*12</f>
        <v>3576</v>
      </c>
      <c r="Q86" s="1079">
        <v>1</v>
      </c>
      <c r="R86" s="1079">
        <f>298*Q86*12</f>
        <v>3576</v>
      </c>
      <c r="S86" s="1079">
        <v>1</v>
      </c>
      <c r="T86" s="1079">
        <f>298*S86*12</f>
        <v>3576</v>
      </c>
      <c r="U86" s="1080">
        <v>1</v>
      </c>
      <c r="V86" s="1079">
        <f>298*U86*12</f>
        <v>3576</v>
      </c>
      <c r="W86" s="1080">
        <v>1</v>
      </c>
      <c r="X86" s="1079">
        <f>298*W86*12</f>
        <v>3576</v>
      </c>
      <c r="Y86" s="1080">
        <v>1</v>
      </c>
      <c r="Z86" s="1079">
        <f>298*Y86*12</f>
        <v>3576</v>
      </c>
      <c r="AA86" s="1080">
        <v>1</v>
      </c>
      <c r="AB86" s="1079">
        <f>298*AA86*12</f>
        <v>3576</v>
      </c>
      <c r="AC86" s="1080">
        <v>1</v>
      </c>
      <c r="AD86" s="1079">
        <f>0.2*1800*AC86*12</f>
        <v>4320</v>
      </c>
      <c r="AE86" s="1079">
        <v>1</v>
      </c>
      <c r="AF86" s="1079">
        <f>298*AE86*12</f>
        <v>3576</v>
      </c>
      <c r="AG86" s="1079">
        <v>1</v>
      </c>
      <c r="AH86" s="1079">
        <f>298*AG86*12</f>
        <v>3576</v>
      </c>
      <c r="AI86" s="1079">
        <v>1</v>
      </c>
      <c r="AJ86" s="1079">
        <f>298*AI86*12</f>
        <v>3576</v>
      </c>
      <c r="AK86" s="1080">
        <v>1</v>
      </c>
      <c r="AL86" s="1079">
        <f>298*AK86*12</f>
        <v>3576</v>
      </c>
    </row>
    <row r="87" spans="1:39" ht="14.25" customHeight="1">
      <c r="A87" s="998"/>
      <c r="B87" s="999" t="s">
        <v>600</v>
      </c>
      <c r="C87" s="1077">
        <f t="shared" si="64"/>
        <v>33</v>
      </c>
      <c r="D87" s="1078">
        <f t="shared" si="61"/>
        <v>131445.59999999998</v>
      </c>
      <c r="E87" s="1078">
        <v>2</v>
      </c>
      <c r="F87" s="1078">
        <f>327.8*E87*12</f>
        <v>7867.2000000000007</v>
      </c>
      <c r="G87" s="1079">
        <v>2</v>
      </c>
      <c r="H87" s="1079">
        <f>327.8*G87*12</f>
        <v>7867.2000000000007</v>
      </c>
      <c r="I87" s="1079">
        <v>2</v>
      </c>
      <c r="J87" s="1079">
        <f>327.8*I87*12</f>
        <v>7867.2000000000007</v>
      </c>
      <c r="K87" s="1079">
        <v>2</v>
      </c>
      <c r="L87" s="1079">
        <f>327.8*K87*12</f>
        <v>7867.2000000000007</v>
      </c>
      <c r="M87" s="1079">
        <v>2</v>
      </c>
      <c r="N87" s="1079">
        <f>327.8*M87*12</f>
        <v>7867.2000000000007</v>
      </c>
      <c r="O87" s="1079">
        <v>2</v>
      </c>
      <c r="P87" s="1079">
        <f>327.8*O87*12</f>
        <v>7867.2000000000007</v>
      </c>
      <c r="Q87" s="1079">
        <v>2</v>
      </c>
      <c r="R87" s="1079">
        <f>327.8*Q87*12</f>
        <v>7867.2000000000007</v>
      </c>
      <c r="S87" s="1079">
        <v>2</v>
      </c>
      <c r="T87" s="1079">
        <f>327.8*S87*12</f>
        <v>7867.2000000000007</v>
      </c>
      <c r="U87" s="1080">
        <v>2</v>
      </c>
      <c r="V87" s="1079">
        <f>327.8*U87*12</f>
        <v>7867.2000000000007</v>
      </c>
      <c r="W87" s="1080">
        <v>2</v>
      </c>
      <c r="X87" s="1079">
        <f>327.8*W87*12</f>
        <v>7867.2000000000007</v>
      </c>
      <c r="Y87" s="1080">
        <v>2</v>
      </c>
      <c r="Z87" s="1079">
        <f>327.8*Y87*12</f>
        <v>7867.2000000000007</v>
      </c>
      <c r="AA87" s="1080">
        <v>2</v>
      </c>
      <c r="AB87" s="1079">
        <f>327.8*AA87*12</f>
        <v>7867.2000000000007</v>
      </c>
      <c r="AC87" s="1080">
        <v>2</v>
      </c>
      <c r="AD87" s="1079">
        <f>0.22*1800*AC87*12</f>
        <v>9504</v>
      </c>
      <c r="AE87" s="1079">
        <v>1</v>
      </c>
      <c r="AF87" s="1079">
        <f>327.8*AE87*12</f>
        <v>3933.6000000000004</v>
      </c>
      <c r="AG87" s="1079">
        <v>2</v>
      </c>
      <c r="AH87" s="1079">
        <f>327.8*AG87*12</f>
        <v>7867.2000000000007</v>
      </c>
      <c r="AI87" s="1079">
        <v>2</v>
      </c>
      <c r="AJ87" s="1079">
        <f>327.8*AI87*12</f>
        <v>7867.2000000000007</v>
      </c>
      <c r="AK87" s="1080">
        <v>2</v>
      </c>
      <c r="AL87" s="1079">
        <f>327.8*AK87*12</f>
        <v>7867.2000000000007</v>
      </c>
    </row>
    <row r="88" spans="1:39" ht="16.5" customHeight="1">
      <c r="A88" s="998"/>
      <c r="B88" s="999" t="s">
        <v>601</v>
      </c>
      <c r="C88" s="1077">
        <f t="shared" si="64"/>
        <v>32</v>
      </c>
      <c r="D88" s="1078">
        <f t="shared" si="61"/>
        <v>139103.99999999997</v>
      </c>
      <c r="E88" s="1078">
        <v>2</v>
      </c>
      <c r="F88" s="1078">
        <f>357.6*E88*12</f>
        <v>8582.4000000000015</v>
      </c>
      <c r="G88" s="1079">
        <v>2</v>
      </c>
      <c r="H88" s="1079">
        <f>357.6*G88*12</f>
        <v>8582.4000000000015</v>
      </c>
      <c r="I88" s="1079">
        <v>2</v>
      </c>
      <c r="J88" s="1079">
        <f>357.6*I88*12</f>
        <v>8582.4000000000015</v>
      </c>
      <c r="K88" s="1079">
        <v>2</v>
      </c>
      <c r="L88" s="1079">
        <f>357.6*K88*12</f>
        <v>8582.4000000000015</v>
      </c>
      <c r="M88" s="1079">
        <v>2</v>
      </c>
      <c r="N88" s="1079">
        <f>357.6*M88*12</f>
        <v>8582.4000000000015</v>
      </c>
      <c r="O88" s="1079">
        <v>2</v>
      </c>
      <c r="P88" s="1079">
        <f>357.6*O88*12</f>
        <v>8582.4000000000015</v>
      </c>
      <c r="Q88" s="1079">
        <v>2</v>
      </c>
      <c r="R88" s="1079">
        <f>357.6*Q88*12</f>
        <v>8582.4000000000015</v>
      </c>
      <c r="S88" s="1079">
        <v>2</v>
      </c>
      <c r="T88" s="1079">
        <f>357.6*S88*12</f>
        <v>8582.4000000000015</v>
      </c>
      <c r="U88" s="1080">
        <v>2</v>
      </c>
      <c r="V88" s="1079">
        <f>357.6*U88*12</f>
        <v>8582.4000000000015</v>
      </c>
      <c r="W88" s="1080">
        <v>2</v>
      </c>
      <c r="X88" s="1079">
        <f>357.6*W88*12</f>
        <v>8582.4000000000015</v>
      </c>
      <c r="Y88" s="1080">
        <v>2</v>
      </c>
      <c r="Z88" s="1079">
        <f>357.6*Y88*12</f>
        <v>8582.4000000000015</v>
      </c>
      <c r="AA88" s="1080">
        <v>2</v>
      </c>
      <c r="AB88" s="1079">
        <f>357.6*AA88*12</f>
        <v>8582.4000000000015</v>
      </c>
      <c r="AC88" s="1080">
        <v>2</v>
      </c>
      <c r="AD88" s="1079">
        <f>0.24*1800*AC88*12</f>
        <v>10368</v>
      </c>
      <c r="AE88" s="1079"/>
      <c r="AF88" s="1079">
        <f>357.6*AE88*12</f>
        <v>0</v>
      </c>
      <c r="AG88" s="1079">
        <v>2</v>
      </c>
      <c r="AH88" s="1079">
        <f>357.6*AG88*12</f>
        <v>8582.4000000000015</v>
      </c>
      <c r="AI88" s="1079">
        <v>2</v>
      </c>
      <c r="AJ88" s="1079">
        <f>357.6*AI88*12</f>
        <v>8582.4000000000015</v>
      </c>
      <c r="AK88" s="1080">
        <v>2</v>
      </c>
      <c r="AL88" s="1079">
        <f>357.6*AK88*12</f>
        <v>8582.4000000000015</v>
      </c>
    </row>
    <row r="89" spans="1:39" ht="33.75" customHeight="1">
      <c r="A89" s="998"/>
      <c r="B89" s="999" t="s">
        <v>338</v>
      </c>
      <c r="C89" s="1077">
        <f t="shared" si="64"/>
        <v>152</v>
      </c>
      <c r="D89" s="1078">
        <f t="shared" si="61"/>
        <v>54355.200000000004</v>
      </c>
      <c r="E89" s="1098">
        <f>+E112</f>
        <v>7</v>
      </c>
      <c r="F89" s="1078">
        <f>E89*29.8*12</f>
        <v>2503.1999999999998</v>
      </c>
      <c r="G89" s="1080">
        <f>+G112</f>
        <v>8</v>
      </c>
      <c r="H89" s="1079">
        <f>G89*29.8*12</f>
        <v>2860.8</v>
      </c>
      <c r="I89" s="1080">
        <f>+I112</f>
        <v>8</v>
      </c>
      <c r="J89" s="1079">
        <f>I89*29.8*12</f>
        <v>2860.8</v>
      </c>
      <c r="K89" s="1080">
        <f>+K112</f>
        <v>8</v>
      </c>
      <c r="L89" s="1079">
        <f>K89*29.8*12</f>
        <v>2860.8</v>
      </c>
      <c r="M89" s="1080">
        <f>+M112</f>
        <v>6</v>
      </c>
      <c r="N89" s="1079">
        <f>M89*29.8*12</f>
        <v>2145.6000000000004</v>
      </c>
      <c r="O89" s="1080">
        <f>+O112</f>
        <v>5</v>
      </c>
      <c r="P89" s="1079">
        <f>O89*29.8*12</f>
        <v>1788</v>
      </c>
      <c r="Q89" s="1080">
        <v>12</v>
      </c>
      <c r="R89" s="1079">
        <f>Q89*29.8*12</f>
        <v>4291.2000000000007</v>
      </c>
      <c r="S89" s="1080">
        <f>+S112</f>
        <v>5</v>
      </c>
      <c r="T89" s="1079">
        <f>S89*29.8*12</f>
        <v>1788</v>
      </c>
      <c r="U89" s="1080">
        <v>14</v>
      </c>
      <c r="V89" s="1079">
        <f>U89*29.8*12</f>
        <v>5006.3999999999996</v>
      </c>
      <c r="W89" s="1080">
        <f>+W112</f>
        <v>11</v>
      </c>
      <c r="X89" s="1079">
        <f>W89*29.8*12</f>
        <v>3933.6000000000004</v>
      </c>
      <c r="Y89" s="1080">
        <v>20</v>
      </c>
      <c r="Z89" s="1079">
        <f>Y89*29.8*12</f>
        <v>7152</v>
      </c>
      <c r="AA89" s="1080">
        <f>+AA112</f>
        <v>9</v>
      </c>
      <c r="AB89" s="1079">
        <f>AA89*29.8*12</f>
        <v>3218.3999999999996</v>
      </c>
      <c r="AC89" s="1080">
        <f>+AC112</f>
        <v>6</v>
      </c>
      <c r="AD89" s="1079">
        <f>AC89*29.8*12</f>
        <v>2145.6000000000004</v>
      </c>
      <c r="AE89" s="1080">
        <f>+AE112</f>
        <v>4</v>
      </c>
      <c r="AF89" s="1079">
        <f>AE89*29.8*12</f>
        <v>1430.4</v>
      </c>
      <c r="AG89" s="1080">
        <f>+AG112</f>
        <v>11</v>
      </c>
      <c r="AH89" s="1079">
        <f>AG89*29.8*12</f>
        <v>3933.6000000000004</v>
      </c>
      <c r="AI89" s="1080">
        <f>+AI112</f>
        <v>9</v>
      </c>
      <c r="AJ89" s="1079">
        <f>AI89*29.8*12</f>
        <v>3218.3999999999996</v>
      </c>
      <c r="AK89" s="1080">
        <f>+AK112</f>
        <v>9</v>
      </c>
      <c r="AL89" s="1079">
        <f>AK89*29.8*12</f>
        <v>3218.3999999999996</v>
      </c>
    </row>
    <row r="90" spans="1:39" s="1058" customFormat="1" ht="33.75" customHeight="1">
      <c r="A90" s="996"/>
      <c r="B90" s="997" t="s">
        <v>602</v>
      </c>
      <c r="C90" s="1070">
        <f t="shared" si="64"/>
        <v>17</v>
      </c>
      <c r="D90" s="1066">
        <f t="shared" si="61"/>
        <v>13260</v>
      </c>
      <c r="E90" s="1066">
        <v>1</v>
      </c>
      <c r="F90" s="1066">
        <f>(E90*12*65)</f>
        <v>780</v>
      </c>
      <c r="G90" s="1067">
        <v>1</v>
      </c>
      <c r="H90" s="1067">
        <f>(G90*12*65)</f>
        <v>780</v>
      </c>
      <c r="I90" s="1067">
        <v>1</v>
      </c>
      <c r="J90" s="1067">
        <f>(I90*12*65)</f>
        <v>780</v>
      </c>
      <c r="K90" s="1067">
        <v>1</v>
      </c>
      <c r="L90" s="1067">
        <f>(K90*12*65)</f>
        <v>780</v>
      </c>
      <c r="M90" s="1067">
        <v>1</v>
      </c>
      <c r="N90" s="1067">
        <f>(M90*12*65)</f>
        <v>780</v>
      </c>
      <c r="O90" s="1067">
        <v>1</v>
      </c>
      <c r="P90" s="1067">
        <f>(O90*12*65)</f>
        <v>780</v>
      </c>
      <c r="Q90" s="1067">
        <v>1</v>
      </c>
      <c r="R90" s="1067">
        <f>(Q90*12*65)</f>
        <v>780</v>
      </c>
      <c r="S90" s="1067">
        <v>1</v>
      </c>
      <c r="T90" s="1067">
        <f>(S90*12*65)</f>
        <v>780</v>
      </c>
      <c r="U90" s="1069">
        <v>1</v>
      </c>
      <c r="V90" s="1067">
        <f>(U90*12*65)</f>
        <v>780</v>
      </c>
      <c r="W90" s="1069">
        <v>1</v>
      </c>
      <c r="X90" s="1067">
        <f>(W90*12*65)</f>
        <v>780</v>
      </c>
      <c r="Y90" s="1069">
        <v>1</v>
      </c>
      <c r="Z90" s="1067">
        <f>(Y90*12*65)</f>
        <v>780</v>
      </c>
      <c r="AA90" s="1069">
        <v>1</v>
      </c>
      <c r="AB90" s="1067">
        <f>(AA90*12*65)</f>
        <v>780</v>
      </c>
      <c r="AC90" s="1069">
        <v>1</v>
      </c>
      <c r="AD90" s="1067">
        <f>(AC90*12*65)</f>
        <v>780</v>
      </c>
      <c r="AE90" s="1067">
        <v>1</v>
      </c>
      <c r="AF90" s="1067">
        <f>(AE90*12*65)</f>
        <v>780</v>
      </c>
      <c r="AG90" s="1067">
        <v>1</v>
      </c>
      <c r="AH90" s="1067">
        <f>(AG90*12*65)</f>
        <v>780</v>
      </c>
      <c r="AI90" s="1067">
        <v>1</v>
      </c>
      <c r="AJ90" s="1067">
        <f>(AI90*12*65)</f>
        <v>780</v>
      </c>
      <c r="AK90" s="1069">
        <v>1</v>
      </c>
      <c r="AL90" s="1067">
        <f>(AK90*12*65)</f>
        <v>780</v>
      </c>
      <c r="AM90" s="1109" t="e">
        <f>+#REF!+#REF!+#REF!+#REF!+D111+D112</f>
        <v>#REF!</v>
      </c>
    </row>
    <row r="91" spans="1:39" s="1058" customFormat="1" ht="16.5" customHeight="1">
      <c r="A91" s="996"/>
      <c r="B91" s="997" t="s">
        <v>532</v>
      </c>
      <c r="C91" s="1066">
        <f>SUM(C92:C95)</f>
        <v>28</v>
      </c>
      <c r="D91" s="1066">
        <f t="shared" si="61"/>
        <v>108109.872</v>
      </c>
      <c r="E91" s="1066">
        <f t="shared" ref="E91:AK91" si="65">SUM(E92:E95)</f>
        <v>1</v>
      </c>
      <c r="F91" s="1066">
        <f t="shared" si="65"/>
        <v>1486.6800000000003</v>
      </c>
      <c r="G91" s="1067">
        <f t="shared" si="65"/>
        <v>2</v>
      </c>
      <c r="H91" s="1067">
        <f t="shared" si="65"/>
        <v>5206.4639999999999</v>
      </c>
      <c r="I91" s="1067">
        <f t="shared" si="65"/>
        <v>2</v>
      </c>
      <c r="J91" s="1067">
        <f t="shared" si="65"/>
        <v>16833.648000000001</v>
      </c>
      <c r="K91" s="1067">
        <f t="shared" si="65"/>
        <v>2</v>
      </c>
      <c r="L91" s="1067">
        <f t="shared" si="65"/>
        <v>6418.7520000000013</v>
      </c>
      <c r="M91" s="1067">
        <f t="shared" si="65"/>
        <v>1</v>
      </c>
      <c r="N91" s="1067">
        <f t="shared" si="65"/>
        <v>2676.0240000000003</v>
      </c>
      <c r="O91" s="1067">
        <f t="shared" si="65"/>
        <v>3</v>
      </c>
      <c r="P91" s="1067">
        <f t="shared" si="65"/>
        <v>4000.2000000000007</v>
      </c>
      <c r="Q91" s="1067">
        <f t="shared" si="65"/>
        <v>2</v>
      </c>
      <c r="R91" s="1067">
        <f t="shared" si="65"/>
        <v>6518.4480000000003</v>
      </c>
      <c r="S91" s="1067">
        <f t="shared" si="65"/>
        <v>1</v>
      </c>
      <c r="T91" s="1067">
        <f t="shared" si="65"/>
        <v>7136.0640000000003</v>
      </c>
      <c r="U91" s="1067">
        <f t="shared" si="65"/>
        <v>2</v>
      </c>
      <c r="V91" s="1067">
        <f t="shared" si="65"/>
        <v>18108.216</v>
      </c>
      <c r="W91" s="1067">
        <f t="shared" si="65"/>
        <v>3</v>
      </c>
      <c r="X91" s="1067">
        <f t="shared" si="65"/>
        <v>6679.8239999999996</v>
      </c>
      <c r="Y91" s="1067">
        <f>SUM(Y92:Y95)</f>
        <v>0</v>
      </c>
      <c r="Z91" s="1067">
        <f>SUM(Z92:Z95)</f>
        <v>0</v>
      </c>
      <c r="AA91" s="1067">
        <f t="shared" si="65"/>
        <v>2</v>
      </c>
      <c r="AB91" s="1067">
        <f>SUM(AB92:AB95)</f>
        <v>10069.248</v>
      </c>
      <c r="AC91" s="1067">
        <f t="shared" ref="AC91:AD91" si="66">SUM(AC92:AC95)</f>
        <v>3</v>
      </c>
      <c r="AD91" s="1067">
        <f t="shared" si="66"/>
        <v>1398.2160000000001</v>
      </c>
      <c r="AE91" s="1067">
        <f t="shared" si="65"/>
        <v>1</v>
      </c>
      <c r="AF91" s="1067">
        <f t="shared" si="65"/>
        <v>3270.6960000000008</v>
      </c>
      <c r="AG91" s="1067">
        <f t="shared" si="65"/>
        <v>0</v>
      </c>
      <c r="AH91" s="1067">
        <f t="shared" si="65"/>
        <v>4763.4720000000007</v>
      </c>
      <c r="AI91" s="1067">
        <f>SUM(AI92:AI95)</f>
        <v>2</v>
      </c>
      <c r="AJ91" s="1067">
        <f t="shared" si="65"/>
        <v>8253.5040000000026</v>
      </c>
      <c r="AK91" s="1067">
        <f t="shared" si="65"/>
        <v>1</v>
      </c>
      <c r="AL91" s="1067">
        <f>SUM(AL92:AL95)</f>
        <v>5290.4160000000002</v>
      </c>
    </row>
    <row r="92" spans="1:39" ht="16.5" customHeight="1">
      <c r="A92" s="998"/>
      <c r="B92" s="999" t="s">
        <v>603</v>
      </c>
      <c r="C92" s="1077">
        <f t="shared" ref="C92:C107" si="67">+E92+G92+I92+K92+M92+O92+Q92+S92+U92+W92+AA92+Y92+AC92+AE92+AG92+AI92+AK92</f>
        <v>5</v>
      </c>
      <c r="D92" s="1078">
        <f t="shared" si="61"/>
        <v>2918.0160000000001</v>
      </c>
      <c r="E92" s="1078"/>
      <c r="F92" s="1078"/>
      <c r="G92" s="1079">
        <v>1</v>
      </c>
      <c r="H92" s="1079">
        <f>G92*357.6*11%*12</f>
        <v>472.03200000000004</v>
      </c>
      <c r="I92" s="1079"/>
      <c r="J92" s="1079">
        <f>((I92*3.26*14%))*1490*12+((I92*3.26*14%)*1490*12)*22.5%</f>
        <v>0</v>
      </c>
      <c r="K92" s="1079">
        <v>1</v>
      </c>
      <c r="L92" s="1079">
        <f>K92*357.6*11%*12</f>
        <v>472.03200000000004</v>
      </c>
      <c r="M92" s="1079">
        <v>0</v>
      </c>
      <c r="N92" s="1079"/>
      <c r="O92" s="1079">
        <v>1</v>
      </c>
      <c r="P92" s="1079">
        <f>O92*357.6*8%*12</f>
        <v>343.29600000000005</v>
      </c>
      <c r="Q92" s="1079"/>
      <c r="R92" s="1079">
        <f>((Q92*2.66*8%))*1490*12+((Q92*2.66*8%)*1490*12)*22.5%</f>
        <v>0</v>
      </c>
      <c r="S92" s="1079"/>
      <c r="T92" s="1079"/>
      <c r="U92" s="1080"/>
      <c r="V92" s="1080">
        <f>((U92*(2.06)*21%))*1490*10+(((U92*(2.06)*21%))*1490*10)*22.5%</f>
        <v>0</v>
      </c>
      <c r="W92" s="1080">
        <v>1</v>
      </c>
      <c r="X92" s="1079">
        <f>W92*357.6*6%*12</f>
        <v>257.47199999999998</v>
      </c>
      <c r="Y92" s="1080"/>
      <c r="Z92" s="1080"/>
      <c r="AA92" s="1080"/>
      <c r="AB92" s="1080"/>
      <c r="AC92" s="1080">
        <v>1</v>
      </c>
      <c r="AD92" s="1080">
        <f>AC92*64.368*12</f>
        <v>772.41599999999994</v>
      </c>
      <c r="AE92" s="1079"/>
      <c r="AF92" s="1079">
        <f>((AE92*2.26*24%))*1490*12+(((AE92*2.26*24%))*1490*12)*22.5%</f>
        <v>0</v>
      </c>
      <c r="AG92" s="1079"/>
      <c r="AH92" s="1079">
        <f>357.6*14%*12</f>
        <v>600.76800000000003</v>
      </c>
      <c r="AI92" s="1079"/>
      <c r="AJ92" s="1079">
        <f>((AI92*3.06*18%))*1490*12+(((AI92*3.06*18%))*1490*12)*22.5%</f>
        <v>0</v>
      </c>
      <c r="AK92" s="1080">
        <v>0</v>
      </c>
      <c r="AL92" s="1110"/>
    </row>
    <row r="93" spans="1:39" ht="16.5" customHeight="1">
      <c r="A93" s="998"/>
      <c r="B93" s="999" t="s">
        <v>604</v>
      </c>
      <c r="C93" s="1077">
        <f t="shared" si="67"/>
        <v>5</v>
      </c>
      <c r="D93" s="1078">
        <f t="shared" si="61"/>
        <v>28466.639999999999</v>
      </c>
      <c r="E93" s="1078"/>
      <c r="F93" s="1078">
        <f>((E93*(2.55+0.3+1.54)*8%))*1490*12+(((E93*(2.55+0.3+1.54)*8%))*1490*12)*22.5%</f>
        <v>0</v>
      </c>
      <c r="G93" s="1079">
        <v>0</v>
      </c>
      <c r="H93" s="1079"/>
      <c r="I93" s="1079">
        <v>1</v>
      </c>
      <c r="J93" s="1079">
        <f>I93*((3.33*2340)+(357.6))*10%*12</f>
        <v>9779.76</v>
      </c>
      <c r="K93" s="1079"/>
      <c r="L93" s="1079"/>
      <c r="M93" s="1079">
        <v>0</v>
      </c>
      <c r="N93" s="1079"/>
      <c r="O93" s="1079">
        <v>1</v>
      </c>
      <c r="P93" s="1079">
        <f>357.6*0.09*12</f>
        <v>386.20799999999997</v>
      </c>
      <c r="Q93" s="1079">
        <v>0</v>
      </c>
      <c r="R93" s="1079">
        <f>((Q93*(2.76+0.3)*11%))*1490*12+((Q93*(2.76+0.3)*11%)*1490*12)*22.5%</f>
        <v>0</v>
      </c>
      <c r="S93" s="1079"/>
      <c r="T93" s="1079"/>
      <c r="U93" s="1080">
        <v>1</v>
      </c>
      <c r="V93" s="1079">
        <f>U93*((4.32*2340)+(357.6))*10%*12</f>
        <v>12559.68</v>
      </c>
      <c r="W93" s="1080"/>
      <c r="X93" s="1079">
        <f>W93*327.8*6%*12</f>
        <v>0</v>
      </c>
      <c r="Y93" s="1080"/>
      <c r="Z93" s="1080"/>
      <c r="AA93" s="1080">
        <v>1</v>
      </c>
      <c r="AB93" s="1079">
        <f>AA93*((3*2340)+(357.6))*6%*12</f>
        <v>5311.8720000000003</v>
      </c>
      <c r="AC93" s="1080">
        <v>1</v>
      </c>
      <c r="AD93" s="1079">
        <f>AC93*357.6*10%*12</f>
        <v>429.12000000000006</v>
      </c>
      <c r="AE93" s="1079"/>
      <c r="AF93" s="1079">
        <f>((AE93*2.85*18%))*1490*12+(((AE93*2.85*18%))*1490*12)*22.5%</f>
        <v>0</v>
      </c>
      <c r="AG93" s="1079"/>
      <c r="AH93" s="1079">
        <f>((AG93*(4.06+0.3+0.24)*9%))*1490*12+(((AG93*(4.06+0.3+0.24)*9%))*1490*12)*22.5%</f>
        <v>0</v>
      </c>
      <c r="AI93" s="1079"/>
      <c r="AJ93" s="1079"/>
      <c r="AK93" s="1080">
        <v>0</v>
      </c>
      <c r="AL93" s="1110">
        <v>0</v>
      </c>
    </row>
    <row r="94" spans="1:39" ht="30.6" customHeight="1">
      <c r="A94" s="998"/>
      <c r="B94" s="999" t="s">
        <v>605</v>
      </c>
      <c r="C94" s="1077">
        <f t="shared" si="67"/>
        <v>8</v>
      </c>
      <c r="D94" s="1078">
        <f t="shared" si="61"/>
        <v>37774.200000000004</v>
      </c>
      <c r="E94" s="1078"/>
      <c r="F94" s="1078"/>
      <c r="G94" s="1079">
        <v>1</v>
      </c>
      <c r="H94" s="1079">
        <f>G94*((2.67*2340)+327.8)*6%*12</f>
        <v>4734.4319999999998</v>
      </c>
      <c r="I94" s="1079">
        <v>1</v>
      </c>
      <c r="J94" s="1079">
        <f>I94*((3*2340)+(327.8))*8%*12</f>
        <v>7053.8880000000008</v>
      </c>
      <c r="K94" s="1079"/>
      <c r="L94" s="1079">
        <f>((K94*1*12%))*1490*12+((K94*1*12%)*1490*12)*22.5%</f>
        <v>0</v>
      </c>
      <c r="M94" s="1079"/>
      <c r="N94" s="1079"/>
      <c r="O94" s="1079"/>
      <c r="P94" s="1079"/>
      <c r="Q94" s="1079">
        <v>1</v>
      </c>
      <c r="R94" s="1079">
        <f>Q94*((2.67*2340)+(327.8))*6%*12</f>
        <v>4734.4319999999998</v>
      </c>
      <c r="S94" s="1079"/>
      <c r="T94" s="1079"/>
      <c r="U94" s="1080">
        <v>1</v>
      </c>
      <c r="V94" s="1079">
        <f>U94*((2.67*2340)+(357.6))*7%*12</f>
        <v>5548.536000000001</v>
      </c>
      <c r="W94" s="1080">
        <v>1</v>
      </c>
      <c r="X94" s="1079">
        <f>W94*((2.26*2340)+327.8)*6%*12</f>
        <v>4043.6639999999998</v>
      </c>
      <c r="Y94" s="1080"/>
      <c r="Z94" s="1080"/>
      <c r="AA94" s="1080"/>
      <c r="AB94" s="1080"/>
      <c r="AC94" s="1080">
        <v>1</v>
      </c>
      <c r="AD94" s="1080">
        <f>AC94*327.8*5%*12</f>
        <v>196.68</v>
      </c>
      <c r="AE94" s="1079"/>
      <c r="AF94" s="1080">
        <f>AE94*0.0735*1490*12+(AE94*0.0735*1490*12*22.5%)</f>
        <v>0</v>
      </c>
      <c r="AG94" s="1079"/>
      <c r="AH94" s="1079">
        <f>(AG94*0.0945*1490)*12+((AG94*0.0945*1490*12)*22.5%)</f>
        <v>0</v>
      </c>
      <c r="AI94" s="1079">
        <v>1</v>
      </c>
      <c r="AJ94" s="1079">
        <f>AI94*((3*2340)+327.8)*7%*12</f>
        <v>6172.1520000000019</v>
      </c>
      <c r="AK94" s="1080">
        <v>1</v>
      </c>
      <c r="AL94" s="1079">
        <f>AK94*((3*2340)+327.8)*6%*12</f>
        <v>5290.4160000000002</v>
      </c>
    </row>
    <row r="95" spans="1:39" ht="22.35" customHeight="1">
      <c r="A95" s="998"/>
      <c r="B95" s="999" t="s">
        <v>606</v>
      </c>
      <c r="C95" s="1077">
        <f t="shared" si="67"/>
        <v>10</v>
      </c>
      <c r="D95" s="1078">
        <f t="shared" si="61"/>
        <v>38951.015999999996</v>
      </c>
      <c r="E95" s="1078">
        <v>1</v>
      </c>
      <c r="F95" s="1078">
        <f>E95*(2150+327.8)*5%*12</f>
        <v>1486.6800000000003</v>
      </c>
      <c r="G95" s="1079"/>
      <c r="H95" s="1079">
        <f>((G95*(0.11+1.05)*12%))*1490*12+(((G95*(0.11+1.05)*12%))*1490*12)*22.5%</f>
        <v>0</v>
      </c>
      <c r="I95" s="1079"/>
      <c r="J95" s="1079"/>
      <c r="K95" s="1079">
        <v>1</v>
      </c>
      <c r="L95" s="1078">
        <f>K95*(2150+327.8)*20%*12</f>
        <v>5946.7200000000012</v>
      </c>
      <c r="M95" s="1079">
        <v>1</v>
      </c>
      <c r="N95" s="1078">
        <f>M95*(2150+327.8)*9%*12</f>
        <v>2676.0240000000003</v>
      </c>
      <c r="O95" s="1079">
        <v>1</v>
      </c>
      <c r="P95" s="1078">
        <f>O95*(2150+327.8)*11%*12</f>
        <v>3270.6960000000008</v>
      </c>
      <c r="Q95" s="1079">
        <v>1</v>
      </c>
      <c r="R95" s="1078">
        <f>Q95*(2150+327.8)*6%*12</f>
        <v>1784.0160000000001</v>
      </c>
      <c r="S95" s="1079">
        <v>1</v>
      </c>
      <c r="T95" s="1078">
        <f>S95*(2150+327.8)*24%*12</f>
        <v>7136.0640000000003</v>
      </c>
      <c r="U95" s="1080"/>
      <c r="V95" s="1080"/>
      <c r="W95" s="1080">
        <v>1</v>
      </c>
      <c r="X95" s="1078">
        <f>W95*(2150+327.8)*8%*12</f>
        <v>2378.6880000000001</v>
      </c>
      <c r="Y95" s="1080"/>
      <c r="Z95" s="1080"/>
      <c r="AA95" s="1080">
        <v>1</v>
      </c>
      <c r="AB95" s="1078">
        <f>AA95*(2150+327.8)*16%*12</f>
        <v>4757.3760000000002</v>
      </c>
      <c r="AC95" s="1080"/>
      <c r="AD95" s="1080"/>
      <c r="AE95" s="1079">
        <v>1</v>
      </c>
      <c r="AF95" s="1079">
        <f>AE95*(2150+327.8)*11%*12</f>
        <v>3270.6960000000008</v>
      </c>
      <c r="AG95" s="1079"/>
      <c r="AH95" s="1079">
        <f>(2150+327.8)*14%*12</f>
        <v>4162.7040000000006</v>
      </c>
      <c r="AI95" s="1079">
        <v>1</v>
      </c>
      <c r="AJ95" s="1079">
        <f>AI95*(2150+327.8)*7%*12</f>
        <v>2081.3520000000003</v>
      </c>
      <c r="AK95" s="1080"/>
      <c r="AL95" s="1080"/>
    </row>
    <row r="96" spans="1:39" s="1058" customFormat="1">
      <c r="A96" s="996"/>
      <c r="B96" s="997" t="s">
        <v>531</v>
      </c>
      <c r="C96" s="1070">
        <f t="shared" si="67"/>
        <v>34</v>
      </c>
      <c r="D96" s="1078">
        <f t="shared" si="61"/>
        <v>309506.92800000007</v>
      </c>
      <c r="E96" s="1070">
        <f>SUM(E97:E99)</f>
        <v>2</v>
      </c>
      <c r="F96" s="1070">
        <f>SUM(F97:F99)</f>
        <v>17398.14</v>
      </c>
      <c r="G96" s="1071">
        <f>SUM(G97:G99)</f>
        <v>2</v>
      </c>
      <c r="H96" s="1071">
        <f>SUM(H97:H99)</f>
        <v>24798</v>
      </c>
      <c r="I96" s="1071">
        <f t="shared" ref="I96:AK96" si="68">SUM(I97:I99)</f>
        <v>2</v>
      </c>
      <c r="J96" s="1071">
        <f t="shared" si="68"/>
        <v>16654.800000000003</v>
      </c>
      <c r="K96" s="1071">
        <f t="shared" si="68"/>
        <v>2</v>
      </c>
      <c r="L96" s="1071">
        <f t="shared" si="68"/>
        <v>19479.492000000002</v>
      </c>
      <c r="M96" s="1071">
        <f t="shared" si="68"/>
        <v>2</v>
      </c>
      <c r="N96" s="1071">
        <f t="shared" si="68"/>
        <v>17844.144</v>
      </c>
      <c r="O96" s="1071">
        <f t="shared" si="68"/>
        <v>2</v>
      </c>
      <c r="P96" s="1071">
        <f t="shared" si="68"/>
        <v>18141.480000000003</v>
      </c>
      <c r="Q96" s="1071">
        <f t="shared" si="68"/>
        <v>2</v>
      </c>
      <c r="R96" s="1071">
        <f t="shared" si="68"/>
        <v>17398.14</v>
      </c>
      <c r="S96" s="1071">
        <f t="shared" si="68"/>
        <v>2</v>
      </c>
      <c r="T96" s="1071">
        <f>SUM(T97:T99)</f>
        <v>20074.164000000004</v>
      </c>
      <c r="U96" s="1071">
        <f t="shared" si="68"/>
        <v>2</v>
      </c>
      <c r="V96" s="1071">
        <f t="shared" si="68"/>
        <v>16654.800000000003</v>
      </c>
      <c r="W96" s="1071">
        <f t="shared" si="68"/>
        <v>2</v>
      </c>
      <c r="X96" s="1071">
        <f t="shared" si="68"/>
        <v>17695.476000000002</v>
      </c>
      <c r="Y96" s="1071">
        <f>SUM(Y97:Y99)</f>
        <v>2</v>
      </c>
      <c r="Z96" s="1071">
        <f>SUM(Z97:Z99)</f>
        <v>16654.800000000003</v>
      </c>
      <c r="AA96" s="1071">
        <f t="shared" si="68"/>
        <v>2</v>
      </c>
      <c r="AB96" s="1071">
        <f>SUM(AB97:AB99)</f>
        <v>18976.800000000003</v>
      </c>
      <c r="AC96" s="1071">
        <f>SUM(AC97:AC99)</f>
        <v>2</v>
      </c>
      <c r="AD96" s="1071">
        <f>SUM(AD97:AD99)</f>
        <v>16654.800000000003</v>
      </c>
      <c r="AE96" s="1071">
        <f t="shared" si="68"/>
        <v>2</v>
      </c>
      <c r="AF96" s="1071">
        <f t="shared" si="68"/>
        <v>18292.800000000003</v>
      </c>
      <c r="AG96" s="1071">
        <f t="shared" si="68"/>
        <v>2</v>
      </c>
      <c r="AH96" s="1071">
        <f t="shared" si="68"/>
        <v>18587.484</v>
      </c>
      <c r="AI96" s="1071">
        <f t="shared" si="68"/>
        <v>2</v>
      </c>
      <c r="AJ96" s="1071">
        <f>SUM(AJ97:AJ99)</f>
        <v>17546.808000000001</v>
      </c>
      <c r="AK96" s="1071">
        <f t="shared" si="68"/>
        <v>2</v>
      </c>
      <c r="AL96" s="1071">
        <f>SUM(AL97:AL99)</f>
        <v>16654.800000000003</v>
      </c>
    </row>
    <row r="97" spans="1:38">
      <c r="A97" s="998"/>
      <c r="B97" s="999" t="s">
        <v>1351</v>
      </c>
      <c r="C97" s="1077">
        <f t="shared" si="67"/>
        <v>17</v>
      </c>
      <c r="D97" s="1078">
        <f t="shared" si="61"/>
        <v>270967.728</v>
      </c>
      <c r="E97" s="1078">
        <v>1</v>
      </c>
      <c r="F97" s="1078">
        <f>E97*(2150+123.89+327.8)*50%*12</f>
        <v>15610.14</v>
      </c>
      <c r="G97" s="1079">
        <v>1</v>
      </c>
      <c r="H97" s="1078">
        <f>(2150+327.8)*50%*12</f>
        <v>14866.800000000001</v>
      </c>
      <c r="I97" s="1079">
        <v>1</v>
      </c>
      <c r="J97" s="1078">
        <f>(2150+327.8)*50%*12</f>
        <v>14866.800000000001</v>
      </c>
      <c r="K97" s="1079">
        <v>1</v>
      </c>
      <c r="L97" s="1078">
        <f>(2150+327.8+470.782)*50%*12</f>
        <v>17691.492000000002</v>
      </c>
      <c r="M97" s="1079">
        <v>1</v>
      </c>
      <c r="N97" s="1078">
        <f>(2150+327.8+198.224)*50%*12</f>
        <v>16056.144000000002</v>
      </c>
      <c r="O97" s="1079">
        <v>1</v>
      </c>
      <c r="P97" s="1078">
        <f>(2150+327.8+247.78)*50%*12</f>
        <v>16353.480000000003</v>
      </c>
      <c r="Q97" s="1079">
        <v>1</v>
      </c>
      <c r="R97" s="1078">
        <f>(2150+327.8+123.89)*50%*12</f>
        <v>15610.14</v>
      </c>
      <c r="S97" s="1079">
        <v>1</v>
      </c>
      <c r="T97" s="1078">
        <f>S97*(2150+327.8+569.894)*12*50%</f>
        <v>18286.164000000004</v>
      </c>
      <c r="U97" s="1079">
        <v>1</v>
      </c>
      <c r="V97" s="1078">
        <f>U97*(2150+327.8)*50%*12</f>
        <v>14866.800000000001</v>
      </c>
      <c r="W97" s="1080">
        <v>1</v>
      </c>
      <c r="X97" s="1078">
        <f>W97*(2150+327.8+173.446)*50%*12</f>
        <v>15907.476000000001</v>
      </c>
      <c r="Y97" s="1080">
        <v>1</v>
      </c>
      <c r="Z97" s="1079">
        <f>(2150+327.8)*50%*12</f>
        <v>14866.800000000001</v>
      </c>
      <c r="AA97" s="1080">
        <v>1</v>
      </c>
      <c r="AB97" s="1079">
        <f>(2150+327.8+387)*12*50%</f>
        <v>17188.800000000003</v>
      </c>
      <c r="AC97" s="1080">
        <v>1</v>
      </c>
      <c r="AD97" s="1079">
        <f>AC97*(2150+327.8)*50%*12</f>
        <v>14866.800000000001</v>
      </c>
      <c r="AE97" s="1079">
        <v>1</v>
      </c>
      <c r="AF97" s="1079">
        <f>AE97*(2150+327.8+273)*50%*12</f>
        <v>16504.800000000003</v>
      </c>
      <c r="AG97" s="1079">
        <v>1</v>
      </c>
      <c r="AH97" s="1079">
        <f>((2150+322.114+327.8))*12*50%</f>
        <v>16799.484</v>
      </c>
      <c r="AI97" s="1079">
        <v>1</v>
      </c>
      <c r="AJ97" s="1079">
        <f>AI97*(2150+327.8+148.668)*50%*12</f>
        <v>15758.808000000001</v>
      </c>
      <c r="AK97" s="1080">
        <v>1</v>
      </c>
      <c r="AL97" s="1079">
        <f>AK97*(2150+327.8)*50%*12</f>
        <v>14866.800000000001</v>
      </c>
    </row>
    <row r="98" spans="1:38">
      <c r="A98" s="998"/>
      <c r="B98" s="999" t="s">
        <v>10</v>
      </c>
      <c r="C98" s="1077">
        <f t="shared" si="67"/>
        <v>16</v>
      </c>
      <c r="D98" s="1078">
        <f t="shared" si="61"/>
        <v>28608</v>
      </c>
      <c r="E98" s="1078">
        <v>1</v>
      </c>
      <c r="F98" s="1078">
        <f>E98*298*50%*12</f>
        <v>1788</v>
      </c>
      <c r="G98" s="1079">
        <v>0</v>
      </c>
      <c r="H98" s="1079">
        <f>G98*((0.58*2340)+(298))*50%*12</f>
        <v>0</v>
      </c>
      <c r="I98" s="1079">
        <v>1</v>
      </c>
      <c r="J98" s="1079">
        <f>I98*298*12*50%</f>
        <v>1788</v>
      </c>
      <c r="K98" s="1079">
        <v>1</v>
      </c>
      <c r="L98" s="1079">
        <f>K98*298*12*50%</f>
        <v>1788</v>
      </c>
      <c r="M98" s="1079">
        <v>1</v>
      </c>
      <c r="N98" s="1079">
        <f>M98*298*12*50%</f>
        <v>1788</v>
      </c>
      <c r="O98" s="1079">
        <v>1</v>
      </c>
      <c r="P98" s="1079">
        <f>O98*298*12*50%</f>
        <v>1788</v>
      </c>
      <c r="Q98" s="1079">
        <v>1</v>
      </c>
      <c r="R98" s="1079">
        <f>Q98*298*12*50%</f>
        <v>1788</v>
      </c>
      <c r="S98" s="1079">
        <v>1</v>
      </c>
      <c r="T98" s="1079">
        <f>S98*298*12*50%</f>
        <v>1788</v>
      </c>
      <c r="U98" s="1079">
        <v>1</v>
      </c>
      <c r="V98" s="1079">
        <f>U98*298*12*50%</f>
        <v>1788</v>
      </c>
      <c r="W98" s="1080">
        <v>1</v>
      </c>
      <c r="X98" s="1080">
        <f>W98*298*12*50%</f>
        <v>1788</v>
      </c>
      <c r="Y98" s="1080">
        <v>1</v>
      </c>
      <c r="Z98" s="1079">
        <f>Y98*149*12</f>
        <v>1788</v>
      </c>
      <c r="AA98" s="1080">
        <v>1</v>
      </c>
      <c r="AB98" s="1079">
        <f>AA98*149*12</f>
        <v>1788</v>
      </c>
      <c r="AC98" s="1080">
        <v>1</v>
      </c>
      <c r="AD98" s="1079">
        <f>AC98*0.2*1490*12*50%</f>
        <v>1788</v>
      </c>
      <c r="AE98" s="1079">
        <v>1</v>
      </c>
      <c r="AF98" s="1079">
        <f>AE98*298*12*50%</f>
        <v>1788</v>
      </c>
      <c r="AG98" s="1079">
        <v>1</v>
      </c>
      <c r="AH98" s="1079">
        <f>AG98*298*12*50%</f>
        <v>1788</v>
      </c>
      <c r="AI98" s="1079">
        <v>1</v>
      </c>
      <c r="AJ98" s="1079">
        <f>AI98*298*12*50%</f>
        <v>1788</v>
      </c>
      <c r="AK98" s="1080">
        <v>1</v>
      </c>
      <c r="AL98" s="1079">
        <f>AK98*298*12*50%</f>
        <v>1788</v>
      </c>
    </row>
    <row r="99" spans="1:38" ht="30">
      <c r="A99" s="998"/>
      <c r="B99" s="999" t="s">
        <v>607</v>
      </c>
      <c r="C99" s="1077">
        <f t="shared" si="67"/>
        <v>1</v>
      </c>
      <c r="D99" s="1078">
        <f t="shared" si="61"/>
        <v>9931.1999999999989</v>
      </c>
      <c r="E99" s="1078"/>
      <c r="F99" s="1078">
        <f>E99*298*12*50%</f>
        <v>0</v>
      </c>
      <c r="G99" s="1079">
        <v>1</v>
      </c>
      <c r="H99" s="1079">
        <f>G99*((0.58*2340)+(298))*50%*12</f>
        <v>9931.1999999999989</v>
      </c>
      <c r="I99" s="1079"/>
      <c r="J99" s="1079">
        <f>I99*0.2*1490*12*50%</f>
        <v>0</v>
      </c>
      <c r="K99" s="1079"/>
      <c r="L99" s="1079"/>
      <c r="M99" s="1079"/>
      <c r="N99" s="1079">
        <f>M99*(0.2+0.12)*1490*12*50%</f>
        <v>0</v>
      </c>
      <c r="O99" s="1079"/>
      <c r="P99" s="1079">
        <f>O99*0.2*1490*12*50%</f>
        <v>0</v>
      </c>
      <c r="Q99" s="1079"/>
      <c r="R99" s="1079">
        <f>Q99*0.2*1490*12*50%</f>
        <v>0</v>
      </c>
      <c r="S99" s="1079"/>
      <c r="T99" s="1079">
        <f>S99*0.2*1490*12*50%</f>
        <v>0</v>
      </c>
      <c r="U99" s="1080"/>
      <c r="V99" s="1080">
        <f>U99*0.2*1490*12*50%</f>
        <v>0</v>
      </c>
      <c r="W99" s="1080"/>
      <c r="X99" s="1080">
        <f>W99*0.2*1490*12*50%</f>
        <v>0</v>
      </c>
      <c r="Y99" s="1080"/>
      <c r="Z99" s="1079">
        <f>Y99*149*12</f>
        <v>0</v>
      </c>
      <c r="AA99" s="1080"/>
      <c r="AB99" s="1079">
        <f>AA99*149*12</f>
        <v>0</v>
      </c>
      <c r="AC99" s="1080">
        <v>0</v>
      </c>
      <c r="AD99" s="1079">
        <f>AC99*149*12</f>
        <v>0</v>
      </c>
      <c r="AE99" s="1079"/>
      <c r="AF99" s="1079">
        <f>AE99*0.58*1490*12*50%</f>
        <v>0</v>
      </c>
      <c r="AG99" s="1079">
        <v>0</v>
      </c>
      <c r="AH99" s="1079">
        <f>AG99*149*12</f>
        <v>0</v>
      </c>
      <c r="AI99" s="1079"/>
      <c r="AJ99" s="1079">
        <f>AI99*149*12</f>
        <v>0</v>
      </c>
      <c r="AK99" s="1080"/>
      <c r="AL99" s="1079">
        <f>AK99*149*12</f>
        <v>0</v>
      </c>
    </row>
    <row r="100" spans="1:38" s="1058" customFormat="1">
      <c r="A100" s="996"/>
      <c r="B100" s="997" t="s">
        <v>303</v>
      </c>
      <c r="C100" s="1070">
        <f t="shared" si="67"/>
        <v>1142</v>
      </c>
      <c r="D100" s="1066">
        <f t="shared" si="61"/>
        <v>1348620</v>
      </c>
      <c r="E100" s="1070">
        <f t="shared" ref="E100:AL100" si="69">SUM(E101:E106)</f>
        <v>55</v>
      </c>
      <c r="F100" s="1070">
        <f t="shared" si="69"/>
        <v>68250</v>
      </c>
      <c r="G100" s="1070">
        <f t="shared" si="69"/>
        <v>70</v>
      </c>
      <c r="H100" s="1070">
        <f t="shared" si="69"/>
        <v>81900</v>
      </c>
      <c r="I100" s="1070">
        <f t="shared" si="69"/>
        <v>67</v>
      </c>
      <c r="J100" s="1070">
        <f t="shared" si="69"/>
        <v>79170</v>
      </c>
      <c r="K100" s="1070">
        <f t="shared" si="69"/>
        <v>67</v>
      </c>
      <c r="L100" s="1070">
        <f t="shared" si="69"/>
        <v>79170</v>
      </c>
      <c r="M100" s="1070">
        <f t="shared" si="69"/>
        <v>58</v>
      </c>
      <c r="N100" s="1070">
        <f t="shared" si="69"/>
        <v>70980</v>
      </c>
      <c r="O100" s="1070">
        <f t="shared" si="69"/>
        <v>58</v>
      </c>
      <c r="P100" s="1070">
        <f t="shared" si="69"/>
        <v>70980</v>
      </c>
      <c r="Q100" s="1070">
        <f t="shared" si="69"/>
        <v>70</v>
      </c>
      <c r="R100" s="1070">
        <f t="shared" si="69"/>
        <v>81900</v>
      </c>
      <c r="S100" s="1070">
        <f t="shared" si="69"/>
        <v>43</v>
      </c>
      <c r="T100" s="1070">
        <f t="shared" si="69"/>
        <v>57330</v>
      </c>
      <c r="U100" s="1070">
        <f t="shared" si="69"/>
        <v>73</v>
      </c>
      <c r="V100" s="1070">
        <f t="shared" si="69"/>
        <v>84630</v>
      </c>
      <c r="W100" s="1070">
        <f t="shared" si="69"/>
        <v>85</v>
      </c>
      <c r="X100" s="1070">
        <f t="shared" si="69"/>
        <v>95550</v>
      </c>
      <c r="Y100" s="1070">
        <f>SUM(Y101:Y106)</f>
        <v>94</v>
      </c>
      <c r="Z100" s="1070">
        <f>SUM(Z101:Z106)</f>
        <v>103740</v>
      </c>
      <c r="AA100" s="1070">
        <f t="shared" si="69"/>
        <v>91</v>
      </c>
      <c r="AB100" s="1070">
        <f t="shared" si="69"/>
        <v>101010</v>
      </c>
      <c r="AC100" s="1070">
        <f t="shared" si="69"/>
        <v>58</v>
      </c>
      <c r="AD100" s="1070">
        <f t="shared" si="69"/>
        <v>70980</v>
      </c>
      <c r="AE100" s="1070">
        <f t="shared" si="69"/>
        <v>46</v>
      </c>
      <c r="AF100" s="1070">
        <f t="shared" si="69"/>
        <v>60060</v>
      </c>
      <c r="AG100" s="1070">
        <f t="shared" si="69"/>
        <v>67</v>
      </c>
      <c r="AH100" s="1070">
        <f t="shared" si="69"/>
        <v>79170</v>
      </c>
      <c r="AI100" s="1070">
        <f t="shared" si="69"/>
        <v>55</v>
      </c>
      <c r="AJ100" s="1070">
        <f t="shared" si="69"/>
        <v>68250</v>
      </c>
      <c r="AK100" s="1070">
        <f t="shared" si="69"/>
        <v>85</v>
      </c>
      <c r="AL100" s="1070">
        <f t="shared" si="69"/>
        <v>95550</v>
      </c>
    </row>
    <row r="101" spans="1:38">
      <c r="A101" s="998"/>
      <c r="B101" s="1111" t="s">
        <v>62</v>
      </c>
      <c r="C101" s="1077">
        <f t="shared" si="67"/>
        <v>666</v>
      </c>
      <c r="D101" s="1078">
        <f t="shared" si="61"/>
        <v>606060</v>
      </c>
      <c r="E101" s="1112">
        <v>27</v>
      </c>
      <c r="F101" s="1098">
        <f>E101*7*130</f>
        <v>24570</v>
      </c>
      <c r="G101" s="1110">
        <v>42</v>
      </c>
      <c r="H101" s="1080">
        <f>G101*7*130</f>
        <v>38220</v>
      </c>
      <c r="I101" s="1110">
        <v>39</v>
      </c>
      <c r="J101" s="1080">
        <f>I101*7*130</f>
        <v>35490</v>
      </c>
      <c r="K101" s="1110">
        <v>39</v>
      </c>
      <c r="L101" s="1080">
        <f>K101*7*130</f>
        <v>35490</v>
      </c>
      <c r="M101" s="1110">
        <v>30</v>
      </c>
      <c r="N101" s="1080">
        <f>M101*7*130</f>
        <v>27300</v>
      </c>
      <c r="O101" s="1110">
        <v>30</v>
      </c>
      <c r="P101" s="1080">
        <f>O101*7*130</f>
        <v>27300</v>
      </c>
      <c r="Q101" s="1110">
        <v>42</v>
      </c>
      <c r="R101" s="1080">
        <f>Q101*7*130</f>
        <v>38220</v>
      </c>
      <c r="S101" s="1110">
        <v>15</v>
      </c>
      <c r="T101" s="1080">
        <f>S101*7*130</f>
        <v>13650</v>
      </c>
      <c r="U101" s="1110">
        <v>45</v>
      </c>
      <c r="V101" s="1080">
        <f>U101*7*130</f>
        <v>40950</v>
      </c>
      <c r="W101" s="1110">
        <v>57</v>
      </c>
      <c r="X101" s="1080">
        <f>W101*7*130</f>
        <v>51870</v>
      </c>
      <c r="Y101" s="1110">
        <v>66</v>
      </c>
      <c r="Z101" s="1080">
        <f>Y101*7*130</f>
        <v>60060</v>
      </c>
      <c r="AA101" s="1110">
        <v>63</v>
      </c>
      <c r="AB101" s="1080">
        <f>AA101*7*130</f>
        <v>57330</v>
      </c>
      <c r="AC101" s="1113">
        <v>30</v>
      </c>
      <c r="AD101" s="1080">
        <f>AC101*7*130</f>
        <v>27300</v>
      </c>
      <c r="AE101" s="1110">
        <v>18</v>
      </c>
      <c r="AF101" s="1080">
        <f>AE101*7*130</f>
        <v>16380</v>
      </c>
      <c r="AG101" s="1110">
        <v>39</v>
      </c>
      <c r="AH101" s="1080">
        <f>AG101*7*130</f>
        <v>35490</v>
      </c>
      <c r="AI101" s="1110">
        <v>27</v>
      </c>
      <c r="AJ101" s="1080">
        <f>AI101*7*130</f>
        <v>24570</v>
      </c>
      <c r="AK101" s="1110">
        <v>57</v>
      </c>
      <c r="AL101" s="1080">
        <f>AK101*7*130</f>
        <v>51870</v>
      </c>
    </row>
    <row r="102" spans="1:38">
      <c r="A102" s="998"/>
      <c r="B102" s="1111" t="s">
        <v>63</v>
      </c>
      <c r="C102" s="1077">
        <f t="shared" si="67"/>
        <v>476</v>
      </c>
      <c r="D102" s="1078">
        <f t="shared" si="61"/>
        <v>742560</v>
      </c>
      <c r="E102" s="1112">
        <v>28</v>
      </c>
      <c r="F102" s="1098">
        <f>E102*12*130</f>
        <v>43680</v>
      </c>
      <c r="G102" s="1110">
        <v>28</v>
      </c>
      <c r="H102" s="1080">
        <f>G102*12*130</f>
        <v>43680</v>
      </c>
      <c r="I102" s="1110">
        <v>28</v>
      </c>
      <c r="J102" s="1080">
        <f>I102*12*130</f>
        <v>43680</v>
      </c>
      <c r="K102" s="1110">
        <v>28</v>
      </c>
      <c r="L102" s="1080">
        <f>K102*12*130</f>
        <v>43680</v>
      </c>
      <c r="M102" s="1110">
        <v>28</v>
      </c>
      <c r="N102" s="1080">
        <f>M102*12*130</f>
        <v>43680</v>
      </c>
      <c r="O102" s="1110">
        <v>28</v>
      </c>
      <c r="P102" s="1080">
        <f>O102*12*130</f>
        <v>43680</v>
      </c>
      <c r="Q102" s="1110">
        <v>28</v>
      </c>
      <c r="R102" s="1080">
        <f>Q102*12*130</f>
        <v>43680</v>
      </c>
      <c r="S102" s="1110">
        <v>28</v>
      </c>
      <c r="T102" s="1080">
        <f>S102*12*130</f>
        <v>43680</v>
      </c>
      <c r="U102" s="1110">
        <v>28</v>
      </c>
      <c r="V102" s="1080">
        <f>U102*12*130</f>
        <v>43680</v>
      </c>
      <c r="W102" s="1110">
        <v>28</v>
      </c>
      <c r="X102" s="1080">
        <f>W102*12*130</f>
        <v>43680</v>
      </c>
      <c r="Y102" s="1110">
        <v>28</v>
      </c>
      <c r="Z102" s="1080">
        <f>Y102*12*130</f>
        <v>43680</v>
      </c>
      <c r="AA102" s="1110">
        <v>28</v>
      </c>
      <c r="AB102" s="1080">
        <f>AA102*12*130</f>
        <v>43680</v>
      </c>
      <c r="AC102" s="1110">
        <v>28</v>
      </c>
      <c r="AD102" s="1080">
        <f>AC102*12*130</f>
        <v>43680</v>
      </c>
      <c r="AE102" s="1110">
        <v>28</v>
      </c>
      <c r="AF102" s="1080">
        <f>AE102*12*130</f>
        <v>43680</v>
      </c>
      <c r="AG102" s="1110">
        <v>28</v>
      </c>
      <c r="AH102" s="1080">
        <f>AG102*12*130</f>
        <v>43680</v>
      </c>
      <c r="AI102" s="1110">
        <v>28</v>
      </c>
      <c r="AJ102" s="1080">
        <f>AI102*12*130</f>
        <v>43680</v>
      </c>
      <c r="AK102" s="1110">
        <v>28</v>
      </c>
      <c r="AL102" s="1080">
        <f>AK102*12*130</f>
        <v>43680</v>
      </c>
    </row>
    <row r="103" spans="1:38" ht="28.5" customHeight="1">
      <c r="A103" s="998"/>
      <c r="B103" s="1111" t="s">
        <v>279</v>
      </c>
      <c r="C103" s="1077">
        <f t="shared" si="67"/>
        <v>0</v>
      </c>
      <c r="D103" s="1078">
        <f t="shared" si="61"/>
        <v>0</v>
      </c>
      <c r="E103" s="1112"/>
      <c r="F103" s="1098">
        <f>E103*7*130</f>
        <v>0</v>
      </c>
      <c r="G103" s="1110"/>
      <c r="H103" s="1080">
        <f>G103*7*130</f>
        <v>0</v>
      </c>
      <c r="I103" s="1110"/>
      <c r="J103" s="1080">
        <f>I103*7*130</f>
        <v>0</v>
      </c>
      <c r="K103" s="1110"/>
      <c r="L103" s="1080">
        <f>K103*7*130</f>
        <v>0</v>
      </c>
      <c r="M103" s="1110"/>
      <c r="N103" s="1080">
        <f>M103*7*130</f>
        <v>0</v>
      </c>
      <c r="O103" s="1110"/>
      <c r="P103" s="1080">
        <f>O103*7*130</f>
        <v>0</v>
      </c>
      <c r="Q103" s="1110"/>
      <c r="R103" s="1080">
        <f>Q103*7*130</f>
        <v>0</v>
      </c>
      <c r="S103" s="1110"/>
      <c r="T103" s="1080">
        <f>S103*7*130</f>
        <v>0</v>
      </c>
      <c r="U103" s="1110"/>
      <c r="V103" s="1080">
        <f>U103*7*130</f>
        <v>0</v>
      </c>
      <c r="W103" s="1110"/>
      <c r="X103" s="1080">
        <f>W103*7*130</f>
        <v>0</v>
      </c>
      <c r="Y103" s="1110"/>
      <c r="Z103" s="1080">
        <f>Y103*7*130</f>
        <v>0</v>
      </c>
      <c r="AA103" s="1110"/>
      <c r="AB103" s="1080">
        <f>AA103*7*130</f>
        <v>0</v>
      </c>
      <c r="AC103" s="1110"/>
      <c r="AD103" s="1080">
        <f t="shared" ref="AD103:AD106" si="70">AC103*7*130</f>
        <v>0</v>
      </c>
      <c r="AE103" s="1110"/>
      <c r="AF103" s="1080">
        <f>AE103*7*130</f>
        <v>0</v>
      </c>
      <c r="AG103" s="1110"/>
      <c r="AH103" s="1080">
        <f>AG103*7*130</f>
        <v>0</v>
      </c>
      <c r="AI103" s="1110"/>
      <c r="AJ103" s="1080">
        <f>AI103*7*130</f>
        <v>0</v>
      </c>
      <c r="AK103" s="1110"/>
      <c r="AL103" s="1080">
        <f>AK103*7*130</f>
        <v>0</v>
      </c>
    </row>
    <row r="104" spans="1:38" ht="28.5" customHeight="1">
      <c r="A104" s="998"/>
      <c r="B104" s="1111" t="s">
        <v>64</v>
      </c>
      <c r="C104" s="1077">
        <f t="shared" si="67"/>
        <v>0</v>
      </c>
      <c r="D104" s="1078">
        <f t="shared" si="61"/>
        <v>0</v>
      </c>
      <c r="E104" s="1112"/>
      <c r="F104" s="1098">
        <f>E104*7*130</f>
        <v>0</v>
      </c>
      <c r="G104" s="1110"/>
      <c r="H104" s="1080">
        <f>G104*7*130</f>
        <v>0</v>
      </c>
      <c r="I104" s="1110"/>
      <c r="J104" s="1080">
        <f>I104*7*130</f>
        <v>0</v>
      </c>
      <c r="K104" s="1110"/>
      <c r="L104" s="1080">
        <f>K104*7*130</f>
        <v>0</v>
      </c>
      <c r="M104" s="1110"/>
      <c r="N104" s="1080">
        <f>M104*7*130</f>
        <v>0</v>
      </c>
      <c r="O104" s="1110"/>
      <c r="P104" s="1080">
        <f>O104*7*130</f>
        <v>0</v>
      </c>
      <c r="Q104" s="1110"/>
      <c r="R104" s="1080">
        <f>Q104*7*130</f>
        <v>0</v>
      </c>
      <c r="S104" s="1110"/>
      <c r="T104" s="1080">
        <f>S104*7*130</f>
        <v>0</v>
      </c>
      <c r="U104" s="1110"/>
      <c r="V104" s="1080">
        <f>U104*7*130</f>
        <v>0</v>
      </c>
      <c r="W104" s="1110"/>
      <c r="X104" s="1080">
        <f>W104*7*130</f>
        <v>0</v>
      </c>
      <c r="Y104" s="1110"/>
      <c r="Z104" s="1080">
        <f>Y104*7*130</f>
        <v>0</v>
      </c>
      <c r="AA104" s="1110"/>
      <c r="AB104" s="1080">
        <f>AA104*7*130</f>
        <v>0</v>
      </c>
      <c r="AC104" s="1110"/>
      <c r="AD104" s="1080">
        <f t="shared" si="70"/>
        <v>0</v>
      </c>
      <c r="AE104" s="1110"/>
      <c r="AF104" s="1080">
        <f>AE104*7*130</f>
        <v>0</v>
      </c>
      <c r="AG104" s="1110"/>
      <c r="AH104" s="1080">
        <f>AG104*7*130</f>
        <v>0</v>
      </c>
      <c r="AI104" s="1110"/>
      <c r="AJ104" s="1080">
        <f>AI104*7*130</f>
        <v>0</v>
      </c>
      <c r="AK104" s="1110"/>
      <c r="AL104" s="1080">
        <f>AK104*7*130</f>
        <v>0</v>
      </c>
    </row>
    <row r="105" spans="1:38" ht="28.5" customHeight="1">
      <c r="A105" s="998"/>
      <c r="B105" s="1111" t="s">
        <v>65</v>
      </c>
      <c r="C105" s="1077">
        <f t="shared" si="67"/>
        <v>0</v>
      </c>
      <c r="D105" s="1078">
        <f t="shared" si="61"/>
        <v>0</v>
      </c>
      <c r="E105" s="1112"/>
      <c r="F105" s="1098">
        <f>E105*7*130</f>
        <v>0</v>
      </c>
      <c r="G105" s="1110"/>
      <c r="H105" s="1080">
        <f>G105*7*130</f>
        <v>0</v>
      </c>
      <c r="I105" s="1110"/>
      <c r="J105" s="1080">
        <f>I105*7*130</f>
        <v>0</v>
      </c>
      <c r="K105" s="1110"/>
      <c r="L105" s="1080">
        <f>K105*7*130</f>
        <v>0</v>
      </c>
      <c r="M105" s="1110"/>
      <c r="N105" s="1080">
        <f>M105*7*130</f>
        <v>0</v>
      </c>
      <c r="O105" s="1110"/>
      <c r="P105" s="1080">
        <f>O105*7*130</f>
        <v>0</v>
      </c>
      <c r="Q105" s="1110"/>
      <c r="R105" s="1080">
        <f>Q105*7*130</f>
        <v>0</v>
      </c>
      <c r="S105" s="1110"/>
      <c r="T105" s="1080">
        <f>S105*7*130</f>
        <v>0</v>
      </c>
      <c r="U105" s="1110"/>
      <c r="V105" s="1080">
        <f>U105*7*130</f>
        <v>0</v>
      </c>
      <c r="W105" s="1110"/>
      <c r="X105" s="1080">
        <f>W105*7*130</f>
        <v>0</v>
      </c>
      <c r="Y105" s="1110"/>
      <c r="Z105" s="1080">
        <f>Y105*7*130</f>
        <v>0</v>
      </c>
      <c r="AA105" s="1110"/>
      <c r="AB105" s="1080">
        <f>AA105*7*130</f>
        <v>0</v>
      </c>
      <c r="AC105" s="1110"/>
      <c r="AD105" s="1080">
        <f t="shared" si="70"/>
        <v>0</v>
      </c>
      <c r="AE105" s="1110"/>
      <c r="AF105" s="1080">
        <f>AE105*7*130</f>
        <v>0</v>
      </c>
      <c r="AG105" s="1110"/>
      <c r="AH105" s="1080">
        <f>AG105*7*130</f>
        <v>0</v>
      </c>
      <c r="AI105" s="1110"/>
      <c r="AJ105" s="1080">
        <f>AI105*7*130</f>
        <v>0</v>
      </c>
      <c r="AK105" s="1110"/>
      <c r="AL105" s="1080">
        <f>AK105*7*130</f>
        <v>0</v>
      </c>
    </row>
    <row r="106" spans="1:38" ht="28.5" customHeight="1">
      <c r="A106" s="998"/>
      <c r="B106" s="1111" t="s">
        <v>66</v>
      </c>
      <c r="C106" s="1077">
        <f t="shared" si="67"/>
        <v>0</v>
      </c>
      <c r="D106" s="1078">
        <f t="shared" si="61"/>
        <v>0</v>
      </c>
      <c r="E106" s="1112"/>
      <c r="F106" s="1098">
        <f>E106*7*130</f>
        <v>0</v>
      </c>
      <c r="G106" s="1110"/>
      <c r="H106" s="1080">
        <f>G106*7*130</f>
        <v>0</v>
      </c>
      <c r="I106" s="1110"/>
      <c r="J106" s="1080">
        <f>I106*7*130</f>
        <v>0</v>
      </c>
      <c r="K106" s="1110"/>
      <c r="L106" s="1080">
        <f>K106*7*130</f>
        <v>0</v>
      </c>
      <c r="M106" s="1110"/>
      <c r="N106" s="1080">
        <f>M106*7*130</f>
        <v>0</v>
      </c>
      <c r="O106" s="1110"/>
      <c r="P106" s="1080">
        <f>O106*7*130</f>
        <v>0</v>
      </c>
      <c r="Q106" s="1110"/>
      <c r="R106" s="1080">
        <f>Q106*7*130</f>
        <v>0</v>
      </c>
      <c r="S106" s="1110"/>
      <c r="T106" s="1080">
        <f>S106*7*130</f>
        <v>0</v>
      </c>
      <c r="U106" s="1110"/>
      <c r="V106" s="1080">
        <f>U106*7*130</f>
        <v>0</v>
      </c>
      <c r="W106" s="1110"/>
      <c r="X106" s="1080">
        <f>W106*7*130</f>
        <v>0</v>
      </c>
      <c r="Y106" s="1110"/>
      <c r="Z106" s="1080">
        <f>Y106*7*130</f>
        <v>0</v>
      </c>
      <c r="AA106" s="1110"/>
      <c r="AB106" s="1080">
        <f>AA106*7*130</f>
        <v>0</v>
      </c>
      <c r="AC106" s="1110"/>
      <c r="AD106" s="1080">
        <f t="shared" si="70"/>
        <v>0</v>
      </c>
      <c r="AE106" s="1110"/>
      <c r="AF106" s="1080">
        <f>AE106*7*130</f>
        <v>0</v>
      </c>
      <c r="AG106" s="1110"/>
      <c r="AH106" s="1080">
        <f>AG106*7*130</f>
        <v>0</v>
      </c>
      <c r="AI106" s="1110"/>
      <c r="AJ106" s="1080">
        <f>AI106*7*130</f>
        <v>0</v>
      </c>
      <c r="AK106" s="1110"/>
      <c r="AL106" s="1080">
        <f>AK106*7*130</f>
        <v>0</v>
      </c>
    </row>
    <row r="107" spans="1:38" ht="33.75" customHeight="1">
      <c r="A107" s="996"/>
      <c r="B107" s="997" t="s">
        <v>1352</v>
      </c>
      <c r="C107" s="1070">
        <f t="shared" si="67"/>
        <v>1142</v>
      </c>
      <c r="D107" s="1066">
        <f t="shared" si="61"/>
        <v>674310</v>
      </c>
      <c r="E107" s="1070">
        <f>+E101+E102</f>
        <v>55</v>
      </c>
      <c r="F107" s="1070">
        <f>((E101*7)+((E102+E103+E104+E105)*12)+(E106*15))*65</f>
        <v>34125</v>
      </c>
      <c r="G107" s="1071">
        <f>+G101+G102</f>
        <v>70</v>
      </c>
      <c r="H107" s="1071">
        <f>((G101*7)+((G102+G103+G104+G105)*12)+(G106*15))*65</f>
        <v>40950</v>
      </c>
      <c r="I107" s="1071">
        <f>+I101+I102</f>
        <v>67</v>
      </c>
      <c r="J107" s="1071">
        <f>((I101*7)+((I102+I103+I104+I105)*12)+(I106*15))*65</f>
        <v>39585</v>
      </c>
      <c r="K107" s="1071">
        <f>+K101+K102</f>
        <v>67</v>
      </c>
      <c r="L107" s="1071">
        <f>((K101*7)+((K102+K103+K104+K105)*12)+(K106*15))*65</f>
        <v>39585</v>
      </c>
      <c r="M107" s="1071">
        <f>+M101+M102</f>
        <v>58</v>
      </c>
      <c r="N107" s="1071">
        <f>((M101*7)+((M102+M103+M104+M105)*12)+(M106*15))*65</f>
        <v>35490</v>
      </c>
      <c r="O107" s="1071">
        <f>+O101+O102</f>
        <v>58</v>
      </c>
      <c r="P107" s="1071">
        <f>((O101*7)+((O102+O103+O104+O105)*12)+(O106*15))*65</f>
        <v>35490</v>
      </c>
      <c r="Q107" s="1071">
        <f>+Q101+Q102</f>
        <v>70</v>
      </c>
      <c r="R107" s="1071">
        <f>((Q101*7)+((Q102+Q103+Q104+Q105)*12)+(Q106*15))*65</f>
        <v>40950</v>
      </c>
      <c r="S107" s="1071">
        <f>+S101+S102</f>
        <v>43</v>
      </c>
      <c r="T107" s="1071">
        <f>((S101*7)+((S102+S103+S104+S105)*12)+(S106*15))*65</f>
        <v>28665</v>
      </c>
      <c r="U107" s="1071">
        <f>+U101+U102</f>
        <v>73</v>
      </c>
      <c r="V107" s="1071">
        <f>((U101*7)+((U102+U103+U104+U105)*12)+(U106*15))*65</f>
        <v>42315</v>
      </c>
      <c r="W107" s="1071">
        <f>+W101+W102</f>
        <v>85</v>
      </c>
      <c r="X107" s="1071">
        <f>((W101*7)+((W102+W103+W104+W105)*12)+(W106*15))*65</f>
        <v>47775</v>
      </c>
      <c r="Y107" s="1071">
        <f>+Y101+Y102</f>
        <v>94</v>
      </c>
      <c r="Z107" s="1071">
        <f>((Y101*7)+((Y102+Y103+Y104+Y105)*12)+(Y106*15))*65</f>
        <v>51870</v>
      </c>
      <c r="AA107" s="1071">
        <f>+AA101+AA102</f>
        <v>91</v>
      </c>
      <c r="AB107" s="1071">
        <f>((AA101*7)+((AA102+AA103+AA104+AA105)*12)+(AA106*15))*65</f>
        <v>50505</v>
      </c>
      <c r="AC107" s="1071">
        <f>+AC101+AC102</f>
        <v>58</v>
      </c>
      <c r="AD107" s="1071">
        <f>((AC101*7)+((AC102+AC103+AC104+AC105)*12)+(AC106*15))*65</f>
        <v>35490</v>
      </c>
      <c r="AE107" s="1071">
        <f>+AE101+AE102</f>
        <v>46</v>
      </c>
      <c r="AF107" s="1071">
        <f>((AE101*7)+((AE102+AE103+AE104+AE105)*12)+(AE106*15))*65</f>
        <v>30030</v>
      </c>
      <c r="AG107" s="1071">
        <f>+AG101+AG102</f>
        <v>67</v>
      </c>
      <c r="AH107" s="1071">
        <f>((AG101*7)+((AG102+AG103+AG104+AG105)*12)+(AG106*15))*65</f>
        <v>39585</v>
      </c>
      <c r="AI107" s="1071">
        <f>+AI101+AI102</f>
        <v>55</v>
      </c>
      <c r="AJ107" s="1071">
        <f>((AI101*7)+((AI102+AI103+AI104+AI105)*12)+(AI106*15))*65</f>
        <v>34125</v>
      </c>
      <c r="AK107" s="1071">
        <f>+AK101+AK102</f>
        <v>85</v>
      </c>
      <c r="AL107" s="1071">
        <f>((AK101*7)+((AK102+AK103+AK104+AK105)*12)+(AK106*15))*65</f>
        <v>47775</v>
      </c>
    </row>
    <row r="108" spans="1:38" s="1058" customFormat="1">
      <c r="A108" s="996"/>
      <c r="B108" s="997" t="s">
        <v>147</v>
      </c>
      <c r="C108" s="1070"/>
      <c r="D108" s="1066">
        <f t="shared" si="61"/>
        <v>425000</v>
      </c>
      <c r="E108" s="1070"/>
      <c r="F108" s="1070">
        <v>25000</v>
      </c>
      <c r="G108" s="1071"/>
      <c r="H108" s="1071">
        <v>25000</v>
      </c>
      <c r="I108" s="1071"/>
      <c r="J108" s="1071">
        <v>25000</v>
      </c>
      <c r="K108" s="1071"/>
      <c r="L108" s="1071">
        <v>25000</v>
      </c>
      <c r="M108" s="1071"/>
      <c r="N108" s="1071">
        <v>25000</v>
      </c>
      <c r="O108" s="1071"/>
      <c r="P108" s="1071">
        <v>25000</v>
      </c>
      <c r="Q108" s="1071"/>
      <c r="R108" s="1071">
        <v>25000</v>
      </c>
      <c r="S108" s="1071"/>
      <c r="T108" s="1071">
        <v>25000</v>
      </c>
      <c r="U108" s="1071"/>
      <c r="V108" s="1071">
        <v>25000</v>
      </c>
      <c r="W108" s="1071"/>
      <c r="X108" s="1071">
        <v>25000</v>
      </c>
      <c r="Y108" s="1071"/>
      <c r="Z108" s="1071">
        <v>25000</v>
      </c>
      <c r="AA108" s="1071"/>
      <c r="AB108" s="1071">
        <v>25000</v>
      </c>
      <c r="AC108" s="1071"/>
      <c r="AD108" s="1071">
        <v>25000</v>
      </c>
      <c r="AE108" s="1071"/>
      <c r="AF108" s="1071">
        <v>25000</v>
      </c>
      <c r="AG108" s="1071"/>
      <c r="AH108" s="1071">
        <v>25000</v>
      </c>
      <c r="AI108" s="1071"/>
      <c r="AJ108" s="1071">
        <v>25000</v>
      </c>
      <c r="AK108" s="1071"/>
      <c r="AL108" s="1071">
        <v>25000</v>
      </c>
    </row>
    <row r="109" spans="1:38" s="1058" customFormat="1" ht="18.75" customHeight="1">
      <c r="A109" s="996"/>
      <c r="B109" s="997" t="s">
        <v>423</v>
      </c>
      <c r="C109" s="1070">
        <f t="shared" ref="C109:C118" si="71">+E109+G109+I109+K109+M109+O109+Q109+S109+U109+W109+AA109+Y109+AC109+AE109+AG109+AI109+AK109</f>
        <v>0</v>
      </c>
      <c r="D109" s="1066">
        <f t="shared" si="61"/>
        <v>0</v>
      </c>
      <c r="E109" s="1093">
        <f t="shared" ref="E109:W109" si="72">+E110</f>
        <v>0</v>
      </c>
      <c r="F109" s="1093">
        <f t="shared" si="72"/>
        <v>0</v>
      </c>
      <c r="G109" s="1069">
        <f t="shared" si="72"/>
        <v>0</v>
      </c>
      <c r="H109" s="1069">
        <f t="shared" si="72"/>
        <v>0</v>
      </c>
      <c r="I109" s="1069">
        <f t="shared" si="72"/>
        <v>0</v>
      </c>
      <c r="J109" s="1069">
        <f t="shared" si="72"/>
        <v>0</v>
      </c>
      <c r="K109" s="1069">
        <f t="shared" si="72"/>
        <v>0</v>
      </c>
      <c r="L109" s="1069">
        <f t="shared" si="72"/>
        <v>0</v>
      </c>
      <c r="M109" s="1069">
        <f t="shared" si="72"/>
        <v>0</v>
      </c>
      <c r="N109" s="1069">
        <f t="shared" si="72"/>
        <v>0</v>
      </c>
      <c r="O109" s="1069">
        <f t="shared" si="72"/>
        <v>0</v>
      </c>
      <c r="P109" s="1071"/>
      <c r="Q109" s="1069">
        <f t="shared" si="72"/>
        <v>0</v>
      </c>
      <c r="R109" s="1069">
        <f t="shared" si="72"/>
        <v>0</v>
      </c>
      <c r="S109" s="1069">
        <f t="shared" si="72"/>
        <v>0</v>
      </c>
      <c r="T109" s="1069">
        <f t="shared" si="72"/>
        <v>0</v>
      </c>
      <c r="U109" s="1069">
        <f t="shared" si="72"/>
        <v>0</v>
      </c>
      <c r="V109" s="1069">
        <f t="shared" si="72"/>
        <v>0</v>
      </c>
      <c r="W109" s="1069">
        <f t="shared" si="72"/>
        <v>0</v>
      </c>
      <c r="X109" s="1069">
        <f>+X110</f>
        <v>0</v>
      </c>
      <c r="Y109" s="1069">
        <f>+Y110</f>
        <v>0</v>
      </c>
      <c r="Z109" s="1069">
        <f>+Z110</f>
        <v>0</v>
      </c>
      <c r="AA109" s="1069">
        <f t="shared" ref="AA109:AL109" si="73">+AA110</f>
        <v>0</v>
      </c>
      <c r="AB109" s="1069">
        <f t="shared" si="73"/>
        <v>0</v>
      </c>
      <c r="AC109" s="1069">
        <f t="shared" si="73"/>
        <v>0</v>
      </c>
      <c r="AD109" s="1069">
        <f t="shared" si="73"/>
        <v>0</v>
      </c>
      <c r="AE109" s="1069">
        <f t="shared" si="73"/>
        <v>0</v>
      </c>
      <c r="AF109" s="1069">
        <f t="shared" si="73"/>
        <v>0</v>
      </c>
      <c r="AG109" s="1069">
        <f t="shared" si="73"/>
        <v>0</v>
      </c>
      <c r="AH109" s="1069">
        <f t="shared" si="73"/>
        <v>0</v>
      </c>
      <c r="AI109" s="1069">
        <f t="shared" si="73"/>
        <v>0</v>
      </c>
      <c r="AJ109" s="1069">
        <f t="shared" si="73"/>
        <v>0</v>
      </c>
      <c r="AK109" s="1069">
        <f t="shared" si="73"/>
        <v>0</v>
      </c>
      <c r="AL109" s="1069">
        <f t="shared" si="73"/>
        <v>0</v>
      </c>
    </row>
    <row r="110" spans="1:38" ht="19.5" customHeight="1">
      <c r="A110" s="998"/>
      <c r="B110" s="1111" t="s">
        <v>424</v>
      </c>
      <c r="C110" s="1077">
        <f t="shared" si="71"/>
        <v>0</v>
      </c>
      <c r="D110" s="1078">
        <f t="shared" si="61"/>
        <v>0</v>
      </c>
      <c r="E110" s="1112"/>
      <c r="F110" s="1098"/>
      <c r="G110" s="1110"/>
      <c r="H110" s="1080"/>
      <c r="I110" s="1110"/>
      <c r="J110" s="1080"/>
      <c r="K110" s="1110"/>
      <c r="L110" s="1080"/>
      <c r="M110" s="1110"/>
      <c r="N110" s="1080"/>
      <c r="O110" s="1110"/>
      <c r="P110" s="1080"/>
      <c r="Q110" s="1110"/>
      <c r="R110" s="1080"/>
      <c r="S110" s="1110"/>
      <c r="T110" s="1080"/>
      <c r="U110" s="1110"/>
      <c r="V110" s="1080"/>
      <c r="W110" s="1110"/>
      <c r="X110" s="1080"/>
      <c r="Y110" s="1110"/>
      <c r="Z110" s="1080"/>
      <c r="AA110" s="1110"/>
      <c r="AB110" s="1080"/>
      <c r="AC110" s="1110"/>
      <c r="AD110" s="1080"/>
      <c r="AE110" s="1110"/>
      <c r="AF110" s="1080"/>
      <c r="AG110" s="1110"/>
      <c r="AH110" s="1080"/>
      <c r="AI110" s="1110"/>
      <c r="AJ110" s="1080"/>
      <c r="AK110" s="1110"/>
      <c r="AL110" s="1080"/>
    </row>
    <row r="111" spans="1:38" s="1058" customFormat="1" ht="18.75" customHeight="1">
      <c r="A111" s="1114"/>
      <c r="B111" s="1115" t="s">
        <v>1353</v>
      </c>
      <c r="C111" s="1070">
        <f t="shared" si="71"/>
        <v>17</v>
      </c>
      <c r="D111" s="1066">
        <f t="shared" si="61"/>
        <v>505430.40000000014</v>
      </c>
      <c r="E111" s="1070">
        <v>1</v>
      </c>
      <c r="F111" s="1071">
        <f>+(E111*2150*12)+(E111*2340*14%*12)</f>
        <v>29731.200000000001</v>
      </c>
      <c r="G111" s="1071">
        <v>1</v>
      </c>
      <c r="H111" s="1071">
        <f>+(G111*2150*12)+(G111*2340*14%*12)</f>
        <v>29731.200000000001</v>
      </c>
      <c r="I111" s="1071">
        <v>1</v>
      </c>
      <c r="J111" s="1071">
        <f>+(I111*2150*12)+(I111*2340*14%*12)</f>
        <v>29731.200000000001</v>
      </c>
      <c r="K111" s="1071">
        <v>1</v>
      </c>
      <c r="L111" s="1071">
        <f>+(K111*2150*12)+(K111*2340*14%*12)</f>
        <v>29731.200000000001</v>
      </c>
      <c r="M111" s="1071">
        <v>1</v>
      </c>
      <c r="N111" s="1071">
        <f>+(M111*2150*12)+(M111*2340*14%*12)</f>
        <v>29731.200000000001</v>
      </c>
      <c r="O111" s="1071">
        <v>1</v>
      </c>
      <c r="P111" s="1071">
        <f>+(O111*2150*12)+(O111*2340*14%*12)</f>
        <v>29731.200000000001</v>
      </c>
      <c r="Q111" s="1071">
        <v>1</v>
      </c>
      <c r="R111" s="1071">
        <f>+(Q111*2150*12)+(Q111*2340*14%*12)</f>
        <v>29731.200000000001</v>
      </c>
      <c r="S111" s="1071">
        <v>1</v>
      </c>
      <c r="T111" s="1071">
        <f>+(S111*2150*12)+(S111*2340*14%*12)</f>
        <v>29731.200000000001</v>
      </c>
      <c r="U111" s="1071">
        <v>1</v>
      </c>
      <c r="V111" s="1071">
        <f>+(U111*2150*12)+(U111*2340*14%*12)</f>
        <v>29731.200000000001</v>
      </c>
      <c r="W111" s="1071">
        <v>1</v>
      </c>
      <c r="X111" s="1071">
        <f>+(W111*2150*12)+(W111*2340*14%*12)</f>
        <v>29731.200000000001</v>
      </c>
      <c r="Y111" s="1071">
        <v>1</v>
      </c>
      <c r="Z111" s="1071">
        <f>+(Y111*2150*12)+(Y111*2340*14%*12)</f>
        <v>29731.200000000001</v>
      </c>
      <c r="AA111" s="1071">
        <v>1</v>
      </c>
      <c r="AB111" s="1071">
        <f>+(AA111*2150*12)+(AA111*2340*14%*12)</f>
        <v>29731.200000000001</v>
      </c>
      <c r="AC111" s="1071">
        <v>1</v>
      </c>
      <c r="AD111" s="1071">
        <f>+(AC111*2150*12)+(AC111*2340*14%*12)</f>
        <v>29731.200000000001</v>
      </c>
      <c r="AE111" s="1071">
        <v>1</v>
      </c>
      <c r="AF111" s="1071">
        <f>+(AE111*2150*12)+(AE111*2340*14%*12)</f>
        <v>29731.200000000001</v>
      </c>
      <c r="AG111" s="1071">
        <v>1</v>
      </c>
      <c r="AH111" s="1071">
        <f>+(AG111*2150*12)+(AG111*2340*14%*12)</f>
        <v>29731.200000000001</v>
      </c>
      <c r="AI111" s="1071">
        <v>1</v>
      </c>
      <c r="AJ111" s="1071">
        <f>+(AI111*2150*12)+(AI111*2340*14%*12)</f>
        <v>29731.200000000001</v>
      </c>
      <c r="AK111" s="1071">
        <v>1</v>
      </c>
      <c r="AL111" s="1071">
        <f>+(AK111*2150*12)+(AK111*2340*14%*12)</f>
        <v>29731.200000000001</v>
      </c>
    </row>
    <row r="112" spans="1:38" s="1058" customFormat="1" ht="19.5" customHeight="1">
      <c r="A112" s="1088"/>
      <c r="B112" s="1089" t="s">
        <v>629</v>
      </c>
      <c r="C112" s="1070">
        <f t="shared" si="71"/>
        <v>134</v>
      </c>
      <c r="D112" s="1066">
        <f t="shared" si="61"/>
        <v>2411276.4</v>
      </c>
      <c r="E112" s="1070">
        <v>7</v>
      </c>
      <c r="F112" s="1070">
        <f>(E112*0.58*2340*12)+(2*0.58*2340*2)</f>
        <v>119433.59999999999</v>
      </c>
      <c r="G112" s="1071">
        <v>8</v>
      </c>
      <c r="H112" s="1070">
        <f>(G112*0.58*2340*12)+(6*0.58*2340*2)</f>
        <v>146577.59999999998</v>
      </c>
      <c r="I112" s="1071">
        <v>8</v>
      </c>
      <c r="J112" s="1070">
        <f>(I112*0.58*2340*12)+(5*2340*4.5%*12)+(3*0.58*2340*2)</f>
        <v>144752.4</v>
      </c>
      <c r="K112" s="1071">
        <v>8</v>
      </c>
      <c r="L112" s="1070">
        <f>(K112*0.58*2340*12)+(5*0.58*2340*2)</f>
        <v>143863.19999999998</v>
      </c>
      <c r="M112" s="1071">
        <v>6</v>
      </c>
      <c r="N112" s="1070">
        <f>(M112*0.58*2340*12)+(4*0.58*2340*2)</f>
        <v>108576</v>
      </c>
      <c r="O112" s="1071">
        <v>5</v>
      </c>
      <c r="P112" s="1070">
        <f>(O112*0.58*2340*12)+(5*0.58*2340*2)</f>
        <v>95004</v>
      </c>
      <c r="Q112" s="1071">
        <v>9</v>
      </c>
      <c r="R112" s="1070">
        <f>(Q112*0.58*2340*12)+(3*0.58*2340*2)</f>
        <v>154720.79999999999</v>
      </c>
      <c r="S112" s="1071">
        <v>5</v>
      </c>
      <c r="T112" s="1070">
        <f>S112*0.58*2340*12</f>
        <v>81432</v>
      </c>
      <c r="U112" s="1071">
        <v>9</v>
      </c>
      <c r="V112" s="1070">
        <f>(U112*0.58*2340*12)+(6*0.58*2340*2)</f>
        <v>162863.99999999997</v>
      </c>
      <c r="W112" s="1071">
        <v>11</v>
      </c>
      <c r="X112" s="1070">
        <f>(W112*0.58*2340*12)+(8*0.58*2340*2)</f>
        <v>200865.59999999998</v>
      </c>
      <c r="Y112" s="1071">
        <v>10</v>
      </c>
      <c r="Z112" s="1070">
        <f>(Y112*0.58*2340*12)+(10*0.58*2340*2)</f>
        <v>190008</v>
      </c>
      <c r="AA112" s="1071">
        <v>9</v>
      </c>
      <c r="AB112" s="1070">
        <f>(AA112*0.58*2340*12)+(11*0.58*2340*2)</f>
        <v>176435.99999999997</v>
      </c>
      <c r="AC112" s="1071">
        <v>6</v>
      </c>
      <c r="AD112" s="1070">
        <f>(AC112*0.58*2340*12)+(5*0.58*2340*2)</f>
        <v>111290.4</v>
      </c>
      <c r="AE112" s="1071">
        <v>4</v>
      </c>
      <c r="AF112" s="1070">
        <f>(AE112*0.58*2340*12)+(2*0.58*2340*2)</f>
        <v>70574.399999999994</v>
      </c>
      <c r="AG112" s="1071">
        <v>11</v>
      </c>
      <c r="AH112" s="1070">
        <f>(AG112*0.58*2340*12)+(2*0.58*2340*2)</f>
        <v>184579.19999999998</v>
      </c>
      <c r="AI112" s="1071">
        <v>9</v>
      </c>
      <c r="AJ112" s="1070">
        <f>(AI112*0.58*2340*12)</f>
        <v>146577.59999999998</v>
      </c>
      <c r="AK112" s="1071">
        <v>9</v>
      </c>
      <c r="AL112" s="1070">
        <f>(AK112*0.58*2340*12)+(10*0.58*2340*2)</f>
        <v>173721.59999999998</v>
      </c>
    </row>
    <row r="113" spans="1:38" s="1058" customFormat="1" ht="19.5" customHeight="1">
      <c r="A113" s="996" t="s">
        <v>67</v>
      </c>
      <c r="B113" s="1103" t="s">
        <v>270</v>
      </c>
      <c r="C113" s="1070">
        <f t="shared" si="71"/>
        <v>0</v>
      </c>
      <c r="D113" s="1066">
        <f>+AL113+AJ113+AH113+AF113+AD113+Z113+AB113+X113+V113+T113+R113+P113+N113+L113+J113+H113+F113</f>
        <v>2306700</v>
      </c>
      <c r="E113" s="1066">
        <f>E114</f>
        <v>0</v>
      </c>
      <c r="F113" s="1066">
        <f>SUM(F114:F119)</f>
        <v>89300</v>
      </c>
      <c r="G113" s="1067">
        <f t="shared" ref="G113:AL113" si="74">SUM(G114:G119)</f>
        <v>0</v>
      </c>
      <c r="H113" s="1067">
        <f>SUM(H114:H119)</f>
        <v>193300</v>
      </c>
      <c r="I113" s="1067">
        <f t="shared" si="74"/>
        <v>0</v>
      </c>
      <c r="J113" s="1067">
        <f>SUM(J114:J119)</f>
        <v>162800</v>
      </c>
      <c r="K113" s="1067">
        <f t="shared" si="74"/>
        <v>0</v>
      </c>
      <c r="L113" s="1067">
        <f>SUM(L114:L119)</f>
        <v>163800</v>
      </c>
      <c r="M113" s="1067">
        <f t="shared" si="74"/>
        <v>0</v>
      </c>
      <c r="N113" s="1067">
        <f t="shared" si="74"/>
        <v>111400</v>
      </c>
      <c r="O113" s="1067">
        <f t="shared" si="74"/>
        <v>0</v>
      </c>
      <c r="P113" s="1067">
        <f t="shared" si="74"/>
        <v>107000</v>
      </c>
      <c r="Q113" s="1067">
        <f t="shared" si="74"/>
        <v>0</v>
      </c>
      <c r="R113" s="1067">
        <f t="shared" si="74"/>
        <v>98800</v>
      </c>
      <c r="S113" s="1067">
        <f t="shared" si="74"/>
        <v>0</v>
      </c>
      <c r="T113" s="1067">
        <f t="shared" si="74"/>
        <v>79500</v>
      </c>
      <c r="U113" s="1067">
        <f t="shared" si="74"/>
        <v>0</v>
      </c>
      <c r="V113" s="1067">
        <f t="shared" si="74"/>
        <v>180100</v>
      </c>
      <c r="W113" s="1067">
        <f t="shared" si="74"/>
        <v>0</v>
      </c>
      <c r="X113" s="1067">
        <f t="shared" si="74"/>
        <v>177500</v>
      </c>
      <c r="Y113" s="1067">
        <f>SUM(Y114:Y119)</f>
        <v>0</v>
      </c>
      <c r="Z113" s="1067">
        <f>SUM(Z114:Z119)</f>
        <v>170300</v>
      </c>
      <c r="AA113" s="1067">
        <f t="shared" si="74"/>
        <v>0</v>
      </c>
      <c r="AB113" s="1067">
        <f t="shared" si="74"/>
        <v>157800</v>
      </c>
      <c r="AC113" s="1067">
        <f t="shared" si="74"/>
        <v>0</v>
      </c>
      <c r="AD113" s="1067">
        <f>SUM(AD114:AD119)</f>
        <v>123500</v>
      </c>
      <c r="AE113" s="1067">
        <f t="shared" si="74"/>
        <v>0</v>
      </c>
      <c r="AF113" s="1067">
        <f t="shared" si="74"/>
        <v>102000</v>
      </c>
      <c r="AG113" s="1067">
        <f t="shared" si="74"/>
        <v>0</v>
      </c>
      <c r="AH113" s="1067">
        <f t="shared" si="74"/>
        <v>160300</v>
      </c>
      <c r="AI113" s="1067">
        <f t="shared" si="74"/>
        <v>0</v>
      </c>
      <c r="AJ113" s="1067">
        <f t="shared" si="74"/>
        <v>163000</v>
      </c>
      <c r="AK113" s="1067">
        <f t="shared" si="74"/>
        <v>0</v>
      </c>
      <c r="AL113" s="1067">
        <f t="shared" si="74"/>
        <v>66300</v>
      </c>
    </row>
    <row r="114" spans="1:38" ht="19.5" customHeight="1">
      <c r="A114" s="998">
        <v>1</v>
      </c>
      <c r="B114" s="1116" t="s">
        <v>271</v>
      </c>
      <c r="C114" s="1077">
        <f t="shared" si="71"/>
        <v>0</v>
      </c>
      <c r="D114" s="1078">
        <f>+AL114+AJ114+AH114+AF114+AD114+Z114+AB114+X114+V114+T114+R114+P114+N114+L114+J114+H114+F114</f>
        <v>425000</v>
      </c>
      <c r="E114" s="1078"/>
      <c r="F114" s="1078">
        <v>25000</v>
      </c>
      <c r="G114" s="1079"/>
      <c r="H114" s="1079">
        <v>25000</v>
      </c>
      <c r="I114" s="1079"/>
      <c r="J114" s="1079">
        <v>25000</v>
      </c>
      <c r="K114" s="1079"/>
      <c r="L114" s="1079">
        <v>25000</v>
      </c>
      <c r="M114" s="1079"/>
      <c r="N114" s="1079">
        <v>25000</v>
      </c>
      <c r="O114" s="1079"/>
      <c r="P114" s="1079">
        <v>25000</v>
      </c>
      <c r="Q114" s="1079"/>
      <c r="R114" s="1079">
        <v>25000</v>
      </c>
      <c r="S114" s="1079"/>
      <c r="T114" s="1079">
        <v>25000</v>
      </c>
      <c r="U114" s="1080"/>
      <c r="V114" s="1079">
        <v>25000</v>
      </c>
      <c r="W114" s="1080"/>
      <c r="X114" s="1079">
        <v>25000</v>
      </c>
      <c r="Y114" s="1080"/>
      <c r="Z114" s="1079">
        <v>25000</v>
      </c>
      <c r="AA114" s="1080"/>
      <c r="AB114" s="1079">
        <v>25000</v>
      </c>
      <c r="AC114" s="1080"/>
      <c r="AD114" s="1079">
        <v>25000</v>
      </c>
      <c r="AE114" s="1079"/>
      <c r="AF114" s="1079">
        <v>25000</v>
      </c>
      <c r="AG114" s="1079"/>
      <c r="AH114" s="1079">
        <v>25000</v>
      </c>
      <c r="AI114" s="1079"/>
      <c r="AJ114" s="1079">
        <v>25000</v>
      </c>
      <c r="AK114" s="1080"/>
      <c r="AL114" s="1079">
        <v>25000</v>
      </c>
    </row>
    <row r="115" spans="1:38" ht="18.75" customHeight="1">
      <c r="A115" s="998">
        <v>2</v>
      </c>
      <c r="B115" s="999" t="s">
        <v>418</v>
      </c>
      <c r="C115" s="1077">
        <f t="shared" si="71"/>
        <v>0</v>
      </c>
      <c r="D115" s="1078">
        <f>+AL115+AJ115+AH115+AF115+AD115+Z115+AB115+X115+V115+T115+R115+P115+N115+L115+J115+H115+F115</f>
        <v>421700</v>
      </c>
      <c r="E115" s="1078"/>
      <c r="F115" s="1078">
        <f>'[3]6a'!D70</f>
        <v>18500</v>
      </c>
      <c r="G115" s="1079"/>
      <c r="H115" s="1079">
        <f>'[3]6a'!D118</f>
        <v>27500</v>
      </c>
      <c r="I115" s="1079"/>
      <c r="J115" s="1079">
        <f>'[3]6a'!D80</f>
        <v>41700</v>
      </c>
      <c r="K115" s="1079"/>
      <c r="L115" s="1079">
        <f>'[3]6a'!D56</f>
        <v>15200</v>
      </c>
      <c r="M115" s="1079"/>
      <c r="N115" s="1079">
        <f>'[3]6a'!D60</f>
        <v>15800</v>
      </c>
      <c r="O115" s="1079"/>
      <c r="P115" s="1079">
        <f>'[3]6a'!D93</f>
        <v>30800</v>
      </c>
      <c r="Q115" s="1079"/>
      <c r="R115" s="1079">
        <f>'[3]6a'!D137</f>
        <v>9000</v>
      </c>
      <c r="S115" s="1079"/>
      <c r="T115" s="1079">
        <f>'[3]6a'!D134</f>
        <v>12000</v>
      </c>
      <c r="U115" s="1080"/>
      <c r="V115" s="1079">
        <f>'[3]6a'!D75</f>
        <v>30000</v>
      </c>
      <c r="W115" s="1080"/>
      <c r="X115" s="1079">
        <f>'[3]6a'!D98</f>
        <v>38400</v>
      </c>
      <c r="Y115" s="1080"/>
      <c r="Z115" s="1079">
        <f>'[3]6a'!D106</f>
        <v>53600</v>
      </c>
      <c r="AA115" s="1080"/>
      <c r="AB115" s="1079">
        <f>'[3]6a'!D127</f>
        <v>24300</v>
      </c>
      <c r="AC115" s="1080"/>
      <c r="AD115" s="1079">
        <f>'[3]6a'!D64</f>
        <v>16400</v>
      </c>
      <c r="AE115" s="1079"/>
      <c r="AF115" s="1079">
        <f>'[3]6a'!D114</f>
        <v>12000</v>
      </c>
      <c r="AG115" s="1079"/>
      <c r="AH115" s="1079">
        <f>'[3]6a'!D47</f>
        <v>45000</v>
      </c>
      <c r="AI115" s="1079"/>
      <c r="AJ115" s="1079">
        <f>'[3]6a'!D89</f>
        <v>24000</v>
      </c>
      <c r="AK115" s="1080"/>
      <c r="AL115" s="1079">
        <f>'[3]6a'!D53</f>
        <v>7500</v>
      </c>
    </row>
    <row r="116" spans="1:38" ht="39.75" customHeight="1">
      <c r="A116" s="998">
        <v>3</v>
      </c>
      <c r="B116" s="1116" t="s">
        <v>1454</v>
      </c>
      <c r="C116" s="1077">
        <f t="shared" si="71"/>
        <v>0</v>
      </c>
      <c r="D116" s="1078">
        <f>+AL116+AJ116+AH116+AF116+AD116+Z116+AB116+X116+V116+T116+R116+P116+N116+L116+J116+H116+F116</f>
        <v>1460000</v>
      </c>
      <c r="E116" s="1078"/>
      <c r="F116" s="1078">
        <v>45800</v>
      </c>
      <c r="G116" s="1079"/>
      <c r="H116" s="1079">
        <v>140800</v>
      </c>
      <c r="I116" s="1079"/>
      <c r="J116" s="1079">
        <v>96100</v>
      </c>
      <c r="K116" s="1079"/>
      <c r="L116" s="1079">
        <v>123600</v>
      </c>
      <c r="M116" s="1079"/>
      <c r="N116" s="1079">
        <v>70600</v>
      </c>
      <c r="O116" s="1079"/>
      <c r="P116" s="1079">
        <v>51200</v>
      </c>
      <c r="Q116" s="1079"/>
      <c r="R116" s="1079">
        <v>64800</v>
      </c>
      <c r="S116" s="1079"/>
      <c r="T116" s="1079">
        <v>42500</v>
      </c>
      <c r="U116" s="1080"/>
      <c r="V116" s="1079">
        <v>125100</v>
      </c>
      <c r="W116" s="1080"/>
      <c r="X116" s="1079">
        <v>114100</v>
      </c>
      <c r="Y116" s="1080"/>
      <c r="Z116" s="1079">
        <v>91700</v>
      </c>
      <c r="AA116" s="1080"/>
      <c r="AB116" s="1079">
        <v>108500</v>
      </c>
      <c r="AC116" s="1080"/>
      <c r="AD116" s="1079">
        <v>82100</v>
      </c>
      <c r="AE116" s="1079"/>
      <c r="AF116" s="1079">
        <v>65000</v>
      </c>
      <c r="AG116" s="1079"/>
      <c r="AH116" s="1079">
        <v>90300</v>
      </c>
      <c r="AI116" s="1079"/>
      <c r="AJ116" s="1079">
        <v>114000</v>
      </c>
      <c r="AK116" s="1080"/>
      <c r="AL116" s="1079">
        <v>33800</v>
      </c>
    </row>
    <row r="117" spans="1:38" s="1117" customFormat="1" ht="34.5" customHeight="1">
      <c r="A117" s="998">
        <v>4</v>
      </c>
      <c r="B117" s="999" t="s">
        <v>349</v>
      </c>
      <c r="C117" s="1077">
        <f t="shared" si="71"/>
        <v>0</v>
      </c>
      <c r="D117" s="1078">
        <f t="shared" si="61"/>
        <v>0</v>
      </c>
      <c r="E117" s="1078"/>
      <c r="F117" s="1078"/>
      <c r="G117" s="1079"/>
      <c r="H117" s="1079"/>
      <c r="I117" s="1079"/>
      <c r="J117" s="1079"/>
      <c r="K117" s="1079"/>
      <c r="L117" s="1079"/>
      <c r="M117" s="1079"/>
      <c r="N117" s="1079"/>
      <c r="O117" s="1079"/>
      <c r="P117" s="1079"/>
      <c r="Q117" s="1079"/>
      <c r="R117" s="1079"/>
      <c r="S117" s="1079"/>
      <c r="T117" s="1079"/>
      <c r="U117" s="1080"/>
      <c r="V117" s="1079"/>
      <c r="W117" s="1080"/>
      <c r="X117" s="1079"/>
      <c r="Y117" s="1080"/>
      <c r="Z117" s="1079"/>
      <c r="AA117" s="1080"/>
      <c r="AB117" s="1079"/>
      <c r="AC117" s="1080"/>
      <c r="AD117" s="1079"/>
      <c r="AE117" s="1079"/>
      <c r="AF117" s="1079"/>
      <c r="AG117" s="1079"/>
      <c r="AH117" s="1079"/>
      <c r="AI117" s="1079"/>
      <c r="AJ117" s="1079"/>
      <c r="AK117" s="1080"/>
      <c r="AL117" s="1079"/>
    </row>
    <row r="118" spans="1:38" s="1117" customFormat="1" ht="18.75" customHeight="1">
      <c r="A118" s="998">
        <v>5</v>
      </c>
      <c r="B118" s="999" t="s">
        <v>202</v>
      </c>
      <c r="C118" s="1077">
        <f t="shared" si="71"/>
        <v>0</v>
      </c>
      <c r="D118" s="1078">
        <f t="shared" si="61"/>
        <v>0</v>
      </c>
      <c r="E118" s="1078"/>
      <c r="F118" s="1078"/>
      <c r="G118" s="1079"/>
      <c r="H118" s="1079"/>
      <c r="I118" s="1079"/>
      <c r="J118" s="1079"/>
      <c r="K118" s="1079"/>
      <c r="L118" s="1079"/>
      <c r="M118" s="1079"/>
      <c r="N118" s="1079"/>
      <c r="O118" s="1079"/>
      <c r="P118" s="1079"/>
      <c r="Q118" s="1079"/>
      <c r="R118" s="1079"/>
      <c r="S118" s="1079"/>
      <c r="T118" s="1079"/>
      <c r="U118" s="1080"/>
      <c r="V118" s="1079"/>
      <c r="W118" s="1080"/>
      <c r="X118" s="1079"/>
      <c r="Y118" s="1080"/>
      <c r="Z118" s="1079"/>
      <c r="AA118" s="1080"/>
      <c r="AB118" s="1079"/>
      <c r="AC118" s="1080"/>
      <c r="AD118" s="1079"/>
      <c r="AE118" s="1079"/>
      <c r="AF118" s="1079"/>
      <c r="AG118" s="1079"/>
      <c r="AH118" s="1079"/>
      <c r="AI118" s="1079"/>
      <c r="AJ118" s="1079"/>
      <c r="AK118" s="1080"/>
      <c r="AL118" s="1079"/>
    </row>
    <row r="119" spans="1:38" s="1117" customFormat="1" ht="18.75" customHeight="1">
      <c r="A119" s="998">
        <v>6</v>
      </c>
      <c r="B119" s="999" t="s">
        <v>493</v>
      </c>
      <c r="C119" s="1077"/>
      <c r="D119" s="1078">
        <f t="shared" si="61"/>
        <v>0</v>
      </c>
      <c r="E119" s="1078"/>
      <c r="F119" s="1078"/>
      <c r="G119" s="1079"/>
      <c r="H119" s="1079"/>
      <c r="I119" s="1079"/>
      <c r="J119" s="1079"/>
      <c r="K119" s="1079"/>
      <c r="L119" s="1079"/>
      <c r="M119" s="1079"/>
      <c r="N119" s="1079"/>
      <c r="O119" s="1079"/>
      <c r="P119" s="1079"/>
      <c r="Q119" s="1079"/>
      <c r="R119" s="1079"/>
      <c r="S119" s="1079"/>
      <c r="T119" s="1079"/>
      <c r="U119" s="1080"/>
      <c r="V119" s="1079"/>
      <c r="W119" s="1080"/>
      <c r="X119" s="1079"/>
      <c r="Y119" s="1080"/>
      <c r="Z119" s="1079"/>
      <c r="AA119" s="1080"/>
      <c r="AB119" s="1079"/>
      <c r="AC119" s="1080"/>
      <c r="AD119" s="1079"/>
      <c r="AE119" s="1079"/>
      <c r="AF119" s="1079"/>
      <c r="AG119" s="1079"/>
      <c r="AH119" s="1079"/>
      <c r="AI119" s="1079"/>
      <c r="AJ119" s="1079"/>
      <c r="AK119" s="1080"/>
      <c r="AL119" s="1079"/>
    </row>
    <row r="120" spans="1:38" s="1118" customFormat="1" ht="18" customHeight="1">
      <c r="A120" s="996" t="s">
        <v>168</v>
      </c>
      <c r="B120" s="1103" t="s">
        <v>268</v>
      </c>
      <c r="C120" s="1070">
        <f t="shared" ref="C120:C125" si="75">+E120+G120+I120+K120+M120+O120+Q120+S120+U120+W120+AA120+Y120+AC120+AE120+AG120+AI120+AK120</f>
        <v>0</v>
      </c>
      <c r="D120" s="1066">
        <f t="shared" si="61"/>
        <v>270000</v>
      </c>
      <c r="E120" s="1066"/>
      <c r="F120" s="1067">
        <v>30000</v>
      </c>
      <c r="G120" s="1067"/>
      <c r="H120" s="1067">
        <v>30000</v>
      </c>
      <c r="I120" s="1067"/>
      <c r="J120" s="1067">
        <v>10000</v>
      </c>
      <c r="K120" s="1067">
        <v>0</v>
      </c>
      <c r="L120" s="1067">
        <v>10000</v>
      </c>
      <c r="M120" s="1067">
        <v>0</v>
      </c>
      <c r="N120" s="1067">
        <v>10000</v>
      </c>
      <c r="O120" s="1067">
        <v>0</v>
      </c>
      <c r="P120" s="1067">
        <v>10000</v>
      </c>
      <c r="Q120" s="1067">
        <v>0</v>
      </c>
      <c r="R120" s="1067">
        <v>10000</v>
      </c>
      <c r="S120" s="1067">
        <v>0</v>
      </c>
      <c r="T120" s="1067">
        <v>10000</v>
      </c>
      <c r="U120" s="1067">
        <v>0</v>
      </c>
      <c r="V120" s="1067">
        <v>30000</v>
      </c>
      <c r="W120" s="1067">
        <v>0</v>
      </c>
      <c r="X120" s="1067">
        <v>10000</v>
      </c>
      <c r="Y120" s="1067">
        <v>0</v>
      </c>
      <c r="Z120" s="1067">
        <v>30000</v>
      </c>
      <c r="AA120" s="1067">
        <v>0</v>
      </c>
      <c r="AB120" s="1067">
        <v>30000</v>
      </c>
      <c r="AC120" s="1067">
        <v>0</v>
      </c>
      <c r="AD120" s="1067">
        <v>10000</v>
      </c>
      <c r="AE120" s="1067">
        <v>0</v>
      </c>
      <c r="AF120" s="1067">
        <v>10000</v>
      </c>
      <c r="AG120" s="1067">
        <v>0</v>
      </c>
      <c r="AH120" s="1067">
        <v>10000</v>
      </c>
      <c r="AI120" s="1067">
        <v>0</v>
      </c>
      <c r="AJ120" s="1067">
        <v>10000</v>
      </c>
      <c r="AK120" s="1067">
        <v>0</v>
      </c>
      <c r="AL120" s="1067">
        <v>10000</v>
      </c>
    </row>
    <row r="121" spans="1:38" s="1062" customFormat="1" ht="18.75" customHeight="1">
      <c r="A121" s="996"/>
      <c r="B121" s="1103" t="s">
        <v>170</v>
      </c>
      <c r="C121" s="1070">
        <f t="shared" si="75"/>
        <v>706</v>
      </c>
      <c r="D121" s="1066">
        <f t="shared" si="61"/>
        <v>113893849.472</v>
      </c>
      <c r="E121" s="1066"/>
      <c r="F121" s="1066">
        <f>F8+F55+F56+F57+F71+F113+F120</f>
        <v>6788357.7960000001</v>
      </c>
      <c r="G121" s="1067"/>
      <c r="H121" s="1067">
        <f>H8+H55+H56+H57+H71+H113+H120</f>
        <v>6438566.5760000004</v>
      </c>
      <c r="I121" s="1067"/>
      <c r="J121" s="1067">
        <f>J8+J55+J56+J57+J71+J113+J120</f>
        <v>6173350.4479999999</v>
      </c>
      <c r="K121" s="1067">
        <f>K8+K55+K56+K57+K71+K113+K120</f>
        <v>371</v>
      </c>
      <c r="L121" s="1067">
        <f>L8+L55+L56+L57+L71+L113+L120</f>
        <v>6684108.0039999988</v>
      </c>
      <c r="M121" s="1067"/>
      <c r="N121" s="1067">
        <f>N8+N55+N56+N57+N71+N113+N120</f>
        <v>6061163.4879999999</v>
      </c>
      <c r="O121" s="1067"/>
      <c r="P121" s="1067">
        <f>P8+P55+P56+P57+P71+P113+P120</f>
        <v>6297958.1679999996</v>
      </c>
      <c r="Q121" s="1067"/>
      <c r="R121" s="1067">
        <f>R8+R55+R56+R57+R71+R113+R120</f>
        <v>6713647.9480000008</v>
      </c>
      <c r="S121" s="1067"/>
      <c r="T121" s="1067">
        <f>T8+T55+T56+T57+T71+T113+T120</f>
        <v>6031312.1880000001</v>
      </c>
      <c r="U121" s="1067"/>
      <c r="V121" s="1067">
        <f>V8+V55+V56+V57+V71+V113+V120</f>
        <v>7098400.0720000006</v>
      </c>
      <c r="W121" s="1067"/>
      <c r="X121" s="1067">
        <f>X8+X55+X56+X57+X71+X113+X120</f>
        <v>7761670.7000000002</v>
      </c>
      <c r="Y121" s="1067"/>
      <c r="Z121" s="1067">
        <f>Z8+Z55+Z56+Z57+Z71+Z113+Z120</f>
        <v>7724427.2000000011</v>
      </c>
      <c r="AA121" s="1067"/>
      <c r="AB121" s="1067">
        <f>AB8+AB55+AB56+AB57+AB71+AB113+AB120</f>
        <v>7707485.0480000004</v>
      </c>
      <c r="AC121" s="1067">
        <f>AC8+AC55+AC56+AC57+AC71+AC113+AC120</f>
        <v>335</v>
      </c>
      <c r="AD121" s="1067">
        <f>AD8+AD55+AD56+AD57+AD71+AD113+AD120</f>
        <v>6081584.3839999996</v>
      </c>
      <c r="AE121" s="1067"/>
      <c r="AF121" s="1067">
        <f>AF8+AF55+AF56+AF57+AF71+AF113+AF120</f>
        <v>6246621.4560000002</v>
      </c>
      <c r="AG121" s="1067"/>
      <c r="AH121" s="1067">
        <f>AH8+AH55+AH56+AH57+AH71+AH113+AH120</f>
        <v>7141111.987999999</v>
      </c>
      <c r="AI121" s="1067"/>
      <c r="AJ121" s="1067">
        <f>AJ8+AJ55+AJ56+AJ57+AJ71+AJ113+AJ120</f>
        <v>6203214.1599999992</v>
      </c>
      <c r="AK121" s="1067"/>
      <c r="AL121" s="1067">
        <f>AL8+AL55+AL56+AL57+AL71+AL113+AL120</f>
        <v>6740869.8480000002</v>
      </c>
    </row>
    <row r="122" spans="1:38" s="1123" customFormat="1" ht="26.25" customHeight="1">
      <c r="A122" s="1119" t="s">
        <v>168</v>
      </c>
      <c r="B122" s="1120" t="s">
        <v>345</v>
      </c>
      <c r="C122" s="1121">
        <f t="shared" si="75"/>
        <v>0</v>
      </c>
      <c r="D122" s="1122">
        <f t="shared" si="61"/>
        <v>570500</v>
      </c>
      <c r="E122" s="1122"/>
      <c r="F122" s="1122">
        <f>ROUNDUP(F121*0.5%,-2)</f>
        <v>34000</v>
      </c>
      <c r="G122" s="1122"/>
      <c r="H122" s="1122">
        <f>ROUNDUP(H121*0.5%,-2)</f>
        <v>32200</v>
      </c>
      <c r="I122" s="1122"/>
      <c r="J122" s="1122">
        <f>ROUNDUP(J121*0.5%,-2)</f>
        <v>30900</v>
      </c>
      <c r="K122" s="1122"/>
      <c r="L122" s="1122">
        <f>ROUNDUP(L121*0.5%,-2)</f>
        <v>33500</v>
      </c>
      <c r="M122" s="1122"/>
      <c r="N122" s="1122">
        <f>ROUNDUP(N121*0.5%,-2)</f>
        <v>30400</v>
      </c>
      <c r="O122" s="1122"/>
      <c r="P122" s="1122">
        <f>ROUNDUP(P121*0.5%,-2)</f>
        <v>31500</v>
      </c>
      <c r="Q122" s="1122"/>
      <c r="R122" s="1122">
        <f>ROUNDUP(R121*0.5%,-2)</f>
        <v>33600</v>
      </c>
      <c r="S122" s="1122"/>
      <c r="T122" s="1122">
        <f>ROUNDUP(T121*0.5%,-2)</f>
        <v>30200</v>
      </c>
      <c r="U122" s="1122"/>
      <c r="V122" s="1122">
        <f>ROUNDUP(V121*0.5%,-2)</f>
        <v>35500</v>
      </c>
      <c r="W122" s="1122"/>
      <c r="X122" s="1122">
        <f>ROUNDUP(X121*0.5%,-2)</f>
        <v>38900</v>
      </c>
      <c r="Y122" s="1122"/>
      <c r="Z122" s="1122">
        <f>ROUNDUP(Z121*0.5%,-2)</f>
        <v>38700</v>
      </c>
      <c r="AA122" s="1122"/>
      <c r="AB122" s="1122">
        <f>ROUNDUP(AB121*0.5%,-2)</f>
        <v>38600</v>
      </c>
      <c r="AC122" s="1122"/>
      <c r="AD122" s="1122">
        <f>ROUNDUP(AD121*0.5%,-2)</f>
        <v>30500</v>
      </c>
      <c r="AE122" s="1122"/>
      <c r="AF122" s="1122">
        <f>ROUNDUP(AF121*0.5%,-2)</f>
        <v>31300</v>
      </c>
      <c r="AG122" s="1122"/>
      <c r="AH122" s="1122">
        <f>ROUNDUP(AH121*0.5%,-2)</f>
        <v>35800</v>
      </c>
      <c r="AI122" s="1122"/>
      <c r="AJ122" s="1122">
        <f>ROUNDUP(AJ121*0.5%,-2)</f>
        <v>31100</v>
      </c>
      <c r="AK122" s="1122"/>
      <c r="AL122" s="1122">
        <f>ROUNDUP(AL121*0.5%,-2)</f>
        <v>33800</v>
      </c>
    </row>
    <row r="123" spans="1:38" s="1062" customFormat="1" ht="26.25" customHeight="1">
      <c r="A123" s="996" t="s">
        <v>169</v>
      </c>
      <c r="B123" s="1103" t="s">
        <v>186</v>
      </c>
      <c r="C123" s="1070">
        <f t="shared" si="75"/>
        <v>0</v>
      </c>
      <c r="D123" s="1066">
        <f t="shared" si="61"/>
        <v>2290100</v>
      </c>
      <c r="E123" s="1070">
        <f t="shared" ref="E123:AJ123" si="76">E124</f>
        <v>0</v>
      </c>
      <c r="F123" s="1070">
        <f t="shared" si="76"/>
        <v>136500</v>
      </c>
      <c r="G123" s="1071"/>
      <c r="H123" s="1071">
        <f t="shared" si="76"/>
        <v>129500</v>
      </c>
      <c r="I123" s="1071"/>
      <c r="J123" s="1071">
        <f>J124</f>
        <v>124100</v>
      </c>
      <c r="K123" s="1071"/>
      <c r="L123" s="1071">
        <f t="shared" si="76"/>
        <v>134400</v>
      </c>
      <c r="M123" s="1071"/>
      <c r="N123" s="1071">
        <f t="shared" si="76"/>
        <v>121900</v>
      </c>
      <c r="O123" s="1071"/>
      <c r="P123" s="1071">
        <f t="shared" si="76"/>
        <v>126600</v>
      </c>
      <c r="Q123" s="1071"/>
      <c r="R123" s="1071">
        <f t="shared" si="76"/>
        <v>135000</v>
      </c>
      <c r="S123" s="1071"/>
      <c r="T123" s="1071">
        <f t="shared" si="76"/>
        <v>121300</v>
      </c>
      <c r="U123" s="1071"/>
      <c r="V123" s="1071">
        <f t="shared" si="76"/>
        <v>142700</v>
      </c>
      <c r="W123" s="1071"/>
      <c r="X123" s="1071">
        <f t="shared" si="76"/>
        <v>156100</v>
      </c>
      <c r="Y123" s="1071"/>
      <c r="Z123" s="1071">
        <f>Z124</f>
        <v>155300</v>
      </c>
      <c r="AA123" s="1071"/>
      <c r="AB123" s="1071">
        <f t="shared" si="76"/>
        <v>155000</v>
      </c>
      <c r="AC123" s="1071"/>
      <c r="AD123" s="1071">
        <f t="shared" ref="AD123" si="77">AD124</f>
        <v>122300</v>
      </c>
      <c r="AE123" s="1071"/>
      <c r="AF123" s="1071">
        <f t="shared" si="76"/>
        <v>125600</v>
      </c>
      <c r="AG123" s="1071"/>
      <c r="AH123" s="1071">
        <f t="shared" si="76"/>
        <v>143600</v>
      </c>
      <c r="AI123" s="1071"/>
      <c r="AJ123" s="1071">
        <f t="shared" si="76"/>
        <v>124700</v>
      </c>
      <c r="AK123" s="1071"/>
      <c r="AL123" s="1071">
        <f>AL124</f>
        <v>135500</v>
      </c>
    </row>
    <row r="124" spans="1:38" s="1117" customFormat="1" ht="36.75" customHeight="1">
      <c r="A124" s="998" t="s">
        <v>72</v>
      </c>
      <c r="B124" s="1116" t="s">
        <v>324</v>
      </c>
      <c r="C124" s="1077">
        <f t="shared" si="75"/>
        <v>0</v>
      </c>
      <c r="D124" s="1078">
        <f>+AL124+AJ124+AH124+AF124+AD124+Z124+AB124+X124+V124+T124+R124+P124+N124+L124+J124+H124+F124</f>
        <v>2290100</v>
      </c>
      <c r="E124" s="1078"/>
      <c r="F124" s="1078">
        <f>ROUNDUP((F121+F122)*2%,-2)</f>
        <v>136500</v>
      </c>
      <c r="G124" s="1079"/>
      <c r="H124" s="1078">
        <f>ROUNDUP((H121+H122)*2%,-2)</f>
        <v>129500</v>
      </c>
      <c r="I124" s="1079"/>
      <c r="J124" s="1078">
        <f>ROUNDUP((J121+J122)*2%,-2)</f>
        <v>124100</v>
      </c>
      <c r="K124" s="1079"/>
      <c r="L124" s="1078">
        <f>ROUNDUP((L121+L122)*2%,-2)</f>
        <v>134400</v>
      </c>
      <c r="M124" s="1079"/>
      <c r="N124" s="1078">
        <f>ROUNDUP((N121+N122)*2%,-2)</f>
        <v>121900</v>
      </c>
      <c r="O124" s="1079"/>
      <c r="P124" s="1078">
        <f>ROUNDUP((P121+P122)*2%,-2)</f>
        <v>126600</v>
      </c>
      <c r="Q124" s="1079"/>
      <c r="R124" s="1078">
        <f>ROUNDUP((R121+R122)*2%,-2)</f>
        <v>135000</v>
      </c>
      <c r="S124" s="1079"/>
      <c r="T124" s="1078">
        <f>ROUNDUP((T121+T122)*2%,-2)</f>
        <v>121300</v>
      </c>
      <c r="U124" s="1079"/>
      <c r="V124" s="1078">
        <f>ROUNDUP((V121+V122)*2%,-2)</f>
        <v>142700</v>
      </c>
      <c r="W124" s="1079"/>
      <c r="X124" s="1078">
        <f>ROUNDUP((X121+X122)*2%,-2)</f>
        <v>156100</v>
      </c>
      <c r="Y124" s="1079"/>
      <c r="Z124" s="1078">
        <f>ROUNDUP((Z121+Z122)*2%,-2)</f>
        <v>155300</v>
      </c>
      <c r="AA124" s="1079"/>
      <c r="AB124" s="1078">
        <f>ROUNDUP((AB121+AB122)*2%,-2)</f>
        <v>155000</v>
      </c>
      <c r="AC124" s="1079"/>
      <c r="AD124" s="1078">
        <f>ROUNDUP((AD121+AD122)*2%,-2)</f>
        <v>122300</v>
      </c>
      <c r="AE124" s="1079"/>
      <c r="AF124" s="1078">
        <f>ROUNDUP((AF121+AF122)*2%,-2)</f>
        <v>125600</v>
      </c>
      <c r="AG124" s="1079"/>
      <c r="AH124" s="1078">
        <f>ROUNDUP((AH121+AH122)*2%,-2)</f>
        <v>143600</v>
      </c>
      <c r="AI124" s="1079"/>
      <c r="AJ124" s="1078">
        <f>ROUNDUP((AJ121+AJ122)*2%,-2)</f>
        <v>124700</v>
      </c>
      <c r="AK124" s="1079"/>
      <c r="AL124" s="1078">
        <f>ROUNDUP((AL121+AL122)*2%,-2)</f>
        <v>135500</v>
      </c>
    </row>
    <row r="125" spans="1:38" s="1062" customFormat="1" ht="26.25" customHeight="1">
      <c r="A125" s="996"/>
      <c r="B125" s="1103" t="s">
        <v>171</v>
      </c>
      <c r="C125" s="1070">
        <f t="shared" si="75"/>
        <v>706</v>
      </c>
      <c r="D125" s="1066">
        <f t="shared" si="61"/>
        <v>116754449.472</v>
      </c>
      <c r="E125" s="1066">
        <f t="shared" ref="E125:AL125" si="78">E121+E122+E123</f>
        <v>0</v>
      </c>
      <c r="F125" s="1066">
        <f t="shared" si="78"/>
        <v>6958857.7960000001</v>
      </c>
      <c r="G125" s="1067">
        <f t="shared" si="78"/>
        <v>0</v>
      </c>
      <c r="H125" s="1067">
        <f t="shared" si="78"/>
        <v>6600266.5760000004</v>
      </c>
      <c r="I125" s="1067">
        <f t="shared" si="78"/>
        <v>0</v>
      </c>
      <c r="J125" s="1067">
        <f t="shared" si="78"/>
        <v>6328350.4479999999</v>
      </c>
      <c r="K125" s="1067">
        <f t="shared" si="78"/>
        <v>371</v>
      </c>
      <c r="L125" s="1067">
        <f t="shared" si="78"/>
        <v>6852008.0039999988</v>
      </c>
      <c r="M125" s="1067">
        <f t="shared" si="78"/>
        <v>0</v>
      </c>
      <c r="N125" s="1067">
        <f t="shared" si="78"/>
        <v>6213463.4879999999</v>
      </c>
      <c r="O125" s="1067">
        <f t="shared" si="78"/>
        <v>0</v>
      </c>
      <c r="P125" s="1067">
        <f t="shared" si="78"/>
        <v>6456058.1679999996</v>
      </c>
      <c r="Q125" s="1067">
        <f t="shared" si="78"/>
        <v>0</v>
      </c>
      <c r="R125" s="1067">
        <f t="shared" si="78"/>
        <v>6882247.9480000008</v>
      </c>
      <c r="S125" s="1067">
        <f t="shared" si="78"/>
        <v>0</v>
      </c>
      <c r="T125" s="1067">
        <f t="shared" si="78"/>
        <v>6182812.1880000001</v>
      </c>
      <c r="U125" s="1067">
        <f t="shared" si="78"/>
        <v>0</v>
      </c>
      <c r="V125" s="1067">
        <f t="shared" si="78"/>
        <v>7276600.0720000006</v>
      </c>
      <c r="W125" s="1067">
        <f t="shared" si="78"/>
        <v>0</v>
      </c>
      <c r="X125" s="1067">
        <f t="shared" si="78"/>
        <v>7956670.7000000002</v>
      </c>
      <c r="Y125" s="1067">
        <f t="shared" si="78"/>
        <v>0</v>
      </c>
      <c r="Z125" s="1067">
        <f t="shared" si="78"/>
        <v>7918427.2000000011</v>
      </c>
      <c r="AA125" s="1067">
        <f t="shared" si="78"/>
        <v>0</v>
      </c>
      <c r="AB125" s="1067">
        <f t="shared" si="78"/>
        <v>7901085.0480000004</v>
      </c>
      <c r="AC125" s="1067">
        <f t="shared" si="78"/>
        <v>335</v>
      </c>
      <c r="AD125" s="1067">
        <f t="shared" si="78"/>
        <v>6234384.3839999996</v>
      </c>
      <c r="AE125" s="1067">
        <f t="shared" si="78"/>
        <v>0</v>
      </c>
      <c r="AF125" s="1067">
        <f t="shared" si="78"/>
        <v>6403521.4560000002</v>
      </c>
      <c r="AG125" s="1067">
        <f t="shared" si="78"/>
        <v>0</v>
      </c>
      <c r="AH125" s="1067">
        <f t="shared" si="78"/>
        <v>7320511.987999999</v>
      </c>
      <c r="AI125" s="1067">
        <f t="shared" si="78"/>
        <v>0</v>
      </c>
      <c r="AJ125" s="1067">
        <f t="shared" si="78"/>
        <v>6359014.1599999992</v>
      </c>
      <c r="AK125" s="1067">
        <f t="shared" si="78"/>
        <v>0</v>
      </c>
      <c r="AL125" s="1067">
        <f t="shared" si="78"/>
        <v>6910169.8480000002</v>
      </c>
    </row>
    <row r="126" spans="1:38" s="1058" customFormat="1" ht="39" customHeight="1">
      <c r="A126" s="996" t="s">
        <v>37</v>
      </c>
      <c r="B126" s="997" t="s">
        <v>218</v>
      </c>
      <c r="C126" s="1066"/>
      <c r="D126" s="1066">
        <f>+D127+D138+D150</f>
        <v>53168890</v>
      </c>
      <c r="E126" s="1066">
        <f>+E127+E138</f>
        <v>0</v>
      </c>
      <c r="F126" s="1066">
        <f>+F127+F138+F150</f>
        <v>4805780</v>
      </c>
      <c r="G126" s="1067">
        <f>+G127+G138</f>
        <v>0</v>
      </c>
      <c r="H126" s="1066">
        <f>+H127+H138+H150</f>
        <v>3952540</v>
      </c>
      <c r="I126" s="1067">
        <f>+I127+I138</f>
        <v>0</v>
      </c>
      <c r="J126" s="1066">
        <f>+J127+J138+J150</f>
        <v>2097280</v>
      </c>
      <c r="K126" s="1067">
        <f>+K127+K138</f>
        <v>0</v>
      </c>
      <c r="L126" s="1066">
        <f>+L127+L138+L150</f>
        <v>3990800</v>
      </c>
      <c r="M126" s="1067">
        <f>+M127+M138</f>
        <v>0</v>
      </c>
      <c r="N126" s="1066">
        <f>+N127+N138+N150</f>
        <v>2279330</v>
      </c>
      <c r="O126" s="1067">
        <f>+O127+O138</f>
        <v>0</v>
      </c>
      <c r="P126" s="1066">
        <f>+P127+P138+P150</f>
        <v>3858170</v>
      </c>
      <c r="Q126" s="1067">
        <f>+Q127+Q138</f>
        <v>0</v>
      </c>
      <c r="R126" s="1066">
        <f>+R127+R138+R150</f>
        <v>1993920</v>
      </c>
      <c r="S126" s="1067">
        <f>+S127+S138</f>
        <v>0</v>
      </c>
      <c r="T126" s="1066">
        <f>+T127+T138+T150</f>
        <v>1692750</v>
      </c>
      <c r="U126" s="1067">
        <f>+U127+U138</f>
        <v>0</v>
      </c>
      <c r="V126" s="1066">
        <f>+V127+V138+V150</f>
        <v>3034440</v>
      </c>
      <c r="W126" s="1067">
        <f>+W127+W138</f>
        <v>0</v>
      </c>
      <c r="X126" s="1066">
        <f>+X127+X138+X150</f>
        <v>4354550</v>
      </c>
      <c r="Y126" s="1067">
        <f>+Y127+Y138</f>
        <v>0</v>
      </c>
      <c r="Z126" s="1066">
        <f>+Z127+Z138+Z150</f>
        <v>2589700</v>
      </c>
      <c r="AA126" s="1067">
        <f>+AA127+AA138</f>
        <v>0</v>
      </c>
      <c r="AB126" s="1066">
        <f>+AB127+AB138+AB150</f>
        <v>1175600</v>
      </c>
      <c r="AC126" s="1067">
        <f>+AC127+AC138</f>
        <v>0</v>
      </c>
      <c r="AD126" s="1066">
        <f>+AD127+AD138+AD150</f>
        <v>2446190</v>
      </c>
      <c r="AE126" s="1067">
        <f>+AE127+AE138</f>
        <v>0</v>
      </c>
      <c r="AF126" s="1066">
        <f>+AF127+AF138+AF150</f>
        <v>3054940</v>
      </c>
      <c r="AG126" s="1067">
        <f>+AG127+AG138</f>
        <v>0</v>
      </c>
      <c r="AH126" s="1066">
        <f>+AH127+AH138+AH150</f>
        <v>3876450</v>
      </c>
      <c r="AI126" s="1067">
        <f>+AI127+AI138</f>
        <v>0</v>
      </c>
      <c r="AJ126" s="1066">
        <f>+AJ127+AJ138+AJ150</f>
        <v>3603010</v>
      </c>
      <c r="AK126" s="1067">
        <f>+AK127+AK138</f>
        <v>0</v>
      </c>
      <c r="AL126" s="1066">
        <f>+AL127+AL138+AL150</f>
        <v>4363440</v>
      </c>
    </row>
    <row r="127" spans="1:38" s="1058" customFormat="1" ht="27.75" customHeight="1">
      <c r="A127" s="996">
        <v>1</v>
      </c>
      <c r="B127" s="997" t="s">
        <v>459</v>
      </c>
      <c r="C127" s="1066"/>
      <c r="D127" s="1066">
        <f>+D128+D134+D131</f>
        <v>7603000</v>
      </c>
      <c r="E127" s="1066">
        <f>+E128+E134</f>
        <v>0</v>
      </c>
      <c r="F127" s="1066">
        <f>+F128+F134+F131</f>
        <v>281000</v>
      </c>
      <c r="G127" s="1067">
        <f>+G128+G134</f>
        <v>0</v>
      </c>
      <c r="H127" s="1066">
        <f>+H128+H134+H131</f>
        <v>139000</v>
      </c>
      <c r="I127" s="1067">
        <f>+I128+I134</f>
        <v>0</v>
      </c>
      <c r="J127" s="1066">
        <f>+J128+J134+J131</f>
        <v>1147400</v>
      </c>
      <c r="K127" s="1067">
        <f>+K128+K134</f>
        <v>0</v>
      </c>
      <c r="L127" s="1066">
        <f>+L128+L134+L131</f>
        <v>178000</v>
      </c>
      <c r="M127" s="1067">
        <f>+M128+M134</f>
        <v>0</v>
      </c>
      <c r="N127" s="1066">
        <f>+N128+N134+N131</f>
        <v>151000</v>
      </c>
      <c r="O127" s="1067">
        <f>+O128+O134</f>
        <v>0</v>
      </c>
      <c r="P127" s="1066">
        <f>+P128+P134+P131</f>
        <v>143000</v>
      </c>
      <c r="Q127" s="1067">
        <f>+Q128+Q134</f>
        <v>0</v>
      </c>
      <c r="R127" s="1066">
        <f>+R128+R134+R131</f>
        <v>142000</v>
      </c>
      <c r="S127" s="1067">
        <f>+S128+S134</f>
        <v>0</v>
      </c>
      <c r="T127" s="1066">
        <f>+T128+T134+T131</f>
        <v>162000</v>
      </c>
      <c r="U127" s="1067">
        <f>+U128+U134</f>
        <v>0</v>
      </c>
      <c r="V127" s="1066">
        <f>+V128+V134+V131</f>
        <v>147000</v>
      </c>
      <c r="W127" s="1067">
        <f>+W128+W134</f>
        <v>0</v>
      </c>
      <c r="X127" s="1066">
        <f>+X128+X134+X131</f>
        <v>230000</v>
      </c>
      <c r="Y127" s="1067">
        <f>+Y128+Y134</f>
        <v>0</v>
      </c>
      <c r="Z127" s="1066">
        <f>+Z128+Z134+Z131</f>
        <v>155000</v>
      </c>
      <c r="AA127" s="1067">
        <f>+AA128+AA134</f>
        <v>0</v>
      </c>
      <c r="AB127" s="1066">
        <f>+AB128+AB134+AB131</f>
        <v>198000</v>
      </c>
      <c r="AC127" s="1067">
        <f>+AC128+AC134</f>
        <v>0</v>
      </c>
      <c r="AD127" s="1066">
        <f>+AD128+AD134+AD131</f>
        <v>522700</v>
      </c>
      <c r="AE127" s="1067">
        <f>+AE128+AE134</f>
        <v>0</v>
      </c>
      <c r="AF127" s="1066">
        <f>+AF128+AF134+AF131</f>
        <v>153000</v>
      </c>
      <c r="AG127" s="1067">
        <f>+AG128+AG134</f>
        <v>0</v>
      </c>
      <c r="AH127" s="1066">
        <f>+AH128+AH134+AH131</f>
        <v>161000</v>
      </c>
      <c r="AI127" s="1067">
        <f>+AI128+AI134</f>
        <v>0</v>
      </c>
      <c r="AJ127" s="1066">
        <f>+AJ128+AJ134+AJ131</f>
        <v>146000</v>
      </c>
      <c r="AK127" s="1067">
        <f>+AK128+AK134</f>
        <v>0</v>
      </c>
      <c r="AL127" s="1066">
        <f>+AL128+AL134+AL131</f>
        <v>3546900</v>
      </c>
    </row>
    <row r="128" spans="1:38" s="1058" customFormat="1" ht="27" customHeight="1">
      <c r="A128" s="996" t="s">
        <v>177</v>
      </c>
      <c r="B128" s="997" t="s">
        <v>1354</v>
      </c>
      <c r="C128" s="1066"/>
      <c r="D128" s="1066">
        <f>SUM(D129:D130)</f>
        <v>2726000</v>
      </c>
      <c r="E128" s="1066"/>
      <c r="F128" s="1066">
        <f>SUM(F129:F130)</f>
        <v>141000</v>
      </c>
      <c r="G128" s="1067"/>
      <c r="H128" s="1066">
        <f>SUM(H129:H130)</f>
        <v>139000</v>
      </c>
      <c r="I128" s="1067"/>
      <c r="J128" s="1066">
        <f>SUM(J129:J130)</f>
        <v>178000</v>
      </c>
      <c r="K128" s="1067"/>
      <c r="L128" s="1066">
        <f>SUM(L129:L130)</f>
        <v>178000</v>
      </c>
      <c r="M128" s="1067"/>
      <c r="N128" s="1066">
        <f>SUM(N129:N130)</f>
        <v>151000</v>
      </c>
      <c r="O128" s="1067"/>
      <c r="P128" s="1066">
        <f>SUM(P129:P130)</f>
        <v>143000</v>
      </c>
      <c r="Q128" s="1067"/>
      <c r="R128" s="1066">
        <f>SUM(R129:R130)</f>
        <v>142000</v>
      </c>
      <c r="S128" s="1067"/>
      <c r="T128" s="1066">
        <f>SUM(T129:T130)</f>
        <v>147000</v>
      </c>
      <c r="U128" s="1067"/>
      <c r="V128" s="1066">
        <f>SUM(V129:V130)</f>
        <v>147000</v>
      </c>
      <c r="W128" s="1067"/>
      <c r="X128" s="1066">
        <f>SUM(X129:X130)</f>
        <v>165000</v>
      </c>
      <c r="Y128" s="1067"/>
      <c r="Z128" s="1066">
        <f>SUM(Z129:Z130)</f>
        <v>155000</v>
      </c>
      <c r="AA128" s="1067"/>
      <c r="AB128" s="1066">
        <f>SUM(AB129:AB130)</f>
        <v>198000</v>
      </c>
      <c r="AC128" s="1067"/>
      <c r="AD128" s="1066">
        <f>SUM(AD129:AD130)</f>
        <v>201000</v>
      </c>
      <c r="AE128" s="1067"/>
      <c r="AF128" s="1066">
        <f>SUM(AF129:AF130)</f>
        <v>153000</v>
      </c>
      <c r="AG128" s="1067"/>
      <c r="AH128" s="1066">
        <f>SUM(AH129:AH130)</f>
        <v>146000</v>
      </c>
      <c r="AI128" s="1067"/>
      <c r="AJ128" s="1066">
        <f>SUM(AJ129:AJ130)</f>
        <v>146000</v>
      </c>
      <c r="AK128" s="1067"/>
      <c r="AL128" s="1066">
        <f>SUM(AL129:AL130)</f>
        <v>196000</v>
      </c>
    </row>
    <row r="129" spans="1:38" s="1058" customFormat="1" ht="27" customHeight="1">
      <c r="A129" s="1124" t="s">
        <v>211</v>
      </c>
      <c r="B129" s="999" t="s">
        <v>1356</v>
      </c>
      <c r="C129" s="1066"/>
      <c r="D129" s="1078">
        <f t="shared" ref="D129:D130" si="79">+AL129+AJ129+AH129+AF129+AD129+Z129+AB129+X129+V129+T129+R129+P129+N129+L129+J129+H129+F129</f>
        <v>2178000</v>
      </c>
      <c r="E129" s="1066"/>
      <c r="F129" s="1078">
        <v>111000</v>
      </c>
      <c r="G129" s="1079"/>
      <c r="H129" s="1079">
        <v>103000</v>
      </c>
      <c r="I129" s="1079"/>
      <c r="J129" s="1079">
        <v>148000</v>
      </c>
      <c r="K129" s="1079"/>
      <c r="L129" s="1079">
        <v>148000</v>
      </c>
      <c r="M129" s="1079"/>
      <c r="N129" s="1079">
        <v>124000</v>
      </c>
      <c r="O129" s="1079"/>
      <c r="P129" s="1079">
        <v>116000</v>
      </c>
      <c r="Q129" s="1079"/>
      <c r="R129" s="1079">
        <v>119000</v>
      </c>
      <c r="S129" s="1079"/>
      <c r="T129" s="1079">
        <v>126000</v>
      </c>
      <c r="U129" s="1079"/>
      <c r="V129" s="1079">
        <v>110000</v>
      </c>
      <c r="W129" s="1079"/>
      <c r="X129" s="1079">
        <v>127000</v>
      </c>
      <c r="Y129" s="1079"/>
      <c r="Z129" s="1079">
        <v>122000</v>
      </c>
      <c r="AA129" s="1079"/>
      <c r="AB129" s="1079">
        <v>148000</v>
      </c>
      <c r="AC129" s="1079"/>
      <c r="AD129" s="1079">
        <v>166000</v>
      </c>
      <c r="AE129" s="1079"/>
      <c r="AF129" s="1079">
        <v>130000</v>
      </c>
      <c r="AG129" s="1079"/>
      <c r="AH129" s="1079">
        <v>116000</v>
      </c>
      <c r="AI129" s="1079"/>
      <c r="AJ129" s="1079">
        <v>116000</v>
      </c>
      <c r="AK129" s="1079"/>
      <c r="AL129" s="1079">
        <v>148000</v>
      </c>
    </row>
    <row r="130" spans="1:38" s="1058" customFormat="1" ht="30" customHeight="1">
      <c r="A130" s="1124" t="s">
        <v>211</v>
      </c>
      <c r="B130" s="999" t="s">
        <v>1357</v>
      </c>
      <c r="C130" s="1066"/>
      <c r="D130" s="1078">
        <f t="shared" si="79"/>
        <v>548000</v>
      </c>
      <c r="E130" s="1066"/>
      <c r="F130" s="1078">
        <v>30000</v>
      </c>
      <c r="G130" s="1079"/>
      <c r="H130" s="1079">
        <v>36000</v>
      </c>
      <c r="I130" s="1079"/>
      <c r="J130" s="1079">
        <v>30000</v>
      </c>
      <c r="K130" s="1079"/>
      <c r="L130" s="1079">
        <v>30000</v>
      </c>
      <c r="M130" s="1079"/>
      <c r="N130" s="1079">
        <v>27000</v>
      </c>
      <c r="O130" s="1079"/>
      <c r="P130" s="1079">
        <v>27000</v>
      </c>
      <c r="Q130" s="1079"/>
      <c r="R130" s="1079">
        <v>23000</v>
      </c>
      <c r="S130" s="1079"/>
      <c r="T130" s="1079">
        <v>21000</v>
      </c>
      <c r="U130" s="1079"/>
      <c r="V130" s="1079">
        <v>37000</v>
      </c>
      <c r="W130" s="1079"/>
      <c r="X130" s="1079">
        <v>38000</v>
      </c>
      <c r="Y130" s="1079"/>
      <c r="Z130" s="1079">
        <v>33000</v>
      </c>
      <c r="AA130" s="1079"/>
      <c r="AB130" s="1079">
        <v>50000</v>
      </c>
      <c r="AC130" s="1079"/>
      <c r="AD130" s="1079">
        <v>35000</v>
      </c>
      <c r="AE130" s="1079"/>
      <c r="AF130" s="1079">
        <v>23000</v>
      </c>
      <c r="AG130" s="1079"/>
      <c r="AH130" s="1079">
        <v>30000</v>
      </c>
      <c r="AI130" s="1079"/>
      <c r="AJ130" s="1079">
        <v>30000</v>
      </c>
      <c r="AK130" s="1079"/>
      <c r="AL130" s="1079">
        <v>48000</v>
      </c>
    </row>
    <row r="131" spans="1:38" s="1058" customFormat="1">
      <c r="A131" s="1125" t="s">
        <v>178</v>
      </c>
      <c r="B131" s="997" t="s">
        <v>1376</v>
      </c>
      <c r="C131" s="1066"/>
      <c r="D131" s="1066">
        <f>SUM(D132:D133)</f>
        <v>295000</v>
      </c>
      <c r="E131" s="1066"/>
      <c r="F131" s="1066">
        <f>SUM(F132:F133)</f>
        <v>140000</v>
      </c>
      <c r="G131" s="1067"/>
      <c r="H131" s="1066">
        <f>SUM(H132:H133)</f>
        <v>0</v>
      </c>
      <c r="I131" s="1067"/>
      <c r="J131" s="1066">
        <f>SUM(J132:J133)</f>
        <v>60000</v>
      </c>
      <c r="K131" s="1067"/>
      <c r="L131" s="1066">
        <f>SUM(L132:L133)</f>
        <v>0</v>
      </c>
      <c r="M131" s="1067"/>
      <c r="N131" s="1066">
        <f>SUM(N132:N133)</f>
        <v>0</v>
      </c>
      <c r="O131" s="1067"/>
      <c r="P131" s="1066">
        <f>SUM(P132:P133)</f>
        <v>0</v>
      </c>
      <c r="Q131" s="1067"/>
      <c r="R131" s="1066">
        <f>SUM(R132:R133)</f>
        <v>0</v>
      </c>
      <c r="S131" s="1067"/>
      <c r="T131" s="1066">
        <f>SUM(T132:T133)</f>
        <v>15000</v>
      </c>
      <c r="U131" s="1067"/>
      <c r="V131" s="1066">
        <f>SUM(V132:V133)</f>
        <v>0</v>
      </c>
      <c r="W131" s="1067"/>
      <c r="X131" s="1126">
        <f>SUM(X132:X133)</f>
        <v>65000</v>
      </c>
      <c r="Y131" s="1067"/>
      <c r="Z131" s="1066">
        <f>SUM(Z132:Z133)</f>
        <v>0</v>
      </c>
      <c r="AA131" s="1067"/>
      <c r="AB131" s="1066">
        <f>SUM(AB132:AB133)</f>
        <v>0</v>
      </c>
      <c r="AC131" s="1067"/>
      <c r="AD131" s="1066">
        <f>SUM(AD132:AD133)</f>
        <v>0</v>
      </c>
      <c r="AE131" s="1067"/>
      <c r="AF131" s="1066">
        <f>SUM(AF132:AF133)</f>
        <v>0</v>
      </c>
      <c r="AG131" s="1067"/>
      <c r="AH131" s="1066">
        <f>SUM(AH132:AH133)</f>
        <v>15000</v>
      </c>
      <c r="AI131" s="1067"/>
      <c r="AJ131" s="1066">
        <f>SUM(AJ132:AJ133)</f>
        <v>0</v>
      </c>
      <c r="AK131" s="1067"/>
      <c r="AL131" s="1066">
        <f>SUM(AL132:AL133)</f>
        <v>0</v>
      </c>
    </row>
    <row r="132" spans="1:38" s="1058" customFormat="1">
      <c r="A132" s="1124" t="s">
        <v>211</v>
      </c>
      <c r="B132" s="999" t="s">
        <v>1355</v>
      </c>
      <c r="C132" s="1066"/>
      <c r="D132" s="1078">
        <f t="shared" ref="D132" si="80">+AL132+AJ132+AH132+AF132+AD132+Z132+AB132+X132+V132+T132+R132+P132+N132+L132+J132+H132+F132</f>
        <v>235000</v>
      </c>
      <c r="E132" s="1066"/>
      <c r="F132" s="1078">
        <v>140000</v>
      </c>
      <c r="G132" s="1079"/>
      <c r="H132" s="1079"/>
      <c r="I132" s="1079"/>
      <c r="J132" s="1079"/>
      <c r="K132" s="1079"/>
      <c r="L132" s="1079"/>
      <c r="M132" s="1079"/>
      <c r="N132" s="1079"/>
      <c r="O132" s="1079"/>
      <c r="P132" s="1079"/>
      <c r="Q132" s="1079"/>
      <c r="R132" s="1079"/>
      <c r="S132" s="1079"/>
      <c r="T132" s="1079">
        <v>15000</v>
      </c>
      <c r="U132" s="1079"/>
      <c r="V132" s="1079"/>
      <c r="W132" s="1079"/>
      <c r="X132" s="1079">
        <v>65000</v>
      </c>
      <c r="Y132" s="1079"/>
      <c r="Z132" s="1079"/>
      <c r="AA132" s="1079"/>
      <c r="AB132" s="1079"/>
      <c r="AC132" s="1079"/>
      <c r="AD132" s="1079"/>
      <c r="AE132" s="1079"/>
      <c r="AF132" s="1079"/>
      <c r="AG132" s="1079"/>
      <c r="AH132" s="1079">
        <v>15000</v>
      </c>
      <c r="AI132" s="1079"/>
      <c r="AJ132" s="1079"/>
      <c r="AK132" s="1079"/>
      <c r="AL132" s="1079"/>
    </row>
    <row r="133" spans="1:38" s="1058" customFormat="1">
      <c r="A133" s="1124" t="s">
        <v>211</v>
      </c>
      <c r="B133" s="999" t="s">
        <v>1358</v>
      </c>
      <c r="C133" s="1066"/>
      <c r="D133" s="1078">
        <f>+AL133+AJ133+AH133+AF133+AD133+Z133+AB133+X133+V133+T133+R133+P133+N133+L133+J133+H133+F133</f>
        <v>60000</v>
      </c>
      <c r="E133" s="1066"/>
      <c r="F133" s="1078"/>
      <c r="G133" s="1079"/>
      <c r="H133" s="1079"/>
      <c r="I133" s="1079"/>
      <c r="J133" s="1079">
        <v>60000</v>
      </c>
      <c r="K133" s="1079"/>
      <c r="L133" s="1079"/>
      <c r="M133" s="1079"/>
      <c r="N133" s="1079"/>
      <c r="O133" s="1079"/>
      <c r="P133" s="1079"/>
      <c r="Q133" s="1079"/>
      <c r="R133" s="1079"/>
      <c r="S133" s="1079"/>
      <c r="T133" s="1079"/>
      <c r="U133" s="1079"/>
      <c r="V133" s="1079"/>
      <c r="W133" s="1079"/>
      <c r="X133" s="1079"/>
      <c r="Y133" s="1079"/>
      <c r="Z133" s="1079"/>
      <c r="AA133" s="1079"/>
      <c r="AB133" s="1079"/>
      <c r="AC133" s="1079"/>
      <c r="AD133" s="1079"/>
      <c r="AE133" s="1079"/>
      <c r="AF133" s="1079"/>
      <c r="AG133" s="1079"/>
      <c r="AH133" s="1079"/>
      <c r="AI133" s="1079"/>
      <c r="AJ133" s="1079"/>
      <c r="AK133" s="1079"/>
      <c r="AL133" s="1079"/>
    </row>
    <row r="134" spans="1:38" s="1058" customFormat="1">
      <c r="A134" s="996" t="s">
        <v>153</v>
      </c>
      <c r="B134" s="997" t="s">
        <v>458</v>
      </c>
      <c r="C134" s="1127">
        <f t="shared" ref="C134" si="81">+C135</f>
        <v>0</v>
      </c>
      <c r="D134" s="1066">
        <f>SUM(D135:D137)</f>
        <v>4582000</v>
      </c>
      <c r="E134" s="1127">
        <f t="shared" ref="E134:AL134" si="82">SUM(E135:E137)</f>
        <v>0</v>
      </c>
      <c r="F134" s="1127">
        <f t="shared" si="82"/>
        <v>0</v>
      </c>
      <c r="G134" s="1127">
        <f t="shared" si="82"/>
        <v>0</v>
      </c>
      <c r="H134" s="1127">
        <f t="shared" si="82"/>
        <v>0</v>
      </c>
      <c r="I134" s="1127">
        <f t="shared" si="82"/>
        <v>0</v>
      </c>
      <c r="J134" s="1127">
        <f t="shared" si="82"/>
        <v>909400</v>
      </c>
      <c r="K134" s="1127">
        <f t="shared" si="82"/>
        <v>0</v>
      </c>
      <c r="L134" s="1127">
        <f t="shared" si="82"/>
        <v>0</v>
      </c>
      <c r="M134" s="1127">
        <f t="shared" si="82"/>
        <v>0</v>
      </c>
      <c r="N134" s="1127">
        <f t="shared" si="82"/>
        <v>0</v>
      </c>
      <c r="O134" s="1127">
        <f t="shared" si="82"/>
        <v>0</v>
      </c>
      <c r="P134" s="1127">
        <f t="shared" si="82"/>
        <v>0</v>
      </c>
      <c r="Q134" s="1127">
        <f t="shared" si="82"/>
        <v>0</v>
      </c>
      <c r="R134" s="1127">
        <f t="shared" si="82"/>
        <v>0</v>
      </c>
      <c r="S134" s="1127">
        <f t="shared" si="82"/>
        <v>0</v>
      </c>
      <c r="T134" s="1127">
        <f t="shared" si="82"/>
        <v>0</v>
      </c>
      <c r="U134" s="1127">
        <f t="shared" si="82"/>
        <v>0</v>
      </c>
      <c r="V134" s="1127">
        <f t="shared" si="82"/>
        <v>0</v>
      </c>
      <c r="W134" s="1127">
        <f t="shared" si="82"/>
        <v>0</v>
      </c>
      <c r="X134" s="1127">
        <f t="shared" si="82"/>
        <v>0</v>
      </c>
      <c r="Y134" s="1127">
        <f t="shared" si="82"/>
        <v>0</v>
      </c>
      <c r="Z134" s="1127">
        <f t="shared" si="82"/>
        <v>0</v>
      </c>
      <c r="AA134" s="1127">
        <f t="shared" si="82"/>
        <v>0</v>
      </c>
      <c r="AB134" s="1127">
        <f t="shared" si="82"/>
        <v>0</v>
      </c>
      <c r="AC134" s="1127">
        <f t="shared" si="82"/>
        <v>0</v>
      </c>
      <c r="AD134" s="1127">
        <f t="shared" si="82"/>
        <v>321700</v>
      </c>
      <c r="AE134" s="1127">
        <f t="shared" si="82"/>
        <v>0</v>
      </c>
      <c r="AF134" s="1127">
        <f t="shared" si="82"/>
        <v>0</v>
      </c>
      <c r="AG134" s="1127">
        <f t="shared" si="82"/>
        <v>0</v>
      </c>
      <c r="AH134" s="1127">
        <f t="shared" si="82"/>
        <v>0</v>
      </c>
      <c r="AI134" s="1127">
        <f t="shared" si="82"/>
        <v>0</v>
      </c>
      <c r="AJ134" s="1127">
        <f t="shared" si="82"/>
        <v>0</v>
      </c>
      <c r="AK134" s="1127">
        <f t="shared" si="82"/>
        <v>0</v>
      </c>
      <c r="AL134" s="1127">
        <f t="shared" si="82"/>
        <v>3350900</v>
      </c>
    </row>
    <row r="135" spans="1:38" s="1058" customFormat="1" ht="30">
      <c r="A135" s="1124" t="s">
        <v>211</v>
      </c>
      <c r="B135" s="999" t="s">
        <v>413</v>
      </c>
      <c r="C135" s="1066"/>
      <c r="D135" s="1078">
        <f>+AL135+AJ135+AH135+AF135+AD135+Z135+AB135+X135+V135+T135+R135+P135+N135+L135+J135+H135+F135</f>
        <v>1500000</v>
      </c>
      <c r="E135" s="1078"/>
      <c r="F135" s="1078"/>
      <c r="G135" s="1079"/>
      <c r="H135" s="1079"/>
      <c r="I135" s="1079"/>
      <c r="J135" s="1079">
        <v>909400</v>
      </c>
      <c r="K135" s="1079"/>
      <c r="L135" s="1079"/>
      <c r="M135" s="1079"/>
      <c r="N135" s="1079"/>
      <c r="O135" s="1079"/>
      <c r="P135" s="1079"/>
      <c r="Q135" s="1079"/>
      <c r="R135" s="1079"/>
      <c r="S135" s="1079"/>
      <c r="T135" s="1079"/>
      <c r="U135" s="1079"/>
      <c r="V135" s="1079"/>
      <c r="W135" s="1079"/>
      <c r="X135" s="1079"/>
      <c r="Y135" s="1079"/>
      <c r="Z135" s="1079"/>
      <c r="AA135" s="1079"/>
      <c r="AB135" s="1079"/>
      <c r="AC135" s="1079"/>
      <c r="AD135" s="1079">
        <v>321700</v>
      </c>
      <c r="AE135" s="1079"/>
      <c r="AF135" s="1079"/>
      <c r="AG135" s="1079"/>
      <c r="AH135" s="1079"/>
      <c r="AI135" s="1079"/>
      <c r="AJ135" s="1079"/>
      <c r="AK135" s="1079"/>
      <c r="AL135" s="1128">
        <v>268900</v>
      </c>
    </row>
    <row r="136" spans="1:38">
      <c r="A136" s="1124" t="s">
        <v>211</v>
      </c>
      <c r="B136" s="999" t="s">
        <v>646</v>
      </c>
      <c r="C136" s="1078"/>
      <c r="D136" s="1078">
        <f>+AL136+AJ136+AH136+AF136+AD136+Z136+AB136+X136+V136+T136+R136+P136+N136+L136+J136+H136+F136</f>
        <v>83000</v>
      </c>
      <c r="E136" s="1078"/>
      <c r="F136" s="1078"/>
      <c r="G136" s="1079"/>
      <c r="H136" s="1079"/>
      <c r="I136" s="1079"/>
      <c r="J136" s="1079"/>
      <c r="K136" s="1079"/>
      <c r="L136" s="1079"/>
      <c r="M136" s="1079"/>
      <c r="N136" s="1079"/>
      <c r="O136" s="1079"/>
      <c r="P136" s="1079"/>
      <c r="Q136" s="1079"/>
      <c r="R136" s="1079"/>
      <c r="S136" s="1079"/>
      <c r="T136" s="1079"/>
      <c r="U136" s="1079"/>
      <c r="V136" s="1079"/>
      <c r="W136" s="1079"/>
      <c r="X136" s="1079"/>
      <c r="Y136" s="1079"/>
      <c r="Z136" s="1079"/>
      <c r="AA136" s="1079"/>
      <c r="AB136" s="1079"/>
      <c r="AC136" s="1079"/>
      <c r="AD136" s="1079"/>
      <c r="AE136" s="1079"/>
      <c r="AF136" s="1079"/>
      <c r="AG136" s="1079"/>
      <c r="AH136" s="1079"/>
      <c r="AI136" s="1079"/>
      <c r="AJ136" s="1079"/>
      <c r="AK136" s="1079"/>
      <c r="AL136" s="1079">
        <v>83000</v>
      </c>
    </row>
    <row r="137" spans="1:38" s="1117" customFormat="1" ht="18.75" customHeight="1">
      <c r="A137" s="1124" t="s">
        <v>211</v>
      </c>
      <c r="B137" s="999" t="s">
        <v>493</v>
      </c>
      <c r="C137" s="1077"/>
      <c r="D137" s="1078">
        <f t="shared" ref="D137" si="83">+AL137+AJ137+AH137+AF137+AD137+Z137+AB137+X137+V137+T137+R137+P137+N137+L137+J137+H137+F137</f>
        <v>2999000</v>
      </c>
      <c r="E137" s="1078"/>
      <c r="F137" s="1078"/>
      <c r="G137" s="1079"/>
      <c r="H137" s="1079"/>
      <c r="I137" s="1079"/>
      <c r="J137" s="1079"/>
      <c r="K137" s="1079"/>
      <c r="L137" s="1079"/>
      <c r="M137" s="1079"/>
      <c r="N137" s="1079"/>
      <c r="O137" s="1079"/>
      <c r="P137" s="1079"/>
      <c r="Q137" s="1079"/>
      <c r="R137" s="1079"/>
      <c r="S137" s="1079"/>
      <c r="T137" s="1079"/>
      <c r="U137" s="1080"/>
      <c r="V137" s="1079"/>
      <c r="W137" s="1080"/>
      <c r="X137" s="1079"/>
      <c r="Y137" s="1080"/>
      <c r="Z137" s="1079"/>
      <c r="AA137" s="1080"/>
      <c r="AB137" s="1079"/>
      <c r="AC137" s="1080"/>
      <c r="AD137" s="1079"/>
      <c r="AE137" s="1079"/>
      <c r="AF137" s="1079"/>
      <c r="AG137" s="1079"/>
      <c r="AH137" s="1079"/>
      <c r="AI137" s="1079"/>
      <c r="AJ137" s="1079"/>
      <c r="AK137" s="1080"/>
      <c r="AL137" s="1079">
        <f>499000+2500000</f>
        <v>2999000</v>
      </c>
    </row>
    <row r="138" spans="1:38" ht="28.5">
      <c r="A138" s="996">
        <v>2</v>
      </c>
      <c r="B138" s="1129" t="s">
        <v>436</v>
      </c>
      <c r="C138" s="1078"/>
      <c r="D138" s="1066">
        <f>SUM(D139:D140)</f>
        <v>45365890</v>
      </c>
      <c r="E138" s="1066">
        <f t="shared" ref="E138:AL138" si="84">SUM(E139:E140)</f>
        <v>0</v>
      </c>
      <c r="F138" s="1066">
        <f t="shared" si="84"/>
        <v>4524780</v>
      </c>
      <c r="G138" s="1067">
        <f t="shared" si="84"/>
        <v>0</v>
      </c>
      <c r="H138" s="1067">
        <f t="shared" si="84"/>
        <v>3713540</v>
      </c>
      <c r="I138" s="1067">
        <f t="shared" si="84"/>
        <v>0</v>
      </c>
      <c r="J138" s="1067">
        <f t="shared" si="84"/>
        <v>949880</v>
      </c>
      <c r="K138" s="1067">
        <f t="shared" si="84"/>
        <v>0</v>
      </c>
      <c r="L138" s="1067">
        <f t="shared" si="84"/>
        <v>3812800</v>
      </c>
      <c r="M138" s="1067">
        <f t="shared" si="84"/>
        <v>0</v>
      </c>
      <c r="N138" s="1067">
        <f t="shared" si="84"/>
        <v>2128330</v>
      </c>
      <c r="O138" s="1067">
        <f t="shared" si="84"/>
        <v>0</v>
      </c>
      <c r="P138" s="1067">
        <f t="shared" si="84"/>
        <v>3715170</v>
      </c>
      <c r="Q138" s="1067">
        <f t="shared" si="84"/>
        <v>0</v>
      </c>
      <c r="R138" s="1067">
        <f t="shared" si="84"/>
        <v>1851920</v>
      </c>
      <c r="S138" s="1067">
        <f t="shared" si="84"/>
        <v>0</v>
      </c>
      <c r="T138" s="1067">
        <f t="shared" si="84"/>
        <v>1530750</v>
      </c>
      <c r="U138" s="1067">
        <f t="shared" si="84"/>
        <v>0</v>
      </c>
      <c r="V138" s="1067">
        <f t="shared" si="84"/>
        <v>2887440</v>
      </c>
      <c r="W138" s="1067">
        <f t="shared" si="84"/>
        <v>0</v>
      </c>
      <c r="X138" s="1067">
        <f t="shared" si="84"/>
        <v>4124550</v>
      </c>
      <c r="Y138" s="1067">
        <f>SUM(Y139:Y140)</f>
        <v>0</v>
      </c>
      <c r="Z138" s="1067">
        <f>SUM(Z139:Z140)</f>
        <v>2434700</v>
      </c>
      <c r="AA138" s="1067">
        <f t="shared" si="84"/>
        <v>0</v>
      </c>
      <c r="AB138" s="1067">
        <f t="shared" si="84"/>
        <v>977600</v>
      </c>
      <c r="AC138" s="1067">
        <f t="shared" si="84"/>
        <v>0</v>
      </c>
      <c r="AD138" s="1067">
        <f t="shared" si="84"/>
        <v>1823490</v>
      </c>
      <c r="AE138" s="1067">
        <f t="shared" si="84"/>
        <v>0</v>
      </c>
      <c r="AF138" s="1067">
        <f t="shared" si="84"/>
        <v>2901940</v>
      </c>
      <c r="AG138" s="1067">
        <f t="shared" si="84"/>
        <v>0</v>
      </c>
      <c r="AH138" s="1067">
        <f t="shared" si="84"/>
        <v>3715450</v>
      </c>
      <c r="AI138" s="1067">
        <f t="shared" si="84"/>
        <v>0</v>
      </c>
      <c r="AJ138" s="1067">
        <f t="shared" si="84"/>
        <v>3457010</v>
      </c>
      <c r="AK138" s="1067">
        <f t="shared" si="84"/>
        <v>0</v>
      </c>
      <c r="AL138" s="1067">
        <f t="shared" si="84"/>
        <v>816540</v>
      </c>
    </row>
    <row r="139" spans="1:38">
      <c r="A139" s="1124"/>
      <c r="B139" s="1130" t="s">
        <v>437</v>
      </c>
      <c r="C139" s="1078"/>
      <c r="D139" s="1078">
        <f t="shared" ref="D139:D152" si="85">+AL139+AJ139+AH139+AF139+AD139+Z139+AB139+X139+V139+T139+R139+P139+N139+L139+J139+H139+F139</f>
        <v>43455890</v>
      </c>
      <c r="E139" s="1078">
        <f>+E142+E145+E148</f>
        <v>0</v>
      </c>
      <c r="F139" s="1078">
        <f>+F142+F145+F148</f>
        <v>4474780</v>
      </c>
      <c r="G139" s="1079">
        <f t="shared" ref="F139:AL140" si="86">+G142+G145+G148</f>
        <v>0</v>
      </c>
      <c r="H139" s="1079">
        <f t="shared" si="86"/>
        <v>3703540</v>
      </c>
      <c r="I139" s="1079">
        <f t="shared" si="86"/>
        <v>0</v>
      </c>
      <c r="J139" s="1079">
        <f t="shared" si="86"/>
        <v>939880</v>
      </c>
      <c r="K139" s="1079">
        <f t="shared" si="86"/>
        <v>0</v>
      </c>
      <c r="L139" s="1079">
        <f t="shared" si="86"/>
        <v>3657800</v>
      </c>
      <c r="M139" s="1079">
        <f t="shared" si="86"/>
        <v>0</v>
      </c>
      <c r="N139" s="1079">
        <f t="shared" si="86"/>
        <v>1973330</v>
      </c>
      <c r="O139" s="1079">
        <f t="shared" si="86"/>
        <v>0</v>
      </c>
      <c r="P139" s="1079">
        <f t="shared" si="86"/>
        <v>3230170</v>
      </c>
      <c r="Q139" s="1079">
        <f t="shared" si="86"/>
        <v>0</v>
      </c>
      <c r="R139" s="1079">
        <f t="shared" si="86"/>
        <v>1606920</v>
      </c>
      <c r="S139" s="1079">
        <f t="shared" si="86"/>
        <v>0</v>
      </c>
      <c r="T139" s="1079">
        <f t="shared" si="86"/>
        <v>1335750</v>
      </c>
      <c r="U139" s="1079">
        <f t="shared" si="86"/>
        <v>0</v>
      </c>
      <c r="V139" s="1079">
        <f t="shared" si="86"/>
        <v>2877440</v>
      </c>
      <c r="W139" s="1079">
        <f t="shared" si="86"/>
        <v>0</v>
      </c>
      <c r="X139" s="1079">
        <f t="shared" si="86"/>
        <v>3914550</v>
      </c>
      <c r="Y139" s="1079">
        <f>+Y142+Y145+Y148</f>
        <v>0</v>
      </c>
      <c r="Z139" s="1079">
        <f>+Z142+Z145+Z148</f>
        <v>2374700</v>
      </c>
      <c r="AA139" s="1079">
        <f t="shared" si="86"/>
        <v>0</v>
      </c>
      <c r="AB139" s="1079">
        <f t="shared" si="86"/>
        <v>967600</v>
      </c>
      <c r="AC139" s="1079">
        <f t="shared" si="86"/>
        <v>0</v>
      </c>
      <c r="AD139" s="1079">
        <f t="shared" si="86"/>
        <v>1763490</v>
      </c>
      <c r="AE139" s="1079">
        <f t="shared" si="86"/>
        <v>0</v>
      </c>
      <c r="AF139" s="1079">
        <f t="shared" si="86"/>
        <v>2891940</v>
      </c>
      <c r="AG139" s="1079">
        <f t="shared" si="86"/>
        <v>0</v>
      </c>
      <c r="AH139" s="1079">
        <f t="shared" si="86"/>
        <v>3625450</v>
      </c>
      <c r="AI139" s="1079">
        <f t="shared" si="86"/>
        <v>0</v>
      </c>
      <c r="AJ139" s="1079">
        <f t="shared" si="86"/>
        <v>3302010</v>
      </c>
      <c r="AK139" s="1079">
        <f t="shared" si="86"/>
        <v>0</v>
      </c>
      <c r="AL139" s="1079">
        <f t="shared" si="86"/>
        <v>816540</v>
      </c>
    </row>
    <row r="140" spans="1:38" ht="23.25" customHeight="1">
      <c r="A140" s="1124"/>
      <c r="B140" s="1130" t="s">
        <v>438</v>
      </c>
      <c r="C140" s="1078"/>
      <c r="D140" s="1078">
        <f t="shared" si="85"/>
        <v>1910000</v>
      </c>
      <c r="E140" s="1078">
        <f>+E143+E146+E149</f>
        <v>0</v>
      </c>
      <c r="F140" s="1078">
        <f t="shared" si="86"/>
        <v>50000</v>
      </c>
      <c r="G140" s="1079">
        <f t="shared" si="86"/>
        <v>0</v>
      </c>
      <c r="H140" s="1079">
        <f t="shared" si="86"/>
        <v>10000</v>
      </c>
      <c r="I140" s="1079">
        <f t="shared" si="86"/>
        <v>0</v>
      </c>
      <c r="J140" s="1079">
        <f t="shared" si="86"/>
        <v>10000</v>
      </c>
      <c r="K140" s="1079">
        <f t="shared" si="86"/>
        <v>0</v>
      </c>
      <c r="L140" s="1079">
        <f t="shared" si="86"/>
        <v>155000</v>
      </c>
      <c r="M140" s="1079">
        <f t="shared" si="86"/>
        <v>0</v>
      </c>
      <c r="N140" s="1079">
        <f t="shared" si="86"/>
        <v>155000</v>
      </c>
      <c r="O140" s="1079">
        <f t="shared" si="86"/>
        <v>0</v>
      </c>
      <c r="P140" s="1079">
        <f t="shared" si="86"/>
        <v>485000</v>
      </c>
      <c r="Q140" s="1079">
        <f t="shared" si="86"/>
        <v>0</v>
      </c>
      <c r="R140" s="1079">
        <f t="shared" si="86"/>
        <v>245000</v>
      </c>
      <c r="S140" s="1079">
        <f t="shared" si="86"/>
        <v>0</v>
      </c>
      <c r="T140" s="1079">
        <f t="shared" si="86"/>
        <v>195000</v>
      </c>
      <c r="U140" s="1079">
        <f t="shared" si="86"/>
        <v>0</v>
      </c>
      <c r="V140" s="1079">
        <f t="shared" si="86"/>
        <v>10000</v>
      </c>
      <c r="W140" s="1079">
        <f t="shared" si="86"/>
        <v>0</v>
      </c>
      <c r="X140" s="1079">
        <f t="shared" si="86"/>
        <v>210000</v>
      </c>
      <c r="Y140" s="1079">
        <f>+Y143+Y146+Y149</f>
        <v>0</v>
      </c>
      <c r="Z140" s="1079">
        <f>+Z143+Z146+Z149</f>
        <v>60000</v>
      </c>
      <c r="AA140" s="1079">
        <f t="shared" si="86"/>
        <v>0</v>
      </c>
      <c r="AB140" s="1079">
        <f t="shared" si="86"/>
        <v>10000</v>
      </c>
      <c r="AC140" s="1079">
        <f t="shared" si="86"/>
        <v>0</v>
      </c>
      <c r="AD140" s="1079">
        <f t="shared" si="86"/>
        <v>60000</v>
      </c>
      <c r="AE140" s="1079">
        <f t="shared" si="86"/>
        <v>0</v>
      </c>
      <c r="AF140" s="1079">
        <f t="shared" si="86"/>
        <v>10000</v>
      </c>
      <c r="AG140" s="1079">
        <f t="shared" si="86"/>
        <v>0</v>
      </c>
      <c r="AH140" s="1079">
        <f t="shared" si="86"/>
        <v>90000</v>
      </c>
      <c r="AI140" s="1079">
        <f t="shared" si="86"/>
        <v>0</v>
      </c>
      <c r="AJ140" s="1079">
        <f t="shared" si="86"/>
        <v>155000</v>
      </c>
      <c r="AK140" s="1079">
        <f t="shared" si="86"/>
        <v>0</v>
      </c>
      <c r="AL140" s="1079">
        <f t="shared" si="86"/>
        <v>0</v>
      </c>
    </row>
    <row r="141" spans="1:38" ht="27.75" customHeight="1">
      <c r="A141" s="998" t="s">
        <v>212</v>
      </c>
      <c r="B141" s="1002" t="s">
        <v>533</v>
      </c>
      <c r="C141" s="1078"/>
      <c r="D141" s="1078">
        <f>+AL141+AJ141+AH141+AF141+AD141+Z141+AB141+X141+V141+T141+R141+P141+N141+L141+J141+H141+F141</f>
        <v>2606440</v>
      </c>
      <c r="E141" s="1066">
        <f t="shared" ref="E141:AL141" si="87">+E142+E143</f>
        <v>0</v>
      </c>
      <c r="F141" s="1066">
        <f t="shared" si="87"/>
        <v>50000</v>
      </c>
      <c r="G141" s="1067">
        <f t="shared" si="87"/>
        <v>0</v>
      </c>
      <c r="H141" s="1067">
        <f t="shared" si="87"/>
        <v>10000</v>
      </c>
      <c r="I141" s="1067">
        <f t="shared" si="87"/>
        <v>0</v>
      </c>
      <c r="J141" s="1067">
        <f t="shared" si="87"/>
        <v>10000</v>
      </c>
      <c r="K141" s="1067">
        <f t="shared" si="87"/>
        <v>0</v>
      </c>
      <c r="L141" s="1067">
        <f t="shared" si="87"/>
        <v>155000</v>
      </c>
      <c r="M141" s="1067">
        <f t="shared" si="87"/>
        <v>0</v>
      </c>
      <c r="N141" s="1067">
        <f t="shared" si="87"/>
        <v>155000</v>
      </c>
      <c r="O141" s="1067">
        <f t="shared" si="87"/>
        <v>0</v>
      </c>
      <c r="P141" s="1067">
        <f t="shared" si="87"/>
        <v>485000</v>
      </c>
      <c r="Q141" s="1067">
        <f t="shared" si="87"/>
        <v>0</v>
      </c>
      <c r="R141" s="1067">
        <f t="shared" si="87"/>
        <v>245000</v>
      </c>
      <c r="S141" s="1067">
        <f t="shared" si="87"/>
        <v>0</v>
      </c>
      <c r="T141" s="1067">
        <f t="shared" si="87"/>
        <v>195000</v>
      </c>
      <c r="U141" s="1067">
        <f t="shared" si="87"/>
        <v>0</v>
      </c>
      <c r="V141" s="1067">
        <f t="shared" si="87"/>
        <v>10000</v>
      </c>
      <c r="W141" s="1067">
        <f t="shared" si="87"/>
        <v>0</v>
      </c>
      <c r="X141" s="1067">
        <f t="shared" si="87"/>
        <v>210000</v>
      </c>
      <c r="Y141" s="1067">
        <f>+Y142+Y143</f>
        <v>0</v>
      </c>
      <c r="Z141" s="1067">
        <f>+Z142+Z143</f>
        <v>60000</v>
      </c>
      <c r="AA141" s="1067">
        <f t="shared" si="87"/>
        <v>0</v>
      </c>
      <c r="AB141" s="1067">
        <f t="shared" si="87"/>
        <v>10000</v>
      </c>
      <c r="AC141" s="1067">
        <f t="shared" si="87"/>
        <v>0</v>
      </c>
      <c r="AD141" s="1067">
        <f t="shared" si="87"/>
        <v>756440</v>
      </c>
      <c r="AE141" s="1067">
        <f t="shared" si="87"/>
        <v>0</v>
      </c>
      <c r="AF141" s="1067">
        <f t="shared" si="87"/>
        <v>10000</v>
      </c>
      <c r="AG141" s="1067">
        <f t="shared" si="87"/>
        <v>0</v>
      </c>
      <c r="AH141" s="1067">
        <f t="shared" si="87"/>
        <v>90000</v>
      </c>
      <c r="AI141" s="1067">
        <f t="shared" si="87"/>
        <v>0</v>
      </c>
      <c r="AJ141" s="1067">
        <f t="shared" si="87"/>
        <v>155000</v>
      </c>
      <c r="AK141" s="1067">
        <f t="shared" si="87"/>
        <v>0</v>
      </c>
      <c r="AL141" s="1067">
        <f t="shared" si="87"/>
        <v>0</v>
      </c>
    </row>
    <row r="142" spans="1:38">
      <c r="A142" s="998"/>
      <c r="B142" s="1002" t="s">
        <v>437</v>
      </c>
      <c r="C142" s="1078"/>
      <c r="D142" s="1078">
        <f t="shared" si="85"/>
        <v>696440</v>
      </c>
      <c r="E142" s="1078"/>
      <c r="F142" s="1078"/>
      <c r="G142" s="1079"/>
      <c r="H142" s="1079"/>
      <c r="I142" s="1079"/>
      <c r="J142" s="1079"/>
      <c r="K142" s="1079"/>
      <c r="L142" s="1079"/>
      <c r="M142" s="1079"/>
      <c r="N142" s="1079"/>
      <c r="O142" s="1079"/>
      <c r="P142" s="1079"/>
      <c r="Q142" s="1079"/>
      <c r="R142" s="1079"/>
      <c r="S142" s="1079"/>
      <c r="T142" s="1079"/>
      <c r="U142" s="1079"/>
      <c r="V142" s="1079"/>
      <c r="W142" s="1079"/>
      <c r="X142" s="1079"/>
      <c r="Y142" s="1079"/>
      <c r="Z142" s="1079"/>
      <c r="AA142" s="1079"/>
      <c r="AB142" s="1079"/>
      <c r="AC142" s="1079"/>
      <c r="AD142" s="1079">
        <v>696440</v>
      </c>
      <c r="AE142" s="1079"/>
      <c r="AF142" s="1079"/>
      <c r="AG142" s="1079"/>
      <c r="AH142" s="1079"/>
      <c r="AI142" s="1079"/>
      <c r="AJ142" s="1079"/>
      <c r="AK142" s="1079"/>
      <c r="AL142" s="1079"/>
    </row>
    <row r="143" spans="1:38">
      <c r="A143" s="998"/>
      <c r="B143" s="1002" t="s">
        <v>438</v>
      </c>
      <c r="C143" s="1078"/>
      <c r="D143" s="1078">
        <f t="shared" si="85"/>
        <v>1910000</v>
      </c>
      <c r="E143" s="1078"/>
      <c r="F143" s="1078">
        <f>40000+10000</f>
        <v>50000</v>
      </c>
      <c r="G143" s="1079"/>
      <c r="H143" s="1079">
        <v>10000</v>
      </c>
      <c r="I143" s="1079"/>
      <c r="J143" s="1079">
        <v>10000</v>
      </c>
      <c r="K143" s="1079"/>
      <c r="L143" s="1079">
        <f>145000+10000</f>
        <v>155000</v>
      </c>
      <c r="M143" s="1079"/>
      <c r="N143" s="1079">
        <f>145000+10000</f>
        <v>155000</v>
      </c>
      <c r="O143" s="1079"/>
      <c r="P143" s="1079">
        <f>395000+10000+80000</f>
        <v>485000</v>
      </c>
      <c r="Q143" s="1079"/>
      <c r="R143" s="1079">
        <f>145000+10000+90000</f>
        <v>245000</v>
      </c>
      <c r="S143" s="1079"/>
      <c r="T143" s="1079">
        <f>125000+10000+60000</f>
        <v>195000</v>
      </c>
      <c r="U143" s="1079"/>
      <c r="V143" s="1079">
        <v>10000</v>
      </c>
      <c r="W143" s="1079"/>
      <c r="X143" s="1079">
        <f>200000+10000</f>
        <v>210000</v>
      </c>
      <c r="Y143" s="1079"/>
      <c r="Z143" s="1079">
        <f>50000+10000</f>
        <v>60000</v>
      </c>
      <c r="AA143" s="1079"/>
      <c r="AB143" s="1079">
        <v>10000</v>
      </c>
      <c r="AC143" s="1079"/>
      <c r="AD143" s="1079">
        <f>50000+10000</f>
        <v>60000</v>
      </c>
      <c r="AE143" s="1079"/>
      <c r="AF143" s="1079">
        <v>10000</v>
      </c>
      <c r="AG143" s="1079"/>
      <c r="AH143" s="1079">
        <f>60000+10000+20000</f>
        <v>90000</v>
      </c>
      <c r="AI143" s="1079"/>
      <c r="AJ143" s="1079">
        <f>145000+10000</f>
        <v>155000</v>
      </c>
      <c r="AK143" s="1079"/>
      <c r="AL143" s="1079"/>
    </row>
    <row r="144" spans="1:38">
      <c r="A144" s="998" t="s">
        <v>213</v>
      </c>
      <c r="B144" s="1002" t="s">
        <v>439</v>
      </c>
      <c r="C144" s="1078"/>
      <c r="D144" s="1078">
        <f t="shared" si="85"/>
        <v>0</v>
      </c>
      <c r="E144" s="1066">
        <f t="shared" ref="E144:AL144" si="88">SUM(E145:E146)</f>
        <v>0</v>
      </c>
      <c r="F144" s="1066">
        <f t="shared" si="88"/>
        <v>0</v>
      </c>
      <c r="G144" s="1067">
        <f t="shared" si="88"/>
        <v>0</v>
      </c>
      <c r="H144" s="1067">
        <f t="shared" si="88"/>
        <v>0</v>
      </c>
      <c r="I144" s="1067">
        <f t="shared" si="88"/>
        <v>0</v>
      </c>
      <c r="J144" s="1067">
        <f t="shared" si="88"/>
        <v>0</v>
      </c>
      <c r="K144" s="1067">
        <f t="shared" si="88"/>
        <v>0</v>
      </c>
      <c r="L144" s="1067">
        <f t="shared" si="88"/>
        <v>0</v>
      </c>
      <c r="M144" s="1067">
        <f t="shared" si="88"/>
        <v>0</v>
      </c>
      <c r="N144" s="1067">
        <f t="shared" si="88"/>
        <v>0</v>
      </c>
      <c r="O144" s="1067">
        <f t="shared" si="88"/>
        <v>0</v>
      </c>
      <c r="P144" s="1067">
        <f t="shared" si="88"/>
        <v>0</v>
      </c>
      <c r="Q144" s="1067">
        <f t="shared" si="88"/>
        <v>0</v>
      </c>
      <c r="R144" s="1067">
        <f t="shared" si="88"/>
        <v>0</v>
      </c>
      <c r="S144" s="1067">
        <f t="shared" si="88"/>
        <v>0</v>
      </c>
      <c r="T144" s="1067">
        <f t="shared" si="88"/>
        <v>0</v>
      </c>
      <c r="U144" s="1067">
        <f t="shared" si="88"/>
        <v>0</v>
      </c>
      <c r="V144" s="1067">
        <f t="shared" si="88"/>
        <v>0</v>
      </c>
      <c r="W144" s="1067">
        <f t="shared" si="88"/>
        <v>0</v>
      </c>
      <c r="X144" s="1067">
        <f t="shared" si="88"/>
        <v>0</v>
      </c>
      <c r="Y144" s="1067">
        <f>SUM(Y145:Y146)</f>
        <v>0</v>
      </c>
      <c r="Z144" s="1067">
        <f>SUM(Z145:Z146)</f>
        <v>0</v>
      </c>
      <c r="AA144" s="1067">
        <f t="shared" si="88"/>
        <v>0</v>
      </c>
      <c r="AB144" s="1067">
        <f t="shared" si="88"/>
        <v>0</v>
      </c>
      <c r="AC144" s="1067">
        <f t="shared" si="88"/>
        <v>0</v>
      </c>
      <c r="AD144" s="1067">
        <f t="shared" si="88"/>
        <v>0</v>
      </c>
      <c r="AE144" s="1067">
        <f t="shared" si="88"/>
        <v>0</v>
      </c>
      <c r="AF144" s="1067">
        <f t="shared" si="88"/>
        <v>0</v>
      </c>
      <c r="AG144" s="1067">
        <f t="shared" si="88"/>
        <v>0</v>
      </c>
      <c r="AH144" s="1067">
        <f t="shared" si="88"/>
        <v>0</v>
      </c>
      <c r="AI144" s="1067">
        <f t="shared" si="88"/>
        <v>0</v>
      </c>
      <c r="AJ144" s="1067">
        <f t="shared" si="88"/>
        <v>0</v>
      </c>
      <c r="AK144" s="1067">
        <f t="shared" si="88"/>
        <v>0</v>
      </c>
      <c r="AL144" s="1067">
        <f t="shared" si="88"/>
        <v>0</v>
      </c>
    </row>
    <row r="145" spans="1:38">
      <c r="A145" s="998"/>
      <c r="B145" s="1002" t="s">
        <v>437</v>
      </c>
      <c r="C145" s="1078"/>
      <c r="D145" s="1078">
        <f t="shared" si="85"/>
        <v>0</v>
      </c>
      <c r="E145" s="1078"/>
      <c r="F145" s="1078">
        <v>0</v>
      </c>
      <c r="G145" s="1079"/>
      <c r="H145" s="1079"/>
      <c r="I145" s="1079"/>
      <c r="J145" s="1079"/>
      <c r="K145" s="1079"/>
      <c r="L145" s="1079"/>
      <c r="M145" s="1079"/>
      <c r="N145" s="1079"/>
      <c r="O145" s="1079"/>
      <c r="P145" s="1079"/>
      <c r="Q145" s="1079"/>
      <c r="R145" s="1079"/>
      <c r="S145" s="1079"/>
      <c r="T145" s="1079"/>
      <c r="U145" s="1079"/>
      <c r="V145" s="1079"/>
      <c r="W145" s="1079"/>
      <c r="X145" s="1079"/>
      <c r="Y145" s="1079"/>
      <c r="Z145" s="1079"/>
      <c r="AA145" s="1079"/>
      <c r="AB145" s="1079"/>
      <c r="AC145" s="1079"/>
      <c r="AD145" s="1079"/>
      <c r="AE145" s="1079"/>
      <c r="AF145" s="1079"/>
      <c r="AG145" s="1079"/>
      <c r="AH145" s="1079"/>
      <c r="AI145" s="1079"/>
      <c r="AJ145" s="1079"/>
      <c r="AK145" s="1079"/>
      <c r="AL145" s="1079"/>
    </row>
    <row r="146" spans="1:38" ht="20.25" customHeight="1">
      <c r="A146" s="998"/>
      <c r="B146" s="1002" t="s">
        <v>438</v>
      </c>
      <c r="C146" s="1078"/>
      <c r="D146" s="1078">
        <f t="shared" si="85"/>
        <v>0</v>
      </c>
      <c r="E146" s="1078"/>
      <c r="F146" s="1078"/>
      <c r="G146" s="1079"/>
      <c r="H146" s="1079"/>
      <c r="I146" s="1079"/>
      <c r="J146" s="1079"/>
      <c r="K146" s="1079"/>
      <c r="L146" s="1079"/>
      <c r="M146" s="1079"/>
      <c r="N146" s="1079"/>
      <c r="O146" s="1079"/>
      <c r="P146" s="1079"/>
      <c r="Q146" s="1079"/>
      <c r="R146" s="1079"/>
      <c r="S146" s="1079"/>
      <c r="T146" s="1079"/>
      <c r="U146" s="1079"/>
      <c r="V146" s="1079"/>
      <c r="W146" s="1079"/>
      <c r="X146" s="1079"/>
      <c r="Y146" s="1079"/>
      <c r="Z146" s="1079"/>
      <c r="AA146" s="1079"/>
      <c r="AB146" s="1079"/>
      <c r="AC146" s="1079"/>
      <c r="AD146" s="1079"/>
      <c r="AE146" s="1079"/>
      <c r="AF146" s="1079"/>
      <c r="AG146" s="1079"/>
      <c r="AH146" s="1079"/>
      <c r="AI146" s="1079"/>
      <c r="AJ146" s="1079"/>
      <c r="AK146" s="1079"/>
      <c r="AL146" s="1079"/>
    </row>
    <row r="147" spans="1:38" ht="28.5" customHeight="1">
      <c r="A147" s="998" t="s">
        <v>214</v>
      </c>
      <c r="B147" s="1002" t="s">
        <v>440</v>
      </c>
      <c r="C147" s="1078"/>
      <c r="D147" s="1066">
        <f t="shared" si="85"/>
        <v>42759450</v>
      </c>
      <c r="E147" s="1066">
        <f t="shared" ref="E147:AL147" si="89">SUM(E148:E149)</f>
        <v>0</v>
      </c>
      <c r="F147" s="1066">
        <f t="shared" si="89"/>
        <v>4474780</v>
      </c>
      <c r="G147" s="1067">
        <f t="shared" si="89"/>
        <v>0</v>
      </c>
      <c r="H147" s="1067">
        <f t="shared" si="89"/>
        <v>3703540</v>
      </c>
      <c r="I147" s="1067">
        <f t="shared" si="89"/>
        <v>0</v>
      </c>
      <c r="J147" s="1067">
        <f t="shared" si="89"/>
        <v>939880</v>
      </c>
      <c r="K147" s="1067">
        <f t="shared" si="89"/>
        <v>0</v>
      </c>
      <c r="L147" s="1067">
        <f t="shared" si="89"/>
        <v>3657800</v>
      </c>
      <c r="M147" s="1067">
        <f t="shared" si="89"/>
        <v>0</v>
      </c>
      <c r="N147" s="1067">
        <f t="shared" si="89"/>
        <v>1973330</v>
      </c>
      <c r="O147" s="1067">
        <f t="shared" si="89"/>
        <v>0</v>
      </c>
      <c r="P147" s="1067">
        <f t="shared" si="89"/>
        <v>3230170</v>
      </c>
      <c r="Q147" s="1067">
        <f t="shared" si="89"/>
        <v>0</v>
      </c>
      <c r="R147" s="1067">
        <f t="shared" si="89"/>
        <v>1606920</v>
      </c>
      <c r="S147" s="1067">
        <f t="shared" si="89"/>
        <v>0</v>
      </c>
      <c r="T147" s="1067">
        <f t="shared" si="89"/>
        <v>1335750</v>
      </c>
      <c r="U147" s="1067">
        <f t="shared" si="89"/>
        <v>0</v>
      </c>
      <c r="V147" s="1067">
        <f t="shared" si="89"/>
        <v>2877440</v>
      </c>
      <c r="W147" s="1067">
        <f t="shared" si="89"/>
        <v>0</v>
      </c>
      <c r="X147" s="1067">
        <f t="shared" si="89"/>
        <v>3914550</v>
      </c>
      <c r="Y147" s="1067">
        <f>SUM(Y148:Y149)</f>
        <v>0</v>
      </c>
      <c r="Z147" s="1067">
        <f>SUM(Z148:Z149)</f>
        <v>2374700</v>
      </c>
      <c r="AA147" s="1067">
        <f t="shared" si="89"/>
        <v>0</v>
      </c>
      <c r="AB147" s="1067">
        <f t="shared" si="89"/>
        <v>967600</v>
      </c>
      <c r="AC147" s="1067">
        <f t="shared" si="89"/>
        <v>0</v>
      </c>
      <c r="AD147" s="1067">
        <f t="shared" si="89"/>
        <v>1067050</v>
      </c>
      <c r="AE147" s="1067">
        <f t="shared" si="89"/>
        <v>0</v>
      </c>
      <c r="AF147" s="1067">
        <f t="shared" si="89"/>
        <v>2891940</v>
      </c>
      <c r="AG147" s="1067">
        <f t="shared" si="89"/>
        <v>0</v>
      </c>
      <c r="AH147" s="1067">
        <f t="shared" si="89"/>
        <v>3625450</v>
      </c>
      <c r="AI147" s="1067">
        <f t="shared" si="89"/>
        <v>0</v>
      </c>
      <c r="AJ147" s="1067">
        <f t="shared" si="89"/>
        <v>3302010</v>
      </c>
      <c r="AK147" s="1067">
        <f t="shared" si="89"/>
        <v>0</v>
      </c>
      <c r="AL147" s="1067">
        <f t="shared" si="89"/>
        <v>816540</v>
      </c>
    </row>
    <row r="148" spans="1:38" s="1133" customFormat="1">
      <c r="A148" s="1119"/>
      <c r="B148" s="1131" t="s">
        <v>437</v>
      </c>
      <c r="C148" s="1132"/>
      <c r="D148" s="1132">
        <f t="shared" si="85"/>
        <v>42759450</v>
      </c>
      <c r="E148" s="1132"/>
      <c r="F148" s="1132">
        <v>4474780</v>
      </c>
      <c r="G148" s="1132"/>
      <c r="H148" s="1132">
        <v>3703540</v>
      </c>
      <c r="I148" s="1132"/>
      <c r="J148" s="1132">
        <v>939880</v>
      </c>
      <c r="K148" s="1132"/>
      <c r="L148" s="1132">
        <v>3657800</v>
      </c>
      <c r="M148" s="1132"/>
      <c r="N148" s="1132">
        <v>1973330</v>
      </c>
      <c r="O148" s="1132"/>
      <c r="P148" s="1132">
        <v>3230170</v>
      </c>
      <c r="Q148" s="1132"/>
      <c r="R148" s="1132">
        <v>1606920</v>
      </c>
      <c r="S148" s="1132"/>
      <c r="T148" s="1132">
        <v>1335750</v>
      </c>
      <c r="U148" s="1132"/>
      <c r="V148" s="1132">
        <v>2877440</v>
      </c>
      <c r="W148" s="1132"/>
      <c r="X148" s="1132">
        <v>3914550</v>
      </c>
      <c r="Y148" s="1132"/>
      <c r="Z148" s="1132">
        <v>2374700</v>
      </c>
      <c r="AA148" s="1132"/>
      <c r="AB148" s="1132">
        <v>967600</v>
      </c>
      <c r="AC148" s="1132"/>
      <c r="AD148" s="1132">
        <v>1067050</v>
      </c>
      <c r="AE148" s="1132"/>
      <c r="AF148" s="1132">
        <v>2891940</v>
      </c>
      <c r="AG148" s="1132"/>
      <c r="AH148" s="1132">
        <v>3625450</v>
      </c>
      <c r="AI148" s="1132"/>
      <c r="AJ148" s="1132">
        <v>3302010</v>
      </c>
      <c r="AK148" s="1132"/>
      <c r="AL148" s="1132">
        <v>816540</v>
      </c>
    </row>
    <row r="149" spans="1:38">
      <c r="A149" s="996"/>
      <c r="B149" s="1002" t="s">
        <v>438</v>
      </c>
      <c r="C149" s="1078"/>
      <c r="D149" s="1078">
        <f t="shared" si="85"/>
        <v>0</v>
      </c>
      <c r="E149" s="1078"/>
      <c r="F149" s="1078"/>
      <c r="G149" s="1079"/>
      <c r="H149" s="1079"/>
      <c r="I149" s="1079"/>
      <c r="J149" s="1079"/>
      <c r="K149" s="1079"/>
      <c r="L149" s="1079"/>
      <c r="M149" s="1079"/>
      <c r="N149" s="1079"/>
      <c r="O149" s="1079"/>
      <c r="P149" s="1079"/>
      <c r="Q149" s="1079"/>
      <c r="R149" s="1079"/>
      <c r="S149" s="1079"/>
      <c r="T149" s="1079"/>
      <c r="U149" s="1079"/>
      <c r="V149" s="1079"/>
      <c r="W149" s="1079"/>
      <c r="X149" s="1079"/>
      <c r="Y149" s="1079"/>
      <c r="Z149" s="1079"/>
      <c r="AA149" s="1079"/>
      <c r="AB149" s="1079"/>
      <c r="AC149" s="1079"/>
      <c r="AD149" s="1079"/>
      <c r="AE149" s="1079"/>
      <c r="AF149" s="1079"/>
      <c r="AG149" s="1079"/>
      <c r="AH149" s="1079"/>
      <c r="AI149" s="1079"/>
      <c r="AJ149" s="1079"/>
      <c r="AK149" s="1079"/>
      <c r="AL149" s="1079"/>
    </row>
    <row r="150" spans="1:38" ht="28.5">
      <c r="A150" s="996">
        <v>3</v>
      </c>
      <c r="B150" s="1129" t="s">
        <v>621</v>
      </c>
      <c r="C150" s="1134"/>
      <c r="D150" s="1066">
        <f>+AL150+AJ150+AH150+AF150+AD150+Z150+AB150+X150+V150+T150+R150+P150+N150+L150+J150+H150+F150</f>
        <v>200000</v>
      </c>
      <c r="E150" s="1066">
        <f t="shared" ref="E150:S150" si="90">SUM(E151:E152)</f>
        <v>0</v>
      </c>
      <c r="F150" s="1066">
        <f>SUM(F151:F152)</f>
        <v>0</v>
      </c>
      <c r="G150" s="1067">
        <f t="shared" si="90"/>
        <v>0</v>
      </c>
      <c r="H150" s="1067">
        <f t="shared" si="90"/>
        <v>100000</v>
      </c>
      <c r="I150" s="1067">
        <f t="shared" si="90"/>
        <v>0</v>
      </c>
      <c r="J150" s="1067">
        <f t="shared" si="90"/>
        <v>0</v>
      </c>
      <c r="K150" s="1067">
        <f t="shared" si="90"/>
        <v>0</v>
      </c>
      <c r="L150" s="1067">
        <f t="shared" si="90"/>
        <v>0</v>
      </c>
      <c r="M150" s="1067">
        <f t="shared" si="90"/>
        <v>0</v>
      </c>
      <c r="N150" s="1067">
        <f t="shared" si="90"/>
        <v>0</v>
      </c>
      <c r="O150" s="1067">
        <f t="shared" si="90"/>
        <v>0</v>
      </c>
      <c r="P150" s="1067">
        <f t="shared" si="90"/>
        <v>0</v>
      </c>
      <c r="Q150" s="1067">
        <f t="shared" si="90"/>
        <v>0</v>
      </c>
      <c r="R150" s="1067">
        <f t="shared" si="90"/>
        <v>0</v>
      </c>
      <c r="S150" s="1067">
        <f t="shared" si="90"/>
        <v>0</v>
      </c>
      <c r="T150" s="1067">
        <f>SUM(T151:T152)</f>
        <v>0</v>
      </c>
      <c r="U150" s="1067">
        <f t="shared" ref="U150:AL150" si="91">SUM(U151:U152)</f>
        <v>0</v>
      </c>
      <c r="V150" s="1067">
        <f t="shared" si="91"/>
        <v>0</v>
      </c>
      <c r="W150" s="1067">
        <f t="shared" si="91"/>
        <v>0</v>
      </c>
      <c r="X150" s="1067">
        <f t="shared" si="91"/>
        <v>0</v>
      </c>
      <c r="Y150" s="1067">
        <f t="shared" si="91"/>
        <v>0</v>
      </c>
      <c r="Z150" s="1067">
        <f t="shared" si="91"/>
        <v>0</v>
      </c>
      <c r="AA150" s="1067">
        <f t="shared" si="91"/>
        <v>0</v>
      </c>
      <c r="AB150" s="1067">
        <f t="shared" si="91"/>
        <v>0</v>
      </c>
      <c r="AC150" s="1067">
        <f t="shared" si="91"/>
        <v>0</v>
      </c>
      <c r="AD150" s="1067">
        <f t="shared" si="91"/>
        <v>100000</v>
      </c>
      <c r="AE150" s="1067">
        <f t="shared" si="91"/>
        <v>0</v>
      </c>
      <c r="AF150" s="1067">
        <f t="shared" si="91"/>
        <v>0</v>
      </c>
      <c r="AG150" s="1067">
        <f t="shared" si="91"/>
        <v>0</v>
      </c>
      <c r="AH150" s="1067">
        <f t="shared" si="91"/>
        <v>0</v>
      </c>
      <c r="AI150" s="1067">
        <f t="shared" si="91"/>
        <v>0</v>
      </c>
      <c r="AJ150" s="1067">
        <f t="shared" si="91"/>
        <v>0</v>
      </c>
      <c r="AK150" s="1067">
        <f t="shared" si="91"/>
        <v>0</v>
      </c>
      <c r="AL150" s="1067">
        <f t="shared" si="91"/>
        <v>0</v>
      </c>
    </row>
    <row r="151" spans="1:38">
      <c r="A151" s="996"/>
      <c r="B151" s="1002" t="s">
        <v>622</v>
      </c>
      <c r="C151" s="1134"/>
      <c r="D151" s="1078">
        <f t="shared" si="85"/>
        <v>0</v>
      </c>
      <c r="E151" s="1135"/>
      <c r="F151" s="1135"/>
      <c r="G151" s="1101"/>
      <c r="H151" s="1079"/>
      <c r="I151" s="1079"/>
      <c r="J151" s="1079"/>
      <c r="K151" s="1101"/>
      <c r="L151" s="1079"/>
      <c r="M151" s="1101"/>
      <c r="N151" s="1079"/>
      <c r="O151" s="1101"/>
      <c r="P151" s="1079"/>
      <c r="Q151" s="1101"/>
      <c r="R151" s="1101"/>
      <c r="S151" s="1079"/>
      <c r="T151" s="1079"/>
      <c r="U151" s="1101"/>
      <c r="V151" s="1101"/>
      <c r="W151" s="1101"/>
      <c r="X151" s="1101"/>
      <c r="Y151" s="1101"/>
      <c r="Z151" s="1101"/>
      <c r="AA151" s="1101"/>
      <c r="AB151" s="1101"/>
      <c r="AC151" s="1101"/>
      <c r="AD151" s="1101"/>
      <c r="AE151" s="1101"/>
      <c r="AF151" s="1101"/>
      <c r="AG151" s="1101"/>
      <c r="AH151" s="1079"/>
      <c r="AI151" s="1101"/>
      <c r="AJ151" s="1079"/>
      <c r="AK151" s="1101"/>
      <c r="AL151" s="1101"/>
    </row>
    <row r="152" spans="1:38" ht="30">
      <c r="A152" s="1136"/>
      <c r="B152" s="1137" t="s">
        <v>623</v>
      </c>
      <c r="C152" s="1138"/>
      <c r="D152" s="1139">
        <f t="shared" si="85"/>
        <v>200000</v>
      </c>
      <c r="E152" s="1140"/>
      <c r="F152" s="1139"/>
      <c r="G152" s="1141"/>
      <c r="H152" s="1142">
        <v>100000</v>
      </c>
      <c r="I152" s="1141"/>
      <c r="J152" s="1141"/>
      <c r="K152" s="1141"/>
      <c r="L152" s="1141"/>
      <c r="M152" s="1141"/>
      <c r="N152" s="1141"/>
      <c r="O152" s="1141"/>
      <c r="P152" s="1141"/>
      <c r="Q152" s="1142"/>
      <c r="R152" s="1141"/>
      <c r="S152" s="1141"/>
      <c r="T152" s="1141"/>
      <c r="U152" s="1141"/>
      <c r="V152" s="1141"/>
      <c r="W152" s="1141"/>
      <c r="X152" s="1141"/>
      <c r="Y152" s="1141"/>
      <c r="Z152" s="1141"/>
      <c r="AA152" s="1141"/>
      <c r="AB152" s="1141"/>
      <c r="AC152" s="1141"/>
      <c r="AD152" s="1142">
        <v>100000</v>
      </c>
      <c r="AE152" s="1141"/>
      <c r="AF152" s="1141"/>
      <c r="AG152" s="1141"/>
      <c r="AH152" s="1141"/>
      <c r="AI152" s="1141"/>
      <c r="AJ152" s="1141"/>
      <c r="AK152" s="1141"/>
      <c r="AL152" s="1141"/>
    </row>
    <row r="165" spans="3:38">
      <c r="C165" s="1050"/>
      <c r="D165" s="1050"/>
      <c r="E165" s="1050"/>
      <c r="F165" s="1050"/>
      <c r="G165" s="1050"/>
      <c r="H165" s="1050"/>
      <c r="I165" s="1050"/>
      <c r="J165" s="1050"/>
      <c r="M165" s="1144">
        <f>SUM(M166:M167)</f>
        <v>28.580773800000003</v>
      </c>
      <c r="N165" s="1050"/>
      <c r="O165" s="1050"/>
      <c r="P165" s="1050"/>
      <c r="Q165" s="1050"/>
      <c r="R165" s="1050"/>
      <c r="S165" s="1050"/>
      <c r="T165" s="1050"/>
      <c r="U165" s="1050"/>
      <c r="V165" s="1050"/>
      <c r="W165" s="1050"/>
      <c r="X165" s="1050"/>
      <c r="Y165" s="1050"/>
      <c r="Z165" s="1050"/>
      <c r="AA165" s="1050"/>
      <c r="AB165" s="1050"/>
      <c r="AC165" s="1050"/>
      <c r="AD165" s="1050"/>
      <c r="AE165" s="1050"/>
      <c r="AF165" s="1050"/>
      <c r="AG165" s="1050"/>
      <c r="AH165" s="1050"/>
      <c r="AI165" s="1050"/>
      <c r="AJ165" s="1050"/>
      <c r="AK165" s="1050"/>
      <c r="AL165" s="1050"/>
    </row>
    <row r="166" spans="3:38">
      <c r="C166" s="1050"/>
      <c r="D166" s="1050"/>
      <c r="E166" s="1050"/>
      <c r="F166" s="1050"/>
      <c r="G166" s="1050"/>
      <c r="H166" s="1050"/>
      <c r="I166" s="1050"/>
      <c r="J166" s="1050"/>
      <c r="K166" s="1143">
        <v>4</v>
      </c>
      <c r="L166" s="1145">
        <f>+((2.34+2.33)+(2.34*0.225)+(2.33*4.01%*0.225))</f>
        <v>5.2175224250000003</v>
      </c>
      <c r="M166" s="1144">
        <f>+K166*L166</f>
        <v>20.870089700000001</v>
      </c>
      <c r="N166" s="1050"/>
      <c r="O166" s="1050"/>
      <c r="P166" s="1050"/>
      <c r="Q166" s="1050"/>
      <c r="R166" s="1050"/>
      <c r="S166" s="1050"/>
      <c r="T166" s="1050"/>
      <c r="U166" s="1050"/>
      <c r="V166" s="1050"/>
      <c r="W166" s="1050"/>
      <c r="X166" s="1050"/>
      <c r="Y166" s="1050"/>
      <c r="Z166" s="1050"/>
      <c r="AA166" s="1050"/>
      <c r="AB166" s="1050"/>
      <c r="AC166" s="1050"/>
      <c r="AD166" s="1050"/>
      <c r="AE166" s="1050"/>
      <c r="AF166" s="1050"/>
      <c r="AG166" s="1050"/>
      <c r="AH166" s="1050"/>
      <c r="AI166" s="1050"/>
      <c r="AJ166" s="1050"/>
      <c r="AK166" s="1050"/>
      <c r="AL166" s="1050"/>
    </row>
    <row r="167" spans="3:38">
      <c r="C167" s="1050"/>
      <c r="D167" s="1050"/>
      <c r="E167" s="1050"/>
      <c r="F167" s="1050"/>
      <c r="G167" s="1050"/>
      <c r="H167" s="1050"/>
      <c r="I167" s="1050"/>
      <c r="J167" s="1050"/>
      <c r="K167" s="1143">
        <v>2</v>
      </c>
      <c r="L167" s="1146">
        <f>+((2.34+0.98)+(2.34*0.225)+(0.98*4.01%*0.225))</f>
        <v>3.85534205</v>
      </c>
      <c r="M167" s="1144">
        <f t="shared" ref="M167:M168" si="92">+K167*L167</f>
        <v>7.7106840999999999</v>
      </c>
      <c r="N167" s="1050"/>
      <c r="O167" s="1050"/>
      <c r="P167" s="1050"/>
      <c r="Q167" s="1050"/>
      <c r="R167" s="1050"/>
      <c r="S167" s="1050"/>
      <c r="T167" s="1050"/>
      <c r="U167" s="1050"/>
      <c r="V167" s="1050"/>
      <c r="W167" s="1050"/>
      <c r="X167" s="1050"/>
      <c r="Y167" s="1050"/>
      <c r="Z167" s="1050"/>
      <c r="AA167" s="1050"/>
      <c r="AB167" s="1050"/>
      <c r="AC167" s="1050"/>
      <c r="AD167" s="1050"/>
      <c r="AE167" s="1050"/>
      <c r="AF167" s="1050"/>
      <c r="AG167" s="1050"/>
      <c r="AH167" s="1050"/>
      <c r="AI167" s="1050"/>
      <c r="AJ167" s="1050"/>
      <c r="AK167" s="1050"/>
      <c r="AL167" s="1050"/>
    </row>
    <row r="168" spans="3:38">
      <c r="C168" s="1050"/>
      <c r="D168" s="1050"/>
      <c r="E168" s="1050"/>
      <c r="F168" s="1050"/>
      <c r="G168" s="1050"/>
      <c r="H168" s="1050"/>
      <c r="I168" s="1050"/>
      <c r="J168" s="1050"/>
      <c r="M168" s="1144">
        <f t="shared" si="92"/>
        <v>0</v>
      </c>
      <c r="N168" s="1050"/>
      <c r="O168" s="1050"/>
      <c r="P168" s="1050"/>
      <c r="Q168" s="1050"/>
      <c r="R168" s="1050"/>
      <c r="S168" s="1050"/>
      <c r="T168" s="1050"/>
      <c r="U168" s="1050"/>
      <c r="V168" s="1050"/>
      <c r="W168" s="1050"/>
      <c r="X168" s="1050"/>
      <c r="Y168" s="1050"/>
      <c r="Z168" s="1050"/>
      <c r="AA168" s="1050"/>
      <c r="AB168" s="1050"/>
      <c r="AC168" s="1050"/>
      <c r="AD168" s="1050"/>
      <c r="AE168" s="1050"/>
      <c r="AF168" s="1050"/>
      <c r="AG168" s="1050"/>
      <c r="AH168" s="1050"/>
      <c r="AI168" s="1050"/>
      <c r="AJ168" s="1050"/>
      <c r="AK168" s="1050"/>
      <c r="AL168" s="1050"/>
    </row>
    <row r="169" spans="3:38">
      <c r="C169" s="1050"/>
      <c r="D169" s="1050"/>
      <c r="E169" s="1050"/>
      <c r="F169" s="1050"/>
      <c r="G169" s="1050"/>
      <c r="H169" s="1050"/>
      <c r="I169" s="1050"/>
      <c r="J169" s="1050"/>
      <c r="N169" s="1050"/>
      <c r="O169" s="1050"/>
      <c r="P169" s="1050"/>
      <c r="Q169" s="1050"/>
      <c r="R169" s="1050"/>
      <c r="S169" s="1050"/>
      <c r="T169" s="1050"/>
      <c r="U169" s="1050"/>
      <c r="V169" s="1050"/>
      <c r="W169" s="1050"/>
      <c r="X169" s="1050"/>
      <c r="Y169" s="1050"/>
      <c r="Z169" s="1050"/>
      <c r="AA169" s="1050"/>
      <c r="AB169" s="1050"/>
      <c r="AC169" s="1050"/>
      <c r="AD169" s="1050"/>
      <c r="AE169" s="1050"/>
      <c r="AF169" s="1050"/>
      <c r="AG169" s="1050"/>
      <c r="AH169" s="1050"/>
      <c r="AI169" s="1050"/>
      <c r="AJ169" s="1050"/>
      <c r="AK169" s="1050"/>
      <c r="AL169" s="1050"/>
    </row>
    <row r="170" spans="3:38">
      <c r="C170" s="1050"/>
      <c r="D170" s="1050"/>
      <c r="E170" s="1050"/>
      <c r="F170" s="1050"/>
      <c r="G170" s="1050"/>
      <c r="H170" s="1050"/>
      <c r="I170" s="1050"/>
      <c r="J170" s="1050"/>
      <c r="N170" s="1050"/>
      <c r="O170" s="1050"/>
      <c r="P170" s="1050"/>
      <c r="Q170" s="1050"/>
      <c r="R170" s="1050"/>
      <c r="S170" s="1050"/>
      <c r="T170" s="1050"/>
      <c r="U170" s="1050"/>
      <c r="V170" s="1050"/>
      <c r="W170" s="1050"/>
      <c r="X170" s="1050"/>
      <c r="Y170" s="1050"/>
      <c r="Z170" s="1050"/>
      <c r="AA170" s="1050"/>
      <c r="AB170" s="1050"/>
      <c r="AC170" s="1050"/>
      <c r="AD170" s="1050"/>
      <c r="AE170" s="1050"/>
      <c r="AF170" s="1050"/>
      <c r="AG170" s="1050"/>
      <c r="AH170" s="1050"/>
      <c r="AI170" s="1050"/>
      <c r="AJ170" s="1050"/>
      <c r="AK170" s="1050"/>
      <c r="AL170" s="1050"/>
    </row>
    <row r="171" spans="3:38">
      <c r="C171" s="1050"/>
      <c r="D171" s="1050"/>
      <c r="E171" s="1050"/>
      <c r="F171" s="1050"/>
      <c r="G171" s="1050"/>
      <c r="H171" s="1050"/>
      <c r="I171" s="1050"/>
      <c r="J171" s="1050"/>
      <c r="N171" s="1050"/>
      <c r="O171" s="1050"/>
      <c r="P171" s="1050"/>
      <c r="Q171" s="1050"/>
      <c r="R171" s="1050"/>
      <c r="S171" s="1050"/>
      <c r="T171" s="1050"/>
      <c r="U171" s="1050"/>
      <c r="V171" s="1050"/>
      <c r="W171" s="1050"/>
      <c r="X171" s="1050"/>
      <c r="Y171" s="1050"/>
      <c r="Z171" s="1050"/>
      <c r="AA171" s="1050"/>
      <c r="AB171" s="1050"/>
      <c r="AC171" s="1050"/>
      <c r="AD171" s="1050"/>
      <c r="AE171" s="1050"/>
      <c r="AF171" s="1050"/>
      <c r="AG171" s="1050"/>
      <c r="AH171" s="1050"/>
      <c r="AI171" s="1050"/>
      <c r="AJ171" s="1050"/>
      <c r="AK171" s="1050"/>
      <c r="AL171" s="1050"/>
    </row>
    <row r="172" spans="3:38">
      <c r="C172" s="1050"/>
      <c r="D172" s="1050"/>
      <c r="E172" s="1050"/>
      <c r="F172" s="1050"/>
      <c r="G172" s="1050"/>
      <c r="H172" s="1050"/>
      <c r="I172" s="1050"/>
      <c r="J172" s="1050"/>
      <c r="N172" s="1050"/>
      <c r="O172" s="1050"/>
      <c r="P172" s="1050"/>
      <c r="Q172" s="1050"/>
      <c r="R172" s="1050"/>
      <c r="S172" s="1050"/>
      <c r="T172" s="1050"/>
      <c r="U172" s="1050"/>
      <c r="V172" s="1050"/>
      <c r="W172" s="1050"/>
      <c r="X172" s="1050"/>
      <c r="Y172" s="1050"/>
      <c r="Z172" s="1050"/>
      <c r="AA172" s="1050"/>
      <c r="AB172" s="1050"/>
      <c r="AC172" s="1050"/>
      <c r="AD172" s="1050"/>
      <c r="AE172" s="1050"/>
      <c r="AF172" s="1050"/>
      <c r="AG172" s="1050"/>
      <c r="AH172" s="1050"/>
      <c r="AI172" s="1050"/>
      <c r="AJ172" s="1050"/>
      <c r="AK172" s="1050"/>
      <c r="AL172" s="1050"/>
    </row>
  </sheetData>
  <mergeCells count="21">
    <mergeCell ref="Q3:R3"/>
    <mergeCell ref="U3:V3"/>
    <mergeCell ref="S3:T3"/>
    <mergeCell ref="W3:X3"/>
    <mergeCell ref="A3:A4"/>
    <mergeCell ref="B3:B4"/>
    <mergeCell ref="M3:N3"/>
    <mergeCell ref="O3:P3"/>
    <mergeCell ref="C3:D3"/>
    <mergeCell ref="E3:F3"/>
    <mergeCell ref="G3:H3"/>
    <mergeCell ref="I3:J3"/>
    <mergeCell ref="K3:L3"/>
    <mergeCell ref="AM9:AM11"/>
    <mergeCell ref="AK3:AL3"/>
    <mergeCell ref="Y3:Z3"/>
    <mergeCell ref="AA3:AB3"/>
    <mergeCell ref="AC3:AD3"/>
    <mergeCell ref="AE3:AF3"/>
    <mergeCell ref="AI3:AJ3"/>
    <mergeCell ref="AG3:AH3"/>
  </mergeCells>
  <phoneticPr fontId="16" type="noConversion"/>
  <pageMargins left="0.24" right="0.16" top="0.39370078740157499" bottom="0.31496062992126" header="0.31496062992126" footer="0.23622047244094499"/>
  <pageSetup paperSize="8"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B1:AN182"/>
  <sheetViews>
    <sheetView topLeftCell="A2" zoomScale="110" zoomScaleNormal="110" workbookViewId="0">
      <pane xSplit="2" ySplit="9" topLeftCell="E11" activePane="bottomRight" state="frozen"/>
      <selection activeCell="A2" sqref="A2"/>
      <selection pane="topRight" activeCell="C2" sqref="C2"/>
      <selection pane="bottomLeft" activeCell="A11" sqref="A11"/>
      <selection pane="bottomRight" activeCell="S13" sqref="S13"/>
    </sheetView>
  </sheetViews>
  <sheetFormatPr defaultRowHeight="15"/>
  <cols>
    <col min="1" max="1" width="0.125" customWidth="1"/>
    <col min="2" max="2" width="2.125" customWidth="1"/>
    <col min="3" max="3" width="38.5" customWidth="1"/>
    <col min="4" max="5" width="6.25" customWidth="1"/>
    <col min="6" max="6" width="8.75" customWidth="1"/>
    <col min="7" max="7" width="6.875" customWidth="1"/>
    <col min="8" max="8" width="6.375" customWidth="1"/>
    <col min="9" max="9" width="4.875" customWidth="1"/>
    <col min="10" max="12" width="5.375" customWidth="1"/>
    <col min="13" max="13" width="5.125" customWidth="1"/>
    <col min="14" max="14" width="3.875" customWidth="1"/>
    <col min="15" max="15" width="6.25" customWidth="1"/>
    <col min="16" max="17" width="5.375" customWidth="1"/>
    <col min="18" max="18" width="5.5" customWidth="1"/>
    <col min="19" max="23" width="5.375" customWidth="1"/>
    <col min="24" max="24" width="4.75" customWidth="1"/>
    <col min="25" max="25" width="5.25" customWidth="1"/>
    <col min="26" max="26" width="0.125" customWidth="1"/>
    <col min="27" max="28" width="6.25" customWidth="1"/>
    <col min="29" max="30" width="4.75" customWidth="1"/>
    <col min="31" max="31" width="0.125" customWidth="1"/>
    <col min="32" max="32" width="5.375" customWidth="1"/>
    <col min="33" max="33" width="2.5" customWidth="1"/>
    <col min="34" max="34" width="2.875" customWidth="1"/>
    <col min="35" max="35" width="5.5" customWidth="1"/>
    <col min="36" max="36" width="7.625" customWidth="1"/>
    <col min="37" max="37" width="9.75" customWidth="1"/>
    <col min="38" max="38" width="1.5" customWidth="1"/>
    <col min="39" max="39" width="0.125" customWidth="1"/>
    <col min="40" max="40" width="8.125" customWidth="1"/>
  </cols>
  <sheetData>
    <row r="1" spans="2:40" ht="10.5" customHeight="1">
      <c r="B1" s="1242" t="s">
        <v>946</v>
      </c>
      <c r="C1" s="1242"/>
      <c r="D1" s="1242"/>
      <c r="E1" s="1242"/>
      <c r="F1" s="1242"/>
      <c r="G1" s="1242"/>
      <c r="H1" s="1242"/>
      <c r="I1" s="1242"/>
      <c r="J1" s="1242"/>
      <c r="K1" s="1242"/>
      <c r="L1" s="1242"/>
      <c r="M1" s="1242"/>
      <c r="N1" s="1242"/>
      <c r="O1" s="1242"/>
      <c r="P1" s="1242"/>
      <c r="Q1" s="1242"/>
      <c r="R1" s="1242"/>
      <c r="S1" s="1242"/>
      <c r="T1" s="1242"/>
      <c r="U1" s="1242"/>
      <c r="V1" s="1242"/>
      <c r="W1" s="1242"/>
      <c r="X1" s="1242"/>
      <c r="Y1" s="1242"/>
      <c r="Z1" s="1242"/>
      <c r="AA1" s="1242"/>
      <c r="AB1" s="1242"/>
      <c r="AC1" s="1242"/>
      <c r="AD1" s="1242"/>
      <c r="AE1" s="1242"/>
      <c r="AF1" s="1242"/>
      <c r="AH1" s="1243" t="s">
        <v>947</v>
      </c>
      <c r="AI1" s="1243"/>
      <c r="AJ1" s="1243"/>
      <c r="AK1" s="1243"/>
      <c r="AL1" s="1243"/>
      <c r="AM1" s="1243"/>
      <c r="AN1" s="1243"/>
    </row>
    <row r="2" spans="2:40" ht="10.5" customHeight="1"/>
    <row r="3" spans="2:40" ht="19.5" customHeight="1">
      <c r="B3" s="1244" t="s">
        <v>948</v>
      </c>
      <c r="C3" s="1244"/>
      <c r="D3" s="1244"/>
      <c r="E3" s="1244"/>
      <c r="F3" s="1244"/>
      <c r="G3" s="1244"/>
      <c r="H3" s="1244"/>
      <c r="I3" s="1244"/>
      <c r="J3" s="1244"/>
      <c r="K3" s="1244"/>
      <c r="L3" s="1244"/>
      <c r="M3" s="1244"/>
      <c r="N3" s="1244"/>
      <c r="O3" s="1244"/>
      <c r="P3" s="1244"/>
      <c r="Q3" s="1244"/>
      <c r="R3" s="1244"/>
      <c r="S3" s="1244"/>
      <c r="T3" s="1244"/>
      <c r="U3" s="1244"/>
      <c r="V3" s="1244"/>
      <c r="W3" s="1244"/>
      <c r="X3" s="1244"/>
      <c r="Y3" s="1244"/>
      <c r="Z3" s="1244"/>
      <c r="AA3" s="1244"/>
      <c r="AB3" s="1244"/>
      <c r="AC3" s="1244"/>
      <c r="AD3" s="1244"/>
      <c r="AE3" s="1244"/>
      <c r="AF3" s="1244"/>
      <c r="AG3" s="1244"/>
      <c r="AH3" s="1244"/>
      <c r="AI3" s="1244"/>
      <c r="AJ3" s="1244"/>
      <c r="AK3" s="1244"/>
      <c r="AL3" s="1244"/>
      <c r="AM3" s="1244"/>
      <c r="AN3" s="1244"/>
    </row>
    <row r="4" spans="2:40" ht="20.25" customHeight="1">
      <c r="B4" s="1245" t="s">
        <v>949</v>
      </c>
      <c r="C4" s="1245"/>
      <c r="D4" s="1245"/>
      <c r="E4" s="1245"/>
      <c r="F4" s="1245"/>
      <c r="G4" s="1245"/>
      <c r="H4" s="1245"/>
      <c r="I4" s="1245"/>
      <c r="J4" s="1245"/>
      <c r="K4" s="1245"/>
      <c r="L4" s="1245"/>
      <c r="M4" s="1245"/>
      <c r="N4" s="1245"/>
      <c r="O4" s="1245"/>
      <c r="P4" s="1245"/>
      <c r="Q4" s="1245"/>
      <c r="R4" s="1245"/>
      <c r="S4" s="1245"/>
      <c r="T4" s="1245"/>
      <c r="U4" s="1245"/>
      <c r="V4" s="1245"/>
      <c r="W4" s="1245"/>
      <c r="X4" s="1245"/>
      <c r="Y4" s="1245"/>
      <c r="Z4" s="1245"/>
      <c r="AA4" s="1245"/>
      <c r="AB4" s="1245"/>
      <c r="AC4" s="1245"/>
      <c r="AD4" s="1245"/>
      <c r="AE4" s="1245"/>
      <c r="AF4" s="1245"/>
      <c r="AG4" s="1245"/>
      <c r="AH4" s="1245"/>
      <c r="AI4" s="1245"/>
      <c r="AJ4" s="1245"/>
      <c r="AK4" s="1245"/>
      <c r="AL4" s="1245"/>
      <c r="AM4" s="1245"/>
      <c r="AN4" s="1245"/>
    </row>
    <row r="5" spans="2:40" ht="7.5" customHeight="1"/>
    <row r="6" spans="2:40" ht="12.75" customHeight="1">
      <c r="AI6" s="1246" t="s">
        <v>950</v>
      </c>
      <c r="AJ6" s="1246"/>
      <c r="AK6" s="1246"/>
      <c r="AL6" s="1246"/>
      <c r="AM6" s="1246"/>
      <c r="AN6" s="1246"/>
    </row>
    <row r="7" spans="2:40" ht="12" customHeight="1">
      <c r="B7" s="1247" t="s">
        <v>951</v>
      </c>
      <c r="C7" s="1247" t="s">
        <v>196</v>
      </c>
      <c r="D7" s="1247" t="s">
        <v>952</v>
      </c>
      <c r="E7" s="1247" t="s">
        <v>953</v>
      </c>
      <c r="F7" s="1248" t="s">
        <v>954</v>
      </c>
      <c r="G7" s="1248"/>
      <c r="H7" s="1248"/>
      <c r="I7" s="1248"/>
      <c r="J7" s="1248"/>
      <c r="K7" s="1248"/>
      <c r="L7" s="1248"/>
      <c r="M7" s="1248"/>
      <c r="N7" s="1248"/>
      <c r="O7" s="1248"/>
      <c r="P7" s="1248"/>
      <c r="Q7" s="1248"/>
      <c r="R7" s="1248"/>
      <c r="S7" s="1248"/>
      <c r="T7" s="1248"/>
      <c r="U7" s="1248"/>
      <c r="V7" s="1248"/>
      <c r="W7" s="1248"/>
      <c r="X7" s="1248"/>
      <c r="Y7" s="1248"/>
      <c r="Z7" s="1248"/>
      <c r="AA7" s="1248"/>
      <c r="AB7" s="1248"/>
      <c r="AC7" s="1248"/>
      <c r="AD7" s="1248"/>
      <c r="AE7" s="1248"/>
      <c r="AF7" s="1248"/>
      <c r="AG7" s="1248"/>
      <c r="AH7" s="1248"/>
      <c r="AI7" s="1248"/>
      <c r="AJ7" s="1248"/>
      <c r="AK7" s="1248"/>
      <c r="AL7" s="1253" t="s">
        <v>955</v>
      </c>
      <c r="AM7" s="1253"/>
      <c r="AN7" s="1253"/>
    </row>
    <row r="8" spans="2:40" ht="12" customHeight="1">
      <c r="B8" s="1247"/>
      <c r="C8" s="1247"/>
      <c r="D8" s="1247"/>
      <c r="E8" s="1247"/>
      <c r="F8" s="1247" t="s">
        <v>956</v>
      </c>
      <c r="G8" s="1247" t="s">
        <v>957</v>
      </c>
      <c r="H8" s="1247" t="s">
        <v>958</v>
      </c>
      <c r="I8" s="1248" t="s">
        <v>959</v>
      </c>
      <c r="J8" s="1248"/>
      <c r="K8" s="1248"/>
      <c r="L8" s="1248"/>
      <c r="M8" s="1248"/>
      <c r="N8" s="1248"/>
      <c r="O8" s="1248"/>
      <c r="P8" s="1248"/>
      <c r="Q8" s="1248"/>
      <c r="R8" s="1248"/>
      <c r="S8" s="1248"/>
      <c r="T8" s="1248"/>
      <c r="U8" s="1248"/>
      <c r="V8" s="1248"/>
      <c r="W8" s="1248"/>
      <c r="X8" s="1248"/>
      <c r="Y8" s="1248"/>
      <c r="Z8" s="1248"/>
      <c r="AA8" s="1248"/>
      <c r="AB8" s="1248"/>
      <c r="AC8" s="1248"/>
      <c r="AD8" s="1248"/>
      <c r="AE8" s="1248"/>
      <c r="AF8" s="1248"/>
      <c r="AG8" s="1248"/>
      <c r="AH8" s="1248"/>
      <c r="AI8" s="1248"/>
      <c r="AJ8" s="1247" t="s">
        <v>960</v>
      </c>
      <c r="AK8" s="1247" t="s">
        <v>961</v>
      </c>
      <c r="AL8" s="1253"/>
      <c r="AM8" s="1253"/>
      <c r="AN8" s="1253"/>
    </row>
    <row r="9" spans="2:40" ht="33" customHeight="1">
      <c r="B9" s="1247"/>
      <c r="C9" s="1247"/>
      <c r="D9" s="1247"/>
      <c r="E9" s="1247"/>
      <c r="F9" s="1247"/>
      <c r="G9" s="1247"/>
      <c r="H9" s="1247"/>
      <c r="I9" s="1247" t="s">
        <v>221</v>
      </c>
      <c r="J9" s="1247" t="s">
        <v>962</v>
      </c>
      <c r="K9" s="1248" t="s">
        <v>963</v>
      </c>
      <c r="L9" s="1248"/>
      <c r="M9" s="1248"/>
      <c r="N9" s="1248"/>
      <c r="O9" s="1247" t="s">
        <v>964</v>
      </c>
      <c r="P9" s="1248" t="s">
        <v>965</v>
      </c>
      <c r="Q9" s="1248"/>
      <c r="R9" s="1248"/>
      <c r="S9" s="1248"/>
      <c r="T9" s="1248"/>
      <c r="U9" s="1248" t="s">
        <v>966</v>
      </c>
      <c r="V9" s="1248"/>
      <c r="W9" s="1248"/>
      <c r="X9" s="1248"/>
      <c r="Y9" s="1247" t="s">
        <v>967</v>
      </c>
      <c r="Z9" s="1247"/>
      <c r="AA9" s="1247" t="s">
        <v>968</v>
      </c>
      <c r="AB9" s="1247" t="s">
        <v>969</v>
      </c>
      <c r="AC9" s="1247" t="s">
        <v>970</v>
      </c>
      <c r="AD9" s="1248" t="s">
        <v>231</v>
      </c>
      <c r="AE9" s="1248"/>
      <c r="AF9" s="1248"/>
      <c r="AG9" s="1248"/>
      <c r="AH9" s="1248"/>
      <c r="AI9" s="1247" t="s">
        <v>971</v>
      </c>
      <c r="AJ9" s="1247"/>
      <c r="AK9" s="1247"/>
      <c r="AL9" s="1253"/>
      <c r="AM9" s="1253"/>
      <c r="AN9" s="1253"/>
    </row>
    <row r="10" spans="2:40" ht="44.25" customHeight="1">
      <c r="B10" s="1247"/>
      <c r="C10" s="1247"/>
      <c r="D10" s="1247"/>
      <c r="E10" s="1247"/>
      <c r="F10" s="1247"/>
      <c r="G10" s="1247"/>
      <c r="H10" s="1247"/>
      <c r="I10" s="1247"/>
      <c r="J10" s="1247"/>
      <c r="K10" s="1247" t="s">
        <v>972</v>
      </c>
      <c r="L10" s="1247" t="s">
        <v>973</v>
      </c>
      <c r="M10" s="1247" t="s">
        <v>308</v>
      </c>
      <c r="N10" s="1247" t="s">
        <v>222</v>
      </c>
      <c r="O10" s="1247"/>
      <c r="P10" s="1248" t="s">
        <v>974</v>
      </c>
      <c r="Q10" s="1248"/>
      <c r="R10" s="1248" t="s">
        <v>975</v>
      </c>
      <c r="S10" s="1248"/>
      <c r="T10" s="1247" t="s">
        <v>222</v>
      </c>
      <c r="U10" s="1247" t="s">
        <v>976</v>
      </c>
      <c r="V10" s="1247" t="s">
        <v>977</v>
      </c>
      <c r="W10" s="1247" t="s">
        <v>978</v>
      </c>
      <c r="X10" s="1247" t="s">
        <v>979</v>
      </c>
      <c r="Y10" s="1247"/>
      <c r="Z10" s="1247"/>
      <c r="AA10" s="1247"/>
      <c r="AB10" s="1247"/>
      <c r="AC10" s="1247"/>
      <c r="AD10" s="1247" t="s">
        <v>980</v>
      </c>
      <c r="AE10" s="1247"/>
      <c r="AF10" s="1247" t="s">
        <v>981</v>
      </c>
      <c r="AG10" s="1247" t="s">
        <v>982</v>
      </c>
      <c r="AH10" s="1247"/>
      <c r="AI10" s="1247"/>
      <c r="AJ10" s="1247"/>
      <c r="AK10" s="1247"/>
      <c r="AL10" s="1253"/>
      <c r="AM10" s="1253"/>
      <c r="AN10" s="1253"/>
    </row>
    <row r="11" spans="2:40" ht="47.25" customHeight="1">
      <c r="B11" s="1247"/>
      <c r="C11" s="1247"/>
      <c r="D11" s="1247"/>
      <c r="E11" s="1247"/>
      <c r="F11" s="1247"/>
      <c r="G11" s="1247"/>
      <c r="H11" s="1247"/>
      <c r="I11" s="1247"/>
      <c r="J11" s="1247"/>
      <c r="K11" s="1247"/>
      <c r="L11" s="1247"/>
      <c r="M11" s="1247"/>
      <c r="N11" s="1247"/>
      <c r="O11" s="1247"/>
      <c r="P11" s="257" t="s">
        <v>983</v>
      </c>
      <c r="Q11" s="257" t="s">
        <v>984</v>
      </c>
      <c r="R11" s="257" t="s">
        <v>983</v>
      </c>
      <c r="S11" s="257" t="s">
        <v>223</v>
      </c>
      <c r="T11" s="1247"/>
      <c r="U11" s="1247"/>
      <c r="V11" s="1247"/>
      <c r="W11" s="1247"/>
      <c r="X11" s="1247"/>
      <c r="Y11" s="1247"/>
      <c r="Z11" s="1247"/>
      <c r="AA11" s="1247"/>
      <c r="AB11" s="1247"/>
      <c r="AC11" s="1247"/>
      <c r="AD11" s="1247"/>
      <c r="AE11" s="1247"/>
      <c r="AF11" s="1247"/>
      <c r="AG11" s="1247"/>
      <c r="AH11" s="1247"/>
      <c r="AI11" s="1247"/>
      <c r="AJ11" s="1247"/>
      <c r="AK11" s="1247"/>
      <c r="AL11" s="1253"/>
      <c r="AM11" s="1253"/>
      <c r="AN11" s="1253"/>
    </row>
    <row r="12" spans="2:40" ht="21" customHeight="1">
      <c r="B12" s="258">
        <v>1</v>
      </c>
      <c r="C12" s="258">
        <v>2</v>
      </c>
      <c r="D12" s="258">
        <v>3</v>
      </c>
      <c r="E12" s="258">
        <v>4</v>
      </c>
      <c r="F12" s="258" t="s">
        <v>985</v>
      </c>
      <c r="G12" s="258">
        <v>6</v>
      </c>
      <c r="H12" s="258" t="s">
        <v>986</v>
      </c>
      <c r="I12" s="258">
        <v>8</v>
      </c>
      <c r="J12" s="258">
        <v>9</v>
      </c>
      <c r="K12" s="258">
        <v>10</v>
      </c>
      <c r="L12" s="258">
        <v>11</v>
      </c>
      <c r="M12" s="258">
        <v>12</v>
      </c>
      <c r="N12" s="258">
        <v>13</v>
      </c>
      <c r="O12" s="258">
        <v>14</v>
      </c>
      <c r="P12" s="258">
        <v>15</v>
      </c>
      <c r="Q12" s="258">
        <v>16</v>
      </c>
      <c r="R12" s="258">
        <v>17</v>
      </c>
      <c r="S12" s="258">
        <v>18</v>
      </c>
      <c r="T12" s="258">
        <v>19</v>
      </c>
      <c r="U12" s="258">
        <v>20</v>
      </c>
      <c r="V12" s="258">
        <v>21</v>
      </c>
      <c r="W12" s="258">
        <v>22</v>
      </c>
      <c r="X12" s="259">
        <v>23</v>
      </c>
      <c r="Y12" s="1249">
        <v>24</v>
      </c>
      <c r="Z12" s="1249"/>
      <c r="AA12" s="258">
        <v>25</v>
      </c>
      <c r="AB12" s="258">
        <v>26</v>
      </c>
      <c r="AC12" s="258">
        <v>27</v>
      </c>
      <c r="AD12" s="1249">
        <v>28</v>
      </c>
      <c r="AE12" s="1249"/>
      <c r="AF12" s="258">
        <v>29</v>
      </c>
      <c r="AG12" s="1249">
        <v>30</v>
      </c>
      <c r="AH12" s="1249"/>
      <c r="AI12" s="258">
        <v>31</v>
      </c>
      <c r="AJ12" s="258">
        <v>32</v>
      </c>
      <c r="AK12" s="258" t="s">
        <v>987</v>
      </c>
      <c r="AL12" s="1250" t="s">
        <v>988</v>
      </c>
      <c r="AM12" s="1250"/>
      <c r="AN12" s="1250"/>
    </row>
    <row r="13" spans="2:40" s="260" customFormat="1" ht="27" customHeight="1">
      <c r="B13" s="261"/>
      <c r="C13" s="261" t="s">
        <v>989</v>
      </c>
      <c r="D13" s="262">
        <v>1362</v>
      </c>
      <c r="E13" s="262">
        <v>1478</v>
      </c>
      <c r="F13" s="263">
        <v>10518.018899999999</v>
      </c>
      <c r="G13" s="263">
        <v>4663.3770000000004</v>
      </c>
      <c r="H13" s="263">
        <v>4626.0119000000004</v>
      </c>
      <c r="I13" s="263">
        <v>116.85</v>
      </c>
      <c r="J13" s="263">
        <v>8.1170000000000009</v>
      </c>
      <c r="K13" s="263">
        <v>507.68089500000002</v>
      </c>
      <c r="L13" s="263"/>
      <c r="M13" s="263">
        <v>1.4675</v>
      </c>
      <c r="N13" s="263">
        <v>9.1407000000000007</v>
      </c>
      <c r="O13" s="263">
        <v>730.9</v>
      </c>
      <c r="P13" s="263"/>
      <c r="Q13" s="263"/>
      <c r="R13" s="263">
        <v>1496.54757</v>
      </c>
      <c r="S13" s="263">
        <v>340.54129999999998</v>
      </c>
      <c r="T13" s="263">
        <v>26.644960000000001</v>
      </c>
      <c r="U13" s="263">
        <v>189.56861000000001</v>
      </c>
      <c r="V13" s="263"/>
      <c r="W13" s="263">
        <v>86.051000000000002</v>
      </c>
      <c r="X13" s="263"/>
      <c r="Y13" s="1251">
        <v>531.4</v>
      </c>
      <c r="Z13" s="1251"/>
      <c r="AA13" s="263">
        <v>393.69830000000002</v>
      </c>
      <c r="AB13" s="263">
        <v>48.866340000000001</v>
      </c>
      <c r="AC13" s="263"/>
      <c r="AD13" s="1251">
        <v>24.3</v>
      </c>
      <c r="AE13" s="1251"/>
      <c r="AF13" s="263"/>
      <c r="AG13" s="1251"/>
      <c r="AH13" s="1251"/>
      <c r="AI13" s="263">
        <v>117.3844</v>
      </c>
      <c r="AJ13" s="263">
        <v>1228.6300000000001</v>
      </c>
      <c r="AK13" s="263">
        <v>3260.585</v>
      </c>
      <c r="AL13" s="1252">
        <v>19563.515800000001</v>
      </c>
      <c r="AM13" s="1252"/>
      <c r="AN13" s="1252"/>
    </row>
    <row r="14" spans="2:40" s="260" customFormat="1" ht="26.25" hidden="1" customHeight="1">
      <c r="B14" s="261" t="s">
        <v>36</v>
      </c>
      <c r="C14" s="264" t="s">
        <v>990</v>
      </c>
      <c r="D14" s="262"/>
      <c r="E14" s="262"/>
      <c r="F14" s="263"/>
      <c r="G14" s="263"/>
      <c r="H14" s="263"/>
      <c r="I14" s="263"/>
      <c r="J14" s="263"/>
      <c r="K14" s="263"/>
      <c r="L14" s="263"/>
      <c r="M14" s="263"/>
      <c r="N14" s="263"/>
      <c r="O14" s="263"/>
      <c r="P14" s="263"/>
      <c r="Q14" s="263"/>
      <c r="R14" s="263"/>
      <c r="S14" s="263"/>
      <c r="T14" s="263"/>
      <c r="U14" s="263"/>
      <c r="V14" s="263"/>
      <c r="W14" s="263"/>
      <c r="X14" s="263"/>
      <c r="Y14" s="1251"/>
      <c r="Z14" s="1251"/>
      <c r="AA14" s="263"/>
      <c r="AB14" s="263"/>
      <c r="AC14" s="263"/>
      <c r="AD14" s="1251"/>
      <c r="AE14" s="1251"/>
      <c r="AF14" s="263"/>
      <c r="AG14" s="1251"/>
      <c r="AH14" s="1251"/>
      <c r="AI14" s="263"/>
      <c r="AJ14" s="263"/>
      <c r="AK14" s="263"/>
      <c r="AL14" s="1252"/>
      <c r="AM14" s="1252"/>
      <c r="AN14" s="1252"/>
    </row>
    <row r="15" spans="2:40" s="260" customFormat="1" ht="27" hidden="1" customHeight="1">
      <c r="B15" s="265"/>
      <c r="C15" s="264" t="s">
        <v>991</v>
      </c>
      <c r="D15" s="262"/>
      <c r="E15" s="262"/>
      <c r="F15" s="263"/>
      <c r="G15" s="263"/>
      <c r="H15" s="263"/>
      <c r="I15" s="263"/>
      <c r="J15" s="263"/>
      <c r="K15" s="263"/>
      <c r="L15" s="263"/>
      <c r="M15" s="263"/>
      <c r="N15" s="263"/>
      <c r="O15" s="263"/>
      <c r="P15" s="263"/>
      <c r="Q15" s="263"/>
      <c r="R15" s="263"/>
      <c r="S15" s="263"/>
      <c r="T15" s="263"/>
      <c r="U15" s="263"/>
      <c r="V15" s="263"/>
      <c r="W15" s="263"/>
      <c r="X15" s="263"/>
      <c r="Y15" s="1251"/>
      <c r="Z15" s="1251"/>
      <c r="AA15" s="263"/>
      <c r="AB15" s="263"/>
      <c r="AC15" s="263"/>
      <c r="AD15" s="1251"/>
      <c r="AE15" s="1251"/>
      <c r="AF15" s="263"/>
      <c r="AG15" s="1251"/>
      <c r="AH15" s="1251"/>
      <c r="AI15" s="263"/>
      <c r="AJ15" s="263"/>
      <c r="AK15" s="263"/>
      <c r="AL15" s="1252"/>
      <c r="AM15" s="1252"/>
      <c r="AN15" s="1252"/>
    </row>
    <row r="16" spans="2:40" s="260" customFormat="1" ht="26.25" hidden="1" customHeight="1">
      <c r="B16" s="265"/>
      <c r="C16" s="264" t="s">
        <v>992</v>
      </c>
      <c r="D16" s="262"/>
      <c r="E16" s="262"/>
      <c r="F16" s="263"/>
      <c r="G16" s="263"/>
      <c r="H16" s="263"/>
      <c r="I16" s="263"/>
      <c r="J16" s="263"/>
      <c r="K16" s="263"/>
      <c r="L16" s="263"/>
      <c r="M16" s="263"/>
      <c r="N16" s="263"/>
      <c r="O16" s="263"/>
      <c r="P16" s="263"/>
      <c r="Q16" s="263"/>
      <c r="R16" s="263"/>
      <c r="S16" s="263"/>
      <c r="T16" s="263"/>
      <c r="U16" s="263"/>
      <c r="V16" s="263"/>
      <c r="W16" s="263"/>
      <c r="X16" s="263"/>
      <c r="Y16" s="1251"/>
      <c r="Z16" s="1251"/>
      <c r="AA16" s="263"/>
      <c r="AB16" s="263"/>
      <c r="AC16" s="263"/>
      <c r="AD16" s="1251"/>
      <c r="AE16" s="1251"/>
      <c r="AF16" s="263"/>
      <c r="AG16" s="1251"/>
      <c r="AH16" s="1251"/>
      <c r="AI16" s="263"/>
      <c r="AJ16" s="263"/>
      <c r="AK16" s="263"/>
      <c r="AL16" s="1252"/>
      <c r="AM16" s="1252"/>
      <c r="AN16" s="1252"/>
    </row>
    <row r="17" spans="2:40" s="260" customFormat="1" ht="27" hidden="1" customHeight="1">
      <c r="B17" s="265"/>
      <c r="C17" s="264" t="s">
        <v>993</v>
      </c>
      <c r="D17" s="262"/>
      <c r="E17" s="262"/>
      <c r="F17" s="263"/>
      <c r="G17" s="263"/>
      <c r="H17" s="263"/>
      <c r="I17" s="263"/>
      <c r="J17" s="263"/>
      <c r="K17" s="263"/>
      <c r="L17" s="263"/>
      <c r="M17" s="263"/>
      <c r="N17" s="263"/>
      <c r="O17" s="263"/>
      <c r="P17" s="263"/>
      <c r="Q17" s="263"/>
      <c r="R17" s="263"/>
      <c r="S17" s="263"/>
      <c r="T17" s="263"/>
      <c r="U17" s="263"/>
      <c r="V17" s="263"/>
      <c r="W17" s="263"/>
      <c r="X17" s="263"/>
      <c r="Y17" s="1251"/>
      <c r="Z17" s="1251"/>
      <c r="AA17" s="263"/>
      <c r="AB17" s="263"/>
      <c r="AC17" s="263"/>
      <c r="AD17" s="1251"/>
      <c r="AE17" s="1251"/>
      <c r="AF17" s="263"/>
      <c r="AG17" s="1251"/>
      <c r="AH17" s="1251"/>
      <c r="AI17" s="263"/>
      <c r="AJ17" s="263"/>
      <c r="AK17" s="263"/>
      <c r="AL17" s="1252"/>
      <c r="AM17" s="1252"/>
      <c r="AN17" s="1252"/>
    </row>
    <row r="18" spans="2:40" s="260" customFormat="1" ht="18.75" hidden="1" customHeight="1">
      <c r="B18" s="261" t="s">
        <v>37</v>
      </c>
      <c r="C18" s="264" t="s">
        <v>994</v>
      </c>
      <c r="D18" s="262">
        <v>1362</v>
      </c>
      <c r="E18" s="262">
        <v>1478</v>
      </c>
      <c r="F18" s="263">
        <v>10518.018899999999</v>
      </c>
      <c r="G18" s="263">
        <v>4663.3770000000004</v>
      </c>
      <c r="H18" s="263">
        <v>4626.0119000000004</v>
      </c>
      <c r="I18" s="263">
        <v>116.85</v>
      </c>
      <c r="J18" s="263">
        <v>8.1170000000000009</v>
      </c>
      <c r="K18" s="263">
        <v>507.68089500000002</v>
      </c>
      <c r="L18" s="263"/>
      <c r="M18" s="263">
        <v>1.4675</v>
      </c>
      <c r="N18" s="263">
        <v>9.1407000000000007</v>
      </c>
      <c r="O18" s="263">
        <v>730.9</v>
      </c>
      <c r="P18" s="263"/>
      <c r="Q18" s="263"/>
      <c r="R18" s="263">
        <v>1496.54757</v>
      </c>
      <c r="S18" s="263">
        <v>340.54129999999998</v>
      </c>
      <c r="T18" s="263">
        <v>26.644960000000001</v>
      </c>
      <c r="U18" s="263">
        <v>189.56861000000001</v>
      </c>
      <c r="V18" s="263"/>
      <c r="W18" s="263">
        <v>86.051000000000002</v>
      </c>
      <c r="X18" s="263"/>
      <c r="Y18" s="1251">
        <v>531.4</v>
      </c>
      <c r="Z18" s="1251"/>
      <c r="AA18" s="263">
        <v>393.69830000000002</v>
      </c>
      <c r="AB18" s="263">
        <v>48.866340000000001</v>
      </c>
      <c r="AC18" s="263"/>
      <c r="AD18" s="1251">
        <v>24.3</v>
      </c>
      <c r="AE18" s="1251"/>
      <c r="AF18" s="263"/>
      <c r="AG18" s="1251"/>
      <c r="AH18" s="1251"/>
      <c r="AI18" s="263">
        <v>117.3844</v>
      </c>
      <c r="AJ18" s="263">
        <v>1228.6300000000001</v>
      </c>
      <c r="AK18" s="263">
        <v>3260.585</v>
      </c>
      <c r="AL18" s="1252">
        <v>19563.515800000001</v>
      </c>
      <c r="AM18" s="1252"/>
      <c r="AN18" s="1252"/>
    </row>
    <row r="19" spans="2:40" s="260" customFormat="1" ht="18.75" hidden="1" customHeight="1">
      <c r="B19" s="261"/>
      <c r="C19" s="264" t="s">
        <v>995</v>
      </c>
      <c r="D19" s="262">
        <v>1362</v>
      </c>
      <c r="E19" s="262">
        <v>1478</v>
      </c>
      <c r="F19" s="263">
        <v>10518.018899999999</v>
      </c>
      <c r="G19" s="263">
        <v>4663.3770000000004</v>
      </c>
      <c r="H19" s="263">
        <v>4626.0119000000004</v>
      </c>
      <c r="I19" s="263">
        <v>116.85</v>
      </c>
      <c r="J19" s="263">
        <v>8.1170000000000009</v>
      </c>
      <c r="K19" s="263">
        <v>507.68089500000002</v>
      </c>
      <c r="L19" s="263"/>
      <c r="M19" s="263">
        <v>1.4675</v>
      </c>
      <c r="N19" s="263">
        <v>9.1407000000000007</v>
      </c>
      <c r="O19" s="263">
        <v>730.9</v>
      </c>
      <c r="P19" s="263"/>
      <c r="Q19" s="263"/>
      <c r="R19" s="263">
        <v>1496.54757</v>
      </c>
      <c r="S19" s="263">
        <v>340.54129999999998</v>
      </c>
      <c r="T19" s="263">
        <v>26.644960000000001</v>
      </c>
      <c r="U19" s="263">
        <v>189.56861000000001</v>
      </c>
      <c r="V19" s="263"/>
      <c r="W19" s="263">
        <v>86.051000000000002</v>
      </c>
      <c r="X19" s="263"/>
      <c r="Y19" s="1251">
        <v>531.4</v>
      </c>
      <c r="Z19" s="1251"/>
      <c r="AA19" s="263">
        <v>393.69830000000002</v>
      </c>
      <c r="AB19" s="263">
        <v>48.866340000000001</v>
      </c>
      <c r="AC19" s="263"/>
      <c r="AD19" s="1251">
        <v>24.3</v>
      </c>
      <c r="AE19" s="1251"/>
      <c r="AF19" s="263"/>
      <c r="AG19" s="1251"/>
      <c r="AH19" s="1251"/>
      <c r="AI19" s="263">
        <v>117.3844</v>
      </c>
      <c r="AJ19" s="263">
        <v>1228.6300000000001</v>
      </c>
      <c r="AK19" s="263">
        <v>3260.585</v>
      </c>
      <c r="AL19" s="1252">
        <v>19563.515800000001</v>
      </c>
      <c r="AM19" s="1252"/>
      <c r="AN19" s="1252"/>
    </row>
    <row r="20" spans="2:40" s="260" customFormat="1" ht="18.75" hidden="1" customHeight="1">
      <c r="B20" s="261" t="s">
        <v>39</v>
      </c>
      <c r="C20" s="264" t="s">
        <v>996</v>
      </c>
      <c r="D20" s="262">
        <v>1014</v>
      </c>
      <c r="E20" s="262">
        <v>975</v>
      </c>
      <c r="F20" s="263">
        <v>8351.7351999999992</v>
      </c>
      <c r="G20" s="263">
        <v>3571.6869999999999</v>
      </c>
      <c r="H20" s="263">
        <v>3805.9992000000002</v>
      </c>
      <c r="I20" s="263">
        <v>83.05</v>
      </c>
      <c r="J20" s="263">
        <v>8.1170000000000009</v>
      </c>
      <c r="K20" s="263">
        <v>507.68089500000002</v>
      </c>
      <c r="L20" s="263"/>
      <c r="M20" s="263">
        <v>1.4675</v>
      </c>
      <c r="N20" s="263">
        <v>3.1465000000000001</v>
      </c>
      <c r="O20" s="263">
        <v>530.79999999999995</v>
      </c>
      <c r="P20" s="263"/>
      <c r="Q20" s="263"/>
      <c r="R20" s="263">
        <v>1496.54757</v>
      </c>
      <c r="S20" s="263">
        <v>340.54129999999998</v>
      </c>
      <c r="T20" s="263">
        <v>26.644960000000001</v>
      </c>
      <c r="U20" s="263">
        <v>189.56861000000001</v>
      </c>
      <c r="V20" s="263"/>
      <c r="W20" s="263"/>
      <c r="X20" s="263"/>
      <c r="Y20" s="1251">
        <v>380.8</v>
      </c>
      <c r="Z20" s="1251"/>
      <c r="AA20" s="263">
        <v>112.3258</v>
      </c>
      <c r="AB20" s="263">
        <v>48.866340000000001</v>
      </c>
      <c r="AC20" s="263"/>
      <c r="AD20" s="1251"/>
      <c r="AE20" s="1251"/>
      <c r="AF20" s="263"/>
      <c r="AG20" s="1251"/>
      <c r="AH20" s="1251"/>
      <c r="AI20" s="263">
        <v>79.589399999999998</v>
      </c>
      <c r="AJ20" s="263">
        <v>974.04899999999998</v>
      </c>
      <c r="AK20" s="263">
        <v>2589.0371</v>
      </c>
      <c r="AL20" s="1252">
        <v>15534.227999999999</v>
      </c>
      <c r="AM20" s="1252"/>
      <c r="AN20" s="1252"/>
    </row>
    <row r="21" spans="2:40" s="260" customFormat="1" ht="18.75" hidden="1" customHeight="1">
      <c r="B21" s="261" t="s">
        <v>305</v>
      </c>
      <c r="C21" s="264" t="s">
        <v>997</v>
      </c>
      <c r="D21" s="262">
        <v>872</v>
      </c>
      <c r="E21" s="262">
        <v>843</v>
      </c>
      <c r="F21" s="263">
        <v>7482.0532000000003</v>
      </c>
      <c r="G21" s="263">
        <v>3070.6790000000001</v>
      </c>
      <c r="H21" s="263">
        <v>3553.8328000000001</v>
      </c>
      <c r="I21" s="263">
        <v>65.349999999999994</v>
      </c>
      <c r="J21" s="263">
        <v>6.6782000000000004</v>
      </c>
      <c r="K21" s="263">
        <v>507.68089500000002</v>
      </c>
      <c r="L21" s="263"/>
      <c r="M21" s="263"/>
      <c r="N21" s="263">
        <v>3.1465000000000001</v>
      </c>
      <c r="O21" s="263">
        <v>478.7</v>
      </c>
      <c r="P21" s="263"/>
      <c r="Q21" s="263"/>
      <c r="R21" s="263">
        <v>1496.54757</v>
      </c>
      <c r="S21" s="263">
        <v>340.54129999999998</v>
      </c>
      <c r="T21" s="263">
        <v>23.74896</v>
      </c>
      <c r="U21" s="263">
        <v>189.56861000000001</v>
      </c>
      <c r="V21" s="263"/>
      <c r="W21" s="263"/>
      <c r="X21" s="263"/>
      <c r="Y21" s="1251">
        <v>380.8</v>
      </c>
      <c r="Z21" s="1251"/>
      <c r="AA21" s="263"/>
      <c r="AB21" s="263"/>
      <c r="AC21" s="263"/>
      <c r="AD21" s="1251"/>
      <c r="AE21" s="1251"/>
      <c r="AF21" s="263"/>
      <c r="AG21" s="1251"/>
      <c r="AH21" s="1251"/>
      <c r="AI21" s="263">
        <v>64.217399999999998</v>
      </c>
      <c r="AJ21" s="263">
        <v>857.54139999999995</v>
      </c>
      <c r="AK21" s="263">
        <v>2319.4358999999999</v>
      </c>
      <c r="AL21" s="1252">
        <v>13916.619199999999</v>
      </c>
      <c r="AM21" s="1252"/>
      <c r="AN21" s="1252"/>
    </row>
    <row r="22" spans="2:40" s="260" customFormat="1" ht="18.75" hidden="1" customHeight="1">
      <c r="B22" s="261"/>
      <c r="C22" s="264" t="s">
        <v>998</v>
      </c>
      <c r="D22" s="262">
        <v>858</v>
      </c>
      <c r="E22" s="262">
        <v>833</v>
      </c>
      <c r="F22" s="263">
        <v>7423.0658000000003</v>
      </c>
      <c r="G22" s="263">
        <v>3038.1689999999999</v>
      </c>
      <c r="H22" s="263">
        <v>3535.9227999999998</v>
      </c>
      <c r="I22" s="263">
        <v>64.55</v>
      </c>
      <c r="J22" s="263">
        <v>6.6782000000000004</v>
      </c>
      <c r="K22" s="263">
        <v>504.53439500000002</v>
      </c>
      <c r="L22" s="263"/>
      <c r="M22" s="263"/>
      <c r="N22" s="263"/>
      <c r="O22" s="263">
        <v>474.7</v>
      </c>
      <c r="P22" s="263"/>
      <c r="Q22" s="263"/>
      <c r="R22" s="263">
        <v>1496.54757</v>
      </c>
      <c r="S22" s="263">
        <v>331.52780000000001</v>
      </c>
      <c r="T22" s="263">
        <v>23.74896</v>
      </c>
      <c r="U22" s="263">
        <v>189.56861000000001</v>
      </c>
      <c r="V22" s="263"/>
      <c r="W22" s="263"/>
      <c r="X22" s="263"/>
      <c r="Y22" s="1251">
        <v>380.8</v>
      </c>
      <c r="Z22" s="1251"/>
      <c r="AA22" s="263"/>
      <c r="AB22" s="263"/>
      <c r="AC22" s="263"/>
      <c r="AD22" s="1251"/>
      <c r="AE22" s="1251"/>
      <c r="AF22" s="263"/>
      <c r="AG22" s="1251"/>
      <c r="AH22" s="1251"/>
      <c r="AI22" s="263">
        <v>63.267400000000002</v>
      </c>
      <c r="AJ22" s="263">
        <v>848.97400000000005</v>
      </c>
      <c r="AK22" s="263">
        <v>2301.1498999999999</v>
      </c>
      <c r="AL22" s="1252">
        <v>13806.902599999999</v>
      </c>
      <c r="AM22" s="1252"/>
      <c r="AN22" s="1252"/>
    </row>
    <row r="23" spans="2:40" s="260" customFormat="1" ht="18.75" hidden="1" customHeight="1">
      <c r="B23" s="266" t="s">
        <v>999</v>
      </c>
      <c r="C23" s="267" t="s">
        <v>1000</v>
      </c>
      <c r="D23" s="268">
        <v>16</v>
      </c>
      <c r="E23" s="268">
        <v>15</v>
      </c>
      <c r="F23" s="269">
        <v>143.8648</v>
      </c>
      <c r="G23" s="269">
        <v>55.27</v>
      </c>
      <c r="H23" s="269">
        <v>73.2119</v>
      </c>
      <c r="I23" s="269">
        <v>1</v>
      </c>
      <c r="J23" s="269"/>
      <c r="K23" s="269">
        <v>9.1898999999999997</v>
      </c>
      <c r="L23" s="269"/>
      <c r="M23" s="269"/>
      <c r="N23" s="269"/>
      <c r="O23" s="269">
        <v>7.5</v>
      </c>
      <c r="P23" s="269"/>
      <c r="Q23" s="269"/>
      <c r="R23" s="269">
        <v>35.244999999999997</v>
      </c>
      <c r="S23" s="269"/>
      <c r="T23" s="269">
        <v>0.61199999999999999</v>
      </c>
      <c r="U23" s="269">
        <v>13.265000000000001</v>
      </c>
      <c r="V23" s="269"/>
      <c r="W23" s="269"/>
      <c r="X23" s="269"/>
      <c r="Y23" s="1254">
        <v>6.1</v>
      </c>
      <c r="Z23" s="1254"/>
      <c r="AA23" s="269"/>
      <c r="AB23" s="269"/>
      <c r="AC23" s="269"/>
      <c r="AD23" s="1254"/>
      <c r="AE23" s="1254"/>
      <c r="AF23" s="269"/>
      <c r="AG23" s="1254"/>
      <c r="AH23" s="1254"/>
      <c r="AI23" s="269">
        <v>0.3</v>
      </c>
      <c r="AJ23" s="269">
        <v>15.382899999999999</v>
      </c>
      <c r="AK23" s="269">
        <v>44.598100000000002</v>
      </c>
      <c r="AL23" s="1255">
        <v>267.58850000000001</v>
      </c>
      <c r="AM23" s="1255"/>
      <c r="AN23" s="1255"/>
    </row>
    <row r="24" spans="2:40" s="260" customFormat="1" ht="18.75" hidden="1" customHeight="1">
      <c r="B24" s="266" t="s">
        <v>1001</v>
      </c>
      <c r="C24" s="267" t="s">
        <v>1002</v>
      </c>
      <c r="D24" s="268">
        <v>31</v>
      </c>
      <c r="E24" s="268">
        <v>24</v>
      </c>
      <c r="F24" s="269">
        <v>167.01159999999999</v>
      </c>
      <c r="G24" s="269">
        <v>86.81</v>
      </c>
      <c r="H24" s="269">
        <v>56.181399999999996</v>
      </c>
      <c r="I24" s="269">
        <v>1.7</v>
      </c>
      <c r="J24" s="269"/>
      <c r="K24" s="269">
        <v>13.703900000000001</v>
      </c>
      <c r="L24" s="269"/>
      <c r="M24" s="269"/>
      <c r="N24" s="269"/>
      <c r="O24" s="269">
        <v>9.1999999999999993</v>
      </c>
      <c r="P24" s="269"/>
      <c r="Q24" s="269"/>
      <c r="R24" s="269"/>
      <c r="S24" s="269">
        <v>29.5855</v>
      </c>
      <c r="T24" s="269">
        <v>0.69199999999999995</v>
      </c>
      <c r="U24" s="269"/>
      <c r="V24" s="269"/>
      <c r="W24" s="269"/>
      <c r="X24" s="269"/>
      <c r="Y24" s="1254"/>
      <c r="Z24" s="1254"/>
      <c r="AA24" s="269"/>
      <c r="AB24" s="269"/>
      <c r="AC24" s="269"/>
      <c r="AD24" s="1254"/>
      <c r="AE24" s="1254"/>
      <c r="AF24" s="269"/>
      <c r="AG24" s="1254"/>
      <c r="AH24" s="1254"/>
      <c r="AI24" s="269">
        <v>1.3</v>
      </c>
      <c r="AJ24" s="269">
        <v>24.020199999999999</v>
      </c>
      <c r="AK24" s="269">
        <v>51.773600000000002</v>
      </c>
      <c r="AL24" s="1255">
        <v>310.64159999999998</v>
      </c>
      <c r="AM24" s="1255"/>
      <c r="AN24" s="1255"/>
    </row>
    <row r="25" spans="2:40" s="260" customFormat="1" ht="18.75" hidden="1" customHeight="1">
      <c r="B25" s="266" t="s">
        <v>1003</v>
      </c>
      <c r="C25" s="267" t="s">
        <v>1004</v>
      </c>
      <c r="D25" s="268">
        <v>19</v>
      </c>
      <c r="E25" s="268">
        <v>19</v>
      </c>
      <c r="F25" s="269">
        <v>128.84270000000001</v>
      </c>
      <c r="G25" s="269">
        <v>59.78</v>
      </c>
      <c r="H25" s="269">
        <v>52.790599999999998</v>
      </c>
      <c r="I25" s="269">
        <v>1.95</v>
      </c>
      <c r="J25" s="269"/>
      <c r="K25" s="269">
        <v>7.5136000000000003</v>
      </c>
      <c r="L25" s="269"/>
      <c r="M25" s="269"/>
      <c r="N25" s="269"/>
      <c r="O25" s="269">
        <v>9</v>
      </c>
      <c r="P25" s="269"/>
      <c r="Q25" s="269"/>
      <c r="R25" s="269">
        <v>9.2750000000000004</v>
      </c>
      <c r="S25" s="269">
        <v>22.3</v>
      </c>
      <c r="T25" s="269">
        <v>0.65200000000000002</v>
      </c>
      <c r="U25" s="269"/>
      <c r="V25" s="269"/>
      <c r="W25" s="269"/>
      <c r="X25" s="269"/>
      <c r="Y25" s="1254">
        <v>2</v>
      </c>
      <c r="Z25" s="1254"/>
      <c r="AA25" s="269"/>
      <c r="AB25" s="269"/>
      <c r="AC25" s="269"/>
      <c r="AD25" s="1254"/>
      <c r="AE25" s="1254"/>
      <c r="AF25" s="269"/>
      <c r="AG25" s="1254"/>
      <c r="AH25" s="1254"/>
      <c r="AI25" s="269">
        <v>0.1</v>
      </c>
      <c r="AJ25" s="269">
        <v>16.272099999999998</v>
      </c>
      <c r="AK25" s="269">
        <v>39.941200000000002</v>
      </c>
      <c r="AL25" s="1255">
        <v>239.6474</v>
      </c>
      <c r="AM25" s="1255"/>
      <c r="AN25" s="1255"/>
    </row>
    <row r="26" spans="2:40" s="260" customFormat="1" ht="18.75" hidden="1" customHeight="1">
      <c r="B26" s="266" t="s">
        <v>1005</v>
      </c>
      <c r="C26" s="267" t="s">
        <v>1006</v>
      </c>
      <c r="D26" s="268">
        <v>15</v>
      </c>
      <c r="E26" s="268">
        <v>15</v>
      </c>
      <c r="F26" s="269">
        <v>129.7252</v>
      </c>
      <c r="G26" s="269">
        <v>51.82</v>
      </c>
      <c r="H26" s="269">
        <v>63.656300000000002</v>
      </c>
      <c r="I26" s="269">
        <v>1.4</v>
      </c>
      <c r="J26" s="269"/>
      <c r="K26" s="269">
        <v>7.4153000000000002</v>
      </c>
      <c r="L26" s="269"/>
      <c r="M26" s="269"/>
      <c r="N26" s="269"/>
      <c r="O26" s="269">
        <v>7.5</v>
      </c>
      <c r="P26" s="269"/>
      <c r="Q26" s="269"/>
      <c r="R26" s="269">
        <v>32.850999999999999</v>
      </c>
      <c r="S26" s="269"/>
      <c r="T26" s="269">
        <v>0.65200000000000002</v>
      </c>
      <c r="U26" s="269">
        <v>5.1379999999999999</v>
      </c>
      <c r="V26" s="269"/>
      <c r="W26" s="269"/>
      <c r="X26" s="269"/>
      <c r="Y26" s="1254">
        <v>8.6</v>
      </c>
      <c r="Z26" s="1254"/>
      <c r="AA26" s="269"/>
      <c r="AB26" s="269"/>
      <c r="AC26" s="269"/>
      <c r="AD26" s="1254"/>
      <c r="AE26" s="1254"/>
      <c r="AF26" s="269"/>
      <c r="AG26" s="1254"/>
      <c r="AH26" s="1254"/>
      <c r="AI26" s="269">
        <v>0.1</v>
      </c>
      <c r="AJ26" s="269">
        <v>14.248900000000001</v>
      </c>
      <c r="AK26" s="269">
        <v>40.214799999999997</v>
      </c>
      <c r="AL26" s="1255">
        <v>241.28890000000001</v>
      </c>
      <c r="AM26" s="1255"/>
      <c r="AN26" s="1255"/>
    </row>
    <row r="27" spans="2:40" s="260" customFormat="1" ht="18.75" hidden="1" customHeight="1">
      <c r="B27" s="266" t="s">
        <v>1007</v>
      </c>
      <c r="C27" s="267" t="s">
        <v>1008</v>
      </c>
      <c r="D27" s="268">
        <v>15</v>
      </c>
      <c r="E27" s="268">
        <v>14</v>
      </c>
      <c r="F27" s="269">
        <v>105.5498</v>
      </c>
      <c r="G27" s="269">
        <v>51.11</v>
      </c>
      <c r="H27" s="269">
        <v>40.197899999999997</v>
      </c>
      <c r="I27" s="269">
        <v>1.2</v>
      </c>
      <c r="J27" s="269"/>
      <c r="K27" s="269">
        <v>8.2958999999999996</v>
      </c>
      <c r="L27" s="269"/>
      <c r="M27" s="269"/>
      <c r="N27" s="269"/>
      <c r="O27" s="269">
        <v>7</v>
      </c>
      <c r="P27" s="269"/>
      <c r="Q27" s="269"/>
      <c r="R27" s="269"/>
      <c r="S27" s="269">
        <v>22.91</v>
      </c>
      <c r="T27" s="269">
        <v>0.69199999999999995</v>
      </c>
      <c r="U27" s="269"/>
      <c r="V27" s="269"/>
      <c r="W27" s="269"/>
      <c r="X27" s="269"/>
      <c r="Y27" s="1254"/>
      <c r="Z27" s="1254"/>
      <c r="AA27" s="269"/>
      <c r="AB27" s="269"/>
      <c r="AC27" s="269"/>
      <c r="AD27" s="1254"/>
      <c r="AE27" s="1254"/>
      <c r="AF27" s="269"/>
      <c r="AG27" s="1254"/>
      <c r="AH27" s="1254"/>
      <c r="AI27" s="269">
        <v>0.1</v>
      </c>
      <c r="AJ27" s="269">
        <v>14.241899999999999</v>
      </c>
      <c r="AK27" s="269">
        <v>32.720399999999998</v>
      </c>
      <c r="AL27" s="1255">
        <v>196.32259999999999</v>
      </c>
      <c r="AM27" s="1255"/>
      <c r="AN27" s="1255"/>
    </row>
    <row r="28" spans="2:40" s="260" customFormat="1" ht="18.75" hidden="1" customHeight="1">
      <c r="B28" s="266" t="s">
        <v>1009</v>
      </c>
      <c r="C28" s="267" t="s">
        <v>1010</v>
      </c>
      <c r="D28" s="268">
        <v>20</v>
      </c>
      <c r="E28" s="268">
        <v>20</v>
      </c>
      <c r="F28" s="269">
        <v>161.0472</v>
      </c>
      <c r="G28" s="269">
        <v>62.23</v>
      </c>
      <c r="H28" s="269">
        <v>82.030299999999997</v>
      </c>
      <c r="I28" s="269">
        <v>1.6</v>
      </c>
      <c r="J28" s="269"/>
      <c r="K28" s="269">
        <v>7.6032999999999999</v>
      </c>
      <c r="L28" s="269"/>
      <c r="M28" s="269"/>
      <c r="N28" s="269"/>
      <c r="O28" s="269">
        <v>14</v>
      </c>
      <c r="P28" s="269"/>
      <c r="Q28" s="269"/>
      <c r="R28" s="269">
        <v>40.341000000000001</v>
      </c>
      <c r="S28" s="269"/>
      <c r="T28" s="269">
        <v>0.57199999999999995</v>
      </c>
      <c r="U28" s="269">
        <v>6.3140000000000001</v>
      </c>
      <c r="V28" s="269"/>
      <c r="W28" s="269"/>
      <c r="X28" s="269"/>
      <c r="Y28" s="1254">
        <v>11.5</v>
      </c>
      <c r="Z28" s="1254"/>
      <c r="AA28" s="269"/>
      <c r="AB28" s="269"/>
      <c r="AC28" s="269"/>
      <c r="AD28" s="1254"/>
      <c r="AE28" s="1254"/>
      <c r="AF28" s="269"/>
      <c r="AG28" s="1254"/>
      <c r="AH28" s="1254"/>
      <c r="AI28" s="269">
        <v>0.1</v>
      </c>
      <c r="AJ28" s="269">
        <v>16.786899999999999</v>
      </c>
      <c r="AK28" s="269">
        <v>49.924599999999998</v>
      </c>
      <c r="AL28" s="1255">
        <v>299.5478</v>
      </c>
      <c r="AM28" s="1255"/>
      <c r="AN28" s="1255"/>
    </row>
    <row r="29" spans="2:40" s="260" customFormat="1" ht="18.75" hidden="1" customHeight="1">
      <c r="B29" s="266" t="s">
        <v>1011</v>
      </c>
      <c r="C29" s="267" t="s">
        <v>1012</v>
      </c>
      <c r="D29" s="268">
        <v>11</v>
      </c>
      <c r="E29" s="268">
        <v>11</v>
      </c>
      <c r="F29" s="269">
        <v>86.189300000000003</v>
      </c>
      <c r="G29" s="269">
        <v>35.020000000000003</v>
      </c>
      <c r="H29" s="269">
        <v>41.771599999999999</v>
      </c>
      <c r="I29" s="269">
        <v>1.2</v>
      </c>
      <c r="J29" s="269"/>
      <c r="K29" s="269">
        <v>3.9685999999999999</v>
      </c>
      <c r="L29" s="269"/>
      <c r="M29" s="269"/>
      <c r="N29" s="269"/>
      <c r="O29" s="269">
        <v>7.7</v>
      </c>
      <c r="P29" s="269"/>
      <c r="Q29" s="269"/>
      <c r="R29" s="269">
        <v>21.091000000000001</v>
      </c>
      <c r="S29" s="269"/>
      <c r="T29" s="269">
        <v>0.61199999999999999</v>
      </c>
      <c r="U29" s="269"/>
      <c r="V29" s="269"/>
      <c r="W29" s="269"/>
      <c r="X29" s="269"/>
      <c r="Y29" s="1254">
        <v>7.1</v>
      </c>
      <c r="Z29" s="1254"/>
      <c r="AA29" s="269"/>
      <c r="AB29" s="269"/>
      <c r="AC29" s="269"/>
      <c r="AD29" s="1254"/>
      <c r="AE29" s="1254"/>
      <c r="AF29" s="269"/>
      <c r="AG29" s="1254"/>
      <c r="AH29" s="1254"/>
      <c r="AI29" s="269">
        <v>0.1</v>
      </c>
      <c r="AJ29" s="269">
        <v>9.3977000000000004</v>
      </c>
      <c r="AK29" s="269">
        <v>26.718699999999998</v>
      </c>
      <c r="AL29" s="1255">
        <v>160.31209999999999</v>
      </c>
      <c r="AM29" s="1255"/>
      <c r="AN29" s="1255"/>
    </row>
    <row r="30" spans="2:40" s="260" customFormat="1" ht="18.75" hidden="1" customHeight="1">
      <c r="B30" s="266" t="s">
        <v>1013</v>
      </c>
      <c r="C30" s="267" t="s">
        <v>1014</v>
      </c>
      <c r="D30" s="268">
        <v>14</v>
      </c>
      <c r="E30" s="268">
        <v>13</v>
      </c>
      <c r="F30" s="269">
        <v>107.1375</v>
      </c>
      <c r="G30" s="269">
        <v>42.94</v>
      </c>
      <c r="H30" s="269">
        <v>52.554299999999998</v>
      </c>
      <c r="I30" s="269">
        <v>1.2</v>
      </c>
      <c r="J30" s="269"/>
      <c r="K30" s="269">
        <v>5.4073000000000002</v>
      </c>
      <c r="L30" s="269"/>
      <c r="M30" s="269"/>
      <c r="N30" s="269"/>
      <c r="O30" s="269">
        <v>9.1</v>
      </c>
      <c r="P30" s="269"/>
      <c r="Q30" s="269"/>
      <c r="R30" s="269">
        <v>26.774999999999999</v>
      </c>
      <c r="S30" s="269"/>
      <c r="T30" s="269">
        <v>0.57199999999999995</v>
      </c>
      <c r="U30" s="269"/>
      <c r="V30" s="269"/>
      <c r="W30" s="269"/>
      <c r="X30" s="269"/>
      <c r="Y30" s="1254">
        <v>9.4</v>
      </c>
      <c r="Z30" s="1254"/>
      <c r="AA30" s="269"/>
      <c r="AB30" s="269"/>
      <c r="AC30" s="269"/>
      <c r="AD30" s="1254"/>
      <c r="AE30" s="1254"/>
      <c r="AF30" s="269"/>
      <c r="AG30" s="1254"/>
      <c r="AH30" s="1254"/>
      <c r="AI30" s="269">
        <v>0.1</v>
      </c>
      <c r="AJ30" s="269">
        <v>11.6432</v>
      </c>
      <c r="AK30" s="269">
        <v>33.212600000000002</v>
      </c>
      <c r="AL30" s="1255">
        <v>199.2757</v>
      </c>
      <c r="AM30" s="1255"/>
      <c r="AN30" s="1255"/>
    </row>
    <row r="31" spans="2:40" s="260" customFormat="1" ht="18.75" hidden="1" customHeight="1">
      <c r="B31" s="266" t="s">
        <v>1015</v>
      </c>
      <c r="C31" s="267" t="s">
        <v>1016</v>
      </c>
      <c r="D31" s="268">
        <v>21</v>
      </c>
      <c r="E31" s="268">
        <v>21</v>
      </c>
      <c r="F31" s="269">
        <v>157.99430000000001</v>
      </c>
      <c r="G31" s="269">
        <v>76.260000000000005</v>
      </c>
      <c r="H31" s="269">
        <v>60.553899999999999</v>
      </c>
      <c r="I31" s="269">
        <v>1.4</v>
      </c>
      <c r="J31" s="269"/>
      <c r="K31" s="269">
        <v>12.4719</v>
      </c>
      <c r="L31" s="269"/>
      <c r="M31" s="269"/>
      <c r="N31" s="269"/>
      <c r="O31" s="269">
        <v>10.5</v>
      </c>
      <c r="P31" s="269"/>
      <c r="Q31" s="269"/>
      <c r="R31" s="269"/>
      <c r="S31" s="269">
        <v>35.43</v>
      </c>
      <c r="T31" s="269">
        <v>0.65200000000000002</v>
      </c>
      <c r="U31" s="269"/>
      <c r="V31" s="269"/>
      <c r="W31" s="269"/>
      <c r="X31" s="269"/>
      <c r="Y31" s="1254"/>
      <c r="Z31" s="1254"/>
      <c r="AA31" s="269"/>
      <c r="AB31" s="269"/>
      <c r="AC31" s="269"/>
      <c r="AD31" s="1254"/>
      <c r="AE31" s="1254"/>
      <c r="AF31" s="269"/>
      <c r="AG31" s="1254"/>
      <c r="AH31" s="1254"/>
      <c r="AI31" s="269">
        <v>0.1</v>
      </c>
      <c r="AJ31" s="269">
        <v>21.180399999999999</v>
      </c>
      <c r="AK31" s="269">
        <v>48.978200000000001</v>
      </c>
      <c r="AL31" s="1255">
        <v>293.86939999999998</v>
      </c>
      <c r="AM31" s="1255"/>
      <c r="AN31" s="1255"/>
    </row>
    <row r="32" spans="2:40" s="260" customFormat="1" ht="18.75" hidden="1" customHeight="1">
      <c r="B32" s="266" t="s">
        <v>1017</v>
      </c>
      <c r="C32" s="267" t="s">
        <v>1018</v>
      </c>
      <c r="D32" s="268">
        <v>11</v>
      </c>
      <c r="E32" s="268">
        <v>11</v>
      </c>
      <c r="F32" s="269">
        <v>89.312700000000007</v>
      </c>
      <c r="G32" s="269">
        <v>34.9</v>
      </c>
      <c r="H32" s="269">
        <v>44.963900000000002</v>
      </c>
      <c r="I32" s="269">
        <v>1.1499999999999999</v>
      </c>
      <c r="J32" s="269">
        <v>0.24360000000000001</v>
      </c>
      <c r="K32" s="269">
        <v>3.9138280000000001</v>
      </c>
      <c r="L32" s="269"/>
      <c r="M32" s="269"/>
      <c r="N32" s="269"/>
      <c r="O32" s="269">
        <v>7.7</v>
      </c>
      <c r="P32" s="269"/>
      <c r="Q32" s="269"/>
      <c r="R32" s="269">
        <v>20.86252</v>
      </c>
      <c r="S32" s="269"/>
      <c r="T32" s="269">
        <v>0.65200000000000002</v>
      </c>
      <c r="U32" s="269">
        <v>4.242</v>
      </c>
      <c r="V32" s="269"/>
      <c r="W32" s="269"/>
      <c r="X32" s="269"/>
      <c r="Y32" s="1254">
        <v>6.1</v>
      </c>
      <c r="Z32" s="1254"/>
      <c r="AA32" s="269"/>
      <c r="AB32" s="269"/>
      <c r="AC32" s="269"/>
      <c r="AD32" s="1254"/>
      <c r="AE32" s="1254"/>
      <c r="AF32" s="269"/>
      <c r="AG32" s="1254"/>
      <c r="AH32" s="1254"/>
      <c r="AI32" s="269">
        <v>0.1</v>
      </c>
      <c r="AJ32" s="269">
        <v>9.4488000000000003</v>
      </c>
      <c r="AK32" s="269">
        <v>27.686900000000001</v>
      </c>
      <c r="AL32" s="1255">
        <v>166.1216</v>
      </c>
      <c r="AM32" s="1255"/>
      <c r="AN32" s="1255"/>
    </row>
    <row r="33" spans="2:40" s="260" customFormat="1" ht="18.75" hidden="1" customHeight="1">
      <c r="B33" s="266" t="s">
        <v>1019</v>
      </c>
      <c r="C33" s="267" t="s">
        <v>1020</v>
      </c>
      <c r="D33" s="268">
        <v>16</v>
      </c>
      <c r="E33" s="268">
        <v>15</v>
      </c>
      <c r="F33" s="269">
        <v>127.0158</v>
      </c>
      <c r="G33" s="269">
        <v>49.63</v>
      </c>
      <c r="H33" s="269">
        <v>63.9101</v>
      </c>
      <c r="I33" s="269">
        <v>1.6</v>
      </c>
      <c r="J33" s="269"/>
      <c r="K33" s="269">
        <v>6.1140999999999996</v>
      </c>
      <c r="L33" s="269"/>
      <c r="M33" s="269"/>
      <c r="N33" s="269"/>
      <c r="O33" s="269">
        <v>10.5</v>
      </c>
      <c r="P33" s="269"/>
      <c r="Q33" s="269"/>
      <c r="R33" s="269">
        <v>31.100999999999999</v>
      </c>
      <c r="S33" s="269"/>
      <c r="T33" s="269">
        <v>0.69199999999999995</v>
      </c>
      <c r="U33" s="269">
        <v>6.5030000000000001</v>
      </c>
      <c r="V33" s="269"/>
      <c r="W33" s="269"/>
      <c r="X33" s="269"/>
      <c r="Y33" s="1254">
        <v>7.3</v>
      </c>
      <c r="Z33" s="1254"/>
      <c r="AA33" s="269"/>
      <c r="AB33" s="269"/>
      <c r="AC33" s="269"/>
      <c r="AD33" s="1254"/>
      <c r="AE33" s="1254"/>
      <c r="AF33" s="269"/>
      <c r="AG33" s="1254"/>
      <c r="AH33" s="1254"/>
      <c r="AI33" s="269">
        <v>0.1</v>
      </c>
      <c r="AJ33" s="269">
        <v>13.4757</v>
      </c>
      <c r="AK33" s="269">
        <v>39.374899999999997</v>
      </c>
      <c r="AL33" s="1255">
        <v>236.24940000000001</v>
      </c>
      <c r="AM33" s="1255"/>
      <c r="AN33" s="1255"/>
    </row>
    <row r="34" spans="2:40" s="260" customFormat="1" ht="18.75" hidden="1" customHeight="1">
      <c r="B34" s="266" t="s">
        <v>1021</v>
      </c>
      <c r="C34" s="267" t="s">
        <v>1022</v>
      </c>
      <c r="D34" s="268">
        <v>13</v>
      </c>
      <c r="E34" s="268">
        <v>12</v>
      </c>
      <c r="F34" s="269">
        <v>98.618499999999997</v>
      </c>
      <c r="G34" s="269">
        <v>40.22</v>
      </c>
      <c r="H34" s="269">
        <v>47.397399999999998</v>
      </c>
      <c r="I34" s="269">
        <v>1.2</v>
      </c>
      <c r="J34" s="269"/>
      <c r="K34" s="269">
        <v>5.3944000000000001</v>
      </c>
      <c r="L34" s="269"/>
      <c r="M34" s="269"/>
      <c r="N34" s="269"/>
      <c r="O34" s="269">
        <v>6</v>
      </c>
      <c r="P34" s="269"/>
      <c r="Q34" s="269"/>
      <c r="R34" s="269">
        <v>24.731000000000002</v>
      </c>
      <c r="S34" s="269"/>
      <c r="T34" s="269">
        <v>0.57199999999999995</v>
      </c>
      <c r="U34" s="269"/>
      <c r="V34" s="269"/>
      <c r="W34" s="269"/>
      <c r="X34" s="269"/>
      <c r="Y34" s="1254">
        <v>9.4</v>
      </c>
      <c r="Z34" s="1254"/>
      <c r="AA34" s="269"/>
      <c r="AB34" s="269"/>
      <c r="AC34" s="269"/>
      <c r="AD34" s="1254"/>
      <c r="AE34" s="1254"/>
      <c r="AF34" s="269"/>
      <c r="AG34" s="1254"/>
      <c r="AH34" s="1254"/>
      <c r="AI34" s="269">
        <v>0.1</v>
      </c>
      <c r="AJ34" s="269">
        <v>11.001099999999999</v>
      </c>
      <c r="AK34" s="269">
        <v>30.5717</v>
      </c>
      <c r="AL34" s="1255">
        <v>183.43039999999999</v>
      </c>
      <c r="AM34" s="1255"/>
      <c r="AN34" s="1255"/>
    </row>
    <row r="35" spans="2:40" s="260" customFormat="1" ht="18.75" hidden="1" customHeight="1">
      <c r="B35" s="266" t="s">
        <v>1023</v>
      </c>
      <c r="C35" s="267" t="s">
        <v>1024</v>
      </c>
      <c r="D35" s="268">
        <v>23</v>
      </c>
      <c r="E35" s="268">
        <v>24</v>
      </c>
      <c r="F35" s="269">
        <v>215.0324</v>
      </c>
      <c r="G35" s="269">
        <v>85.78</v>
      </c>
      <c r="H35" s="269">
        <v>105.3498</v>
      </c>
      <c r="I35" s="269">
        <v>1.9</v>
      </c>
      <c r="J35" s="269"/>
      <c r="K35" s="269">
        <v>14.033799999999999</v>
      </c>
      <c r="L35" s="269"/>
      <c r="M35" s="269"/>
      <c r="N35" s="269"/>
      <c r="O35" s="269">
        <v>12</v>
      </c>
      <c r="P35" s="269"/>
      <c r="Q35" s="269"/>
      <c r="R35" s="269">
        <v>56.756</v>
      </c>
      <c r="S35" s="269"/>
      <c r="T35" s="269">
        <v>0.65200000000000002</v>
      </c>
      <c r="U35" s="269">
        <v>3.8079999999999998</v>
      </c>
      <c r="V35" s="269"/>
      <c r="W35" s="269"/>
      <c r="X35" s="269"/>
      <c r="Y35" s="1254">
        <v>16.100000000000001</v>
      </c>
      <c r="Z35" s="1254"/>
      <c r="AA35" s="269"/>
      <c r="AB35" s="269"/>
      <c r="AC35" s="269"/>
      <c r="AD35" s="1254"/>
      <c r="AE35" s="1254"/>
      <c r="AF35" s="269"/>
      <c r="AG35" s="1254"/>
      <c r="AH35" s="1254"/>
      <c r="AI35" s="269">
        <v>0.1</v>
      </c>
      <c r="AJ35" s="269">
        <v>23.9026</v>
      </c>
      <c r="AK35" s="269">
        <v>66.66</v>
      </c>
      <c r="AL35" s="1255">
        <v>399.96030000000002</v>
      </c>
      <c r="AM35" s="1255"/>
      <c r="AN35" s="1255"/>
    </row>
    <row r="36" spans="2:40" s="260" customFormat="1" ht="18.75" hidden="1" customHeight="1">
      <c r="B36" s="266" t="s">
        <v>1025</v>
      </c>
      <c r="C36" s="267" t="s">
        <v>1026</v>
      </c>
      <c r="D36" s="268">
        <v>22</v>
      </c>
      <c r="E36" s="268">
        <v>21</v>
      </c>
      <c r="F36" s="269">
        <v>181.99029999999999</v>
      </c>
      <c r="G36" s="269">
        <v>70.790000000000006</v>
      </c>
      <c r="H36" s="269">
        <v>91.374499999999998</v>
      </c>
      <c r="I36" s="269">
        <v>1.9</v>
      </c>
      <c r="J36" s="269">
        <v>0.73080000000000001</v>
      </c>
      <c r="K36" s="269">
        <v>10.945188</v>
      </c>
      <c r="L36" s="269"/>
      <c r="M36" s="269"/>
      <c r="N36" s="269"/>
      <c r="O36" s="269">
        <v>10.5</v>
      </c>
      <c r="P36" s="269"/>
      <c r="Q36" s="269"/>
      <c r="R36" s="269">
        <v>46.690559999999998</v>
      </c>
      <c r="S36" s="269"/>
      <c r="T36" s="269">
        <v>0.61199999999999999</v>
      </c>
      <c r="U36" s="269">
        <v>9.2959999999999994</v>
      </c>
      <c r="V36" s="269"/>
      <c r="W36" s="269"/>
      <c r="X36" s="269"/>
      <c r="Y36" s="1254">
        <v>10.6</v>
      </c>
      <c r="Z36" s="1254"/>
      <c r="AA36" s="269"/>
      <c r="AB36" s="269"/>
      <c r="AC36" s="269"/>
      <c r="AD36" s="1254"/>
      <c r="AE36" s="1254"/>
      <c r="AF36" s="269"/>
      <c r="AG36" s="1254"/>
      <c r="AH36" s="1254"/>
      <c r="AI36" s="269">
        <v>0.1</v>
      </c>
      <c r="AJ36" s="269">
        <v>19.825800000000001</v>
      </c>
      <c r="AK36" s="269">
        <v>56.417000000000002</v>
      </c>
      <c r="AL36" s="1255">
        <v>338.50200000000001</v>
      </c>
      <c r="AM36" s="1255"/>
      <c r="AN36" s="1255"/>
    </row>
    <row r="37" spans="2:40" s="260" customFormat="1" ht="18.75" hidden="1" customHeight="1">
      <c r="B37" s="266" t="s">
        <v>1027</v>
      </c>
      <c r="C37" s="267" t="s">
        <v>1028</v>
      </c>
      <c r="D37" s="268">
        <v>22</v>
      </c>
      <c r="E37" s="268">
        <v>21</v>
      </c>
      <c r="F37" s="269">
        <v>166.62110000000001</v>
      </c>
      <c r="G37" s="269">
        <v>65.8</v>
      </c>
      <c r="H37" s="269">
        <v>83.224800000000002</v>
      </c>
      <c r="I37" s="269">
        <v>1.6</v>
      </c>
      <c r="J37" s="269"/>
      <c r="K37" s="269">
        <v>7.4787999999999997</v>
      </c>
      <c r="L37" s="269"/>
      <c r="M37" s="269"/>
      <c r="N37" s="269"/>
      <c r="O37" s="269">
        <v>14.7</v>
      </c>
      <c r="P37" s="269"/>
      <c r="Q37" s="269"/>
      <c r="R37" s="269">
        <v>45.058999999999997</v>
      </c>
      <c r="S37" s="269"/>
      <c r="T37" s="269"/>
      <c r="U37" s="269">
        <v>1.6870000000000001</v>
      </c>
      <c r="V37" s="269"/>
      <c r="W37" s="269"/>
      <c r="X37" s="269"/>
      <c r="Y37" s="1254">
        <v>12.6</v>
      </c>
      <c r="Z37" s="1254"/>
      <c r="AA37" s="269"/>
      <c r="AB37" s="269"/>
      <c r="AC37" s="269"/>
      <c r="AD37" s="1254"/>
      <c r="AE37" s="1254"/>
      <c r="AF37" s="269"/>
      <c r="AG37" s="1254"/>
      <c r="AH37" s="1254"/>
      <c r="AI37" s="269">
        <v>0.1</v>
      </c>
      <c r="AJ37" s="269">
        <v>17.596299999999999</v>
      </c>
      <c r="AK37" s="269">
        <v>51.652500000000003</v>
      </c>
      <c r="AL37" s="1255">
        <v>309.91520000000003</v>
      </c>
      <c r="AM37" s="1255"/>
      <c r="AN37" s="1255"/>
    </row>
    <row r="38" spans="2:40" s="260" customFormat="1" ht="18.75" hidden="1" customHeight="1">
      <c r="B38" s="266" t="s">
        <v>1029</v>
      </c>
      <c r="C38" s="267" t="s">
        <v>1030</v>
      </c>
      <c r="D38" s="268">
        <v>11</v>
      </c>
      <c r="E38" s="268">
        <v>11</v>
      </c>
      <c r="F38" s="269">
        <v>85.9833</v>
      </c>
      <c r="G38" s="269">
        <v>35.89</v>
      </c>
      <c r="H38" s="269">
        <v>40.418100000000003</v>
      </c>
      <c r="I38" s="269">
        <v>0.95</v>
      </c>
      <c r="J38" s="269"/>
      <c r="K38" s="269">
        <v>4.3311000000000002</v>
      </c>
      <c r="L38" s="269"/>
      <c r="M38" s="269"/>
      <c r="N38" s="269"/>
      <c r="O38" s="269">
        <v>5.5</v>
      </c>
      <c r="P38" s="269"/>
      <c r="Q38" s="269"/>
      <c r="R38" s="269">
        <v>21.524999999999999</v>
      </c>
      <c r="S38" s="269"/>
      <c r="T38" s="269">
        <v>0.61199999999999999</v>
      </c>
      <c r="U38" s="269"/>
      <c r="V38" s="269"/>
      <c r="W38" s="269"/>
      <c r="X38" s="269"/>
      <c r="Y38" s="1254">
        <v>7.4</v>
      </c>
      <c r="Z38" s="1254"/>
      <c r="AA38" s="269"/>
      <c r="AB38" s="269"/>
      <c r="AC38" s="269"/>
      <c r="AD38" s="1254"/>
      <c r="AE38" s="1254"/>
      <c r="AF38" s="269"/>
      <c r="AG38" s="1254"/>
      <c r="AH38" s="1254"/>
      <c r="AI38" s="269">
        <v>0.1</v>
      </c>
      <c r="AJ38" s="269">
        <v>9.6752000000000002</v>
      </c>
      <c r="AK38" s="269">
        <v>26.654800000000002</v>
      </c>
      <c r="AL38" s="1255">
        <v>159.9289</v>
      </c>
      <c r="AM38" s="1255"/>
      <c r="AN38" s="1255"/>
    </row>
    <row r="39" spans="2:40" s="260" customFormat="1" ht="18.75" hidden="1" customHeight="1">
      <c r="B39" s="266" t="s">
        <v>1031</v>
      </c>
      <c r="C39" s="267" t="s">
        <v>1032</v>
      </c>
      <c r="D39" s="268">
        <v>19</v>
      </c>
      <c r="E39" s="268">
        <v>19</v>
      </c>
      <c r="F39" s="269">
        <v>177.62450000000001</v>
      </c>
      <c r="G39" s="269">
        <v>69.650000000000006</v>
      </c>
      <c r="H39" s="269">
        <v>88.536900000000003</v>
      </c>
      <c r="I39" s="269">
        <v>1.6</v>
      </c>
      <c r="J39" s="269"/>
      <c r="K39" s="269">
        <v>11.4649</v>
      </c>
      <c r="L39" s="269"/>
      <c r="M39" s="269"/>
      <c r="N39" s="269"/>
      <c r="O39" s="269">
        <v>13.3</v>
      </c>
      <c r="P39" s="269"/>
      <c r="Q39" s="269"/>
      <c r="R39" s="269">
        <v>45.037999999999997</v>
      </c>
      <c r="S39" s="269"/>
      <c r="T39" s="269">
        <v>0.65200000000000002</v>
      </c>
      <c r="U39" s="269">
        <v>2.282</v>
      </c>
      <c r="V39" s="269"/>
      <c r="W39" s="269"/>
      <c r="X39" s="269"/>
      <c r="Y39" s="1254">
        <v>14.1</v>
      </c>
      <c r="Z39" s="1254"/>
      <c r="AA39" s="269"/>
      <c r="AB39" s="269"/>
      <c r="AC39" s="269"/>
      <c r="AD39" s="1254"/>
      <c r="AE39" s="1254"/>
      <c r="AF39" s="269"/>
      <c r="AG39" s="1254"/>
      <c r="AH39" s="1254"/>
      <c r="AI39" s="269">
        <v>0.1</v>
      </c>
      <c r="AJ39" s="269">
        <v>19.4376</v>
      </c>
      <c r="AK39" s="269">
        <v>55.063600000000001</v>
      </c>
      <c r="AL39" s="1255">
        <v>330.38159999999999</v>
      </c>
      <c r="AM39" s="1255"/>
      <c r="AN39" s="1255"/>
    </row>
    <row r="40" spans="2:40" s="260" customFormat="1" ht="18.75" hidden="1" customHeight="1">
      <c r="B40" s="266" t="s">
        <v>1033</v>
      </c>
      <c r="C40" s="267" t="s">
        <v>1034</v>
      </c>
      <c r="D40" s="268">
        <v>17</v>
      </c>
      <c r="E40" s="268">
        <v>15</v>
      </c>
      <c r="F40" s="269">
        <v>117.0903</v>
      </c>
      <c r="G40" s="269">
        <v>47.23</v>
      </c>
      <c r="H40" s="269">
        <v>57.244100000000003</v>
      </c>
      <c r="I40" s="269">
        <v>1.4</v>
      </c>
      <c r="J40" s="269"/>
      <c r="K40" s="269">
        <v>5.2840999999999996</v>
      </c>
      <c r="L40" s="269"/>
      <c r="M40" s="269"/>
      <c r="N40" s="269"/>
      <c r="O40" s="269">
        <v>10.5</v>
      </c>
      <c r="P40" s="269"/>
      <c r="Q40" s="269"/>
      <c r="R40" s="269">
        <v>29.638000000000002</v>
      </c>
      <c r="S40" s="269"/>
      <c r="T40" s="269">
        <v>0.65200000000000002</v>
      </c>
      <c r="U40" s="269">
        <v>1.47</v>
      </c>
      <c r="V40" s="269"/>
      <c r="W40" s="269"/>
      <c r="X40" s="269"/>
      <c r="Y40" s="1254">
        <v>8.3000000000000007</v>
      </c>
      <c r="Z40" s="1254"/>
      <c r="AA40" s="269"/>
      <c r="AB40" s="269"/>
      <c r="AC40" s="269"/>
      <c r="AD40" s="1254"/>
      <c r="AE40" s="1254"/>
      <c r="AF40" s="269"/>
      <c r="AG40" s="1254"/>
      <c r="AH40" s="1254"/>
      <c r="AI40" s="269"/>
      <c r="AJ40" s="269">
        <v>12.616199999999999</v>
      </c>
      <c r="AK40" s="269">
        <v>36.298000000000002</v>
      </c>
      <c r="AL40" s="1255">
        <v>217.78800000000001</v>
      </c>
      <c r="AM40" s="1255"/>
      <c r="AN40" s="1255"/>
    </row>
    <row r="41" spans="2:40" s="260" customFormat="1" ht="18.75" hidden="1" customHeight="1">
      <c r="B41" s="266" t="s">
        <v>1035</v>
      </c>
      <c r="C41" s="267" t="s">
        <v>1036</v>
      </c>
      <c r="D41" s="268">
        <v>29</v>
      </c>
      <c r="E41" s="268">
        <v>29</v>
      </c>
      <c r="F41" s="269">
        <v>198.06649999999999</v>
      </c>
      <c r="G41" s="269">
        <v>95.98</v>
      </c>
      <c r="H41" s="269">
        <v>75.6126</v>
      </c>
      <c r="I41" s="269">
        <v>1.95</v>
      </c>
      <c r="J41" s="269">
        <v>0.73080000000000001</v>
      </c>
      <c r="K41" s="269">
        <v>13.99438</v>
      </c>
      <c r="L41" s="269"/>
      <c r="M41" s="269"/>
      <c r="N41" s="269"/>
      <c r="O41" s="269">
        <v>11.2</v>
      </c>
      <c r="P41" s="269"/>
      <c r="Q41" s="269"/>
      <c r="R41" s="269"/>
      <c r="S41" s="269">
        <v>46.985399999999998</v>
      </c>
      <c r="T41" s="269">
        <v>0.65200000000000002</v>
      </c>
      <c r="U41" s="269"/>
      <c r="V41" s="269"/>
      <c r="W41" s="269"/>
      <c r="X41" s="269"/>
      <c r="Y41" s="1254"/>
      <c r="Z41" s="1254"/>
      <c r="AA41" s="269"/>
      <c r="AB41" s="269"/>
      <c r="AC41" s="269"/>
      <c r="AD41" s="1254"/>
      <c r="AE41" s="1254"/>
      <c r="AF41" s="269"/>
      <c r="AG41" s="1254"/>
      <c r="AH41" s="1254"/>
      <c r="AI41" s="269">
        <v>0.1</v>
      </c>
      <c r="AJ41" s="269">
        <v>26.4739</v>
      </c>
      <c r="AK41" s="269">
        <v>61.400599999999997</v>
      </c>
      <c r="AL41" s="1255">
        <v>368.40370000000001</v>
      </c>
      <c r="AM41" s="1255"/>
      <c r="AN41" s="1255"/>
    </row>
    <row r="42" spans="2:40" s="260" customFormat="1" ht="18.75" hidden="1" customHeight="1">
      <c r="B42" s="266" t="s">
        <v>1037</v>
      </c>
      <c r="C42" s="267" t="s">
        <v>1038</v>
      </c>
      <c r="D42" s="268">
        <v>31</v>
      </c>
      <c r="E42" s="268">
        <v>27</v>
      </c>
      <c r="F42" s="269">
        <v>223.59790000000001</v>
      </c>
      <c r="G42" s="269">
        <v>100.48</v>
      </c>
      <c r="H42" s="269">
        <v>95.365099999999998</v>
      </c>
      <c r="I42" s="269">
        <v>2.5</v>
      </c>
      <c r="J42" s="269">
        <v>0.32479999999999998</v>
      </c>
      <c r="K42" s="269">
        <v>14.792299999999999</v>
      </c>
      <c r="L42" s="269"/>
      <c r="M42" s="269"/>
      <c r="N42" s="269"/>
      <c r="O42" s="269">
        <v>10.4</v>
      </c>
      <c r="P42" s="269"/>
      <c r="Q42" s="269"/>
      <c r="R42" s="269">
        <v>59.871000000000002</v>
      </c>
      <c r="S42" s="269"/>
      <c r="T42" s="269">
        <v>0.87695999999999996</v>
      </c>
      <c r="U42" s="269"/>
      <c r="V42" s="269"/>
      <c r="W42" s="269"/>
      <c r="X42" s="269"/>
      <c r="Y42" s="1254"/>
      <c r="Z42" s="1254"/>
      <c r="AA42" s="269"/>
      <c r="AB42" s="269"/>
      <c r="AC42" s="269"/>
      <c r="AD42" s="1254"/>
      <c r="AE42" s="1254"/>
      <c r="AF42" s="269"/>
      <c r="AG42" s="1254"/>
      <c r="AH42" s="1254"/>
      <c r="AI42" s="269">
        <v>6.6</v>
      </c>
      <c r="AJ42" s="269">
        <v>27.752800000000001</v>
      </c>
      <c r="AK42" s="269">
        <v>69.315299999999993</v>
      </c>
      <c r="AL42" s="1255">
        <v>415.89210000000003</v>
      </c>
      <c r="AM42" s="1255"/>
      <c r="AN42" s="1255"/>
    </row>
    <row r="43" spans="2:40" s="260" customFormat="1" ht="18.75" hidden="1" customHeight="1">
      <c r="B43" s="266" t="s">
        <v>1039</v>
      </c>
      <c r="C43" s="267" t="s">
        <v>1040</v>
      </c>
      <c r="D43" s="268">
        <v>14</v>
      </c>
      <c r="E43" s="268">
        <v>11</v>
      </c>
      <c r="F43" s="269">
        <v>115.13720000000001</v>
      </c>
      <c r="G43" s="269">
        <v>44</v>
      </c>
      <c r="H43" s="269">
        <v>58.842799999999997</v>
      </c>
      <c r="I43" s="269">
        <v>0.95</v>
      </c>
      <c r="J43" s="269"/>
      <c r="K43" s="269">
        <v>7.6218000000000004</v>
      </c>
      <c r="L43" s="269"/>
      <c r="M43" s="269"/>
      <c r="N43" s="269"/>
      <c r="O43" s="269">
        <v>7.7</v>
      </c>
      <c r="P43" s="269"/>
      <c r="Q43" s="269"/>
      <c r="R43" s="269">
        <v>27.041</v>
      </c>
      <c r="S43" s="269"/>
      <c r="T43" s="269">
        <v>0.65200000000000002</v>
      </c>
      <c r="U43" s="269">
        <v>3.8780000000000001</v>
      </c>
      <c r="V43" s="269"/>
      <c r="W43" s="269"/>
      <c r="X43" s="269"/>
      <c r="Y43" s="1254">
        <v>8.1</v>
      </c>
      <c r="Z43" s="1254"/>
      <c r="AA43" s="269"/>
      <c r="AB43" s="269"/>
      <c r="AC43" s="269"/>
      <c r="AD43" s="1254"/>
      <c r="AE43" s="1254"/>
      <c r="AF43" s="269"/>
      <c r="AG43" s="1254"/>
      <c r="AH43" s="1254"/>
      <c r="AI43" s="269">
        <v>2.9</v>
      </c>
      <c r="AJ43" s="269">
        <v>12.2944</v>
      </c>
      <c r="AK43" s="269">
        <v>35.692500000000003</v>
      </c>
      <c r="AL43" s="1255">
        <v>214.15520000000001</v>
      </c>
      <c r="AM43" s="1255"/>
      <c r="AN43" s="1255"/>
    </row>
    <row r="44" spans="2:40" s="260" customFormat="1" ht="18.75" hidden="1" customHeight="1">
      <c r="B44" s="266" t="s">
        <v>1041</v>
      </c>
      <c r="C44" s="267" t="s">
        <v>1042</v>
      </c>
      <c r="D44" s="268">
        <v>14</v>
      </c>
      <c r="E44" s="268">
        <v>14</v>
      </c>
      <c r="F44" s="269">
        <v>122.6069</v>
      </c>
      <c r="G44" s="269">
        <v>43.94</v>
      </c>
      <c r="H44" s="269">
        <v>66.784300000000002</v>
      </c>
      <c r="I44" s="269">
        <v>0.85</v>
      </c>
      <c r="J44" s="269"/>
      <c r="K44" s="269">
        <v>5.7732999999999999</v>
      </c>
      <c r="L44" s="269"/>
      <c r="M44" s="269"/>
      <c r="N44" s="269"/>
      <c r="O44" s="269">
        <v>9.8000000000000007</v>
      </c>
      <c r="P44" s="269"/>
      <c r="Q44" s="269"/>
      <c r="R44" s="269">
        <v>31.353000000000002</v>
      </c>
      <c r="S44" s="269"/>
      <c r="T44" s="269"/>
      <c r="U44" s="269">
        <v>1.6379999999999999</v>
      </c>
      <c r="V44" s="269"/>
      <c r="W44" s="269"/>
      <c r="X44" s="269"/>
      <c r="Y44" s="1254">
        <v>10.199999999999999</v>
      </c>
      <c r="Z44" s="1254"/>
      <c r="AA44" s="269"/>
      <c r="AB44" s="269"/>
      <c r="AC44" s="269"/>
      <c r="AD44" s="1254"/>
      <c r="AE44" s="1254"/>
      <c r="AF44" s="269"/>
      <c r="AG44" s="1254"/>
      <c r="AH44" s="1254"/>
      <c r="AI44" s="269">
        <v>7.17</v>
      </c>
      <c r="AJ44" s="269">
        <v>11.8826</v>
      </c>
      <c r="AK44" s="269">
        <v>38.008099999999999</v>
      </c>
      <c r="AL44" s="1255">
        <v>228.0488</v>
      </c>
      <c r="AM44" s="1255"/>
      <c r="AN44" s="1255"/>
    </row>
    <row r="45" spans="2:40" s="260" customFormat="1" ht="18.75" hidden="1" customHeight="1">
      <c r="B45" s="266" t="s">
        <v>1043</v>
      </c>
      <c r="C45" s="267" t="s">
        <v>1044</v>
      </c>
      <c r="D45" s="268">
        <v>21</v>
      </c>
      <c r="E45" s="268">
        <v>13</v>
      </c>
      <c r="F45" s="269">
        <v>123.0766</v>
      </c>
      <c r="G45" s="269">
        <v>45.42</v>
      </c>
      <c r="H45" s="269">
        <v>65.132999999999996</v>
      </c>
      <c r="I45" s="269">
        <v>1.4</v>
      </c>
      <c r="J45" s="269"/>
      <c r="K45" s="269">
        <v>6.4729999999999999</v>
      </c>
      <c r="L45" s="269"/>
      <c r="M45" s="269"/>
      <c r="N45" s="269"/>
      <c r="O45" s="269">
        <v>9.1</v>
      </c>
      <c r="P45" s="269"/>
      <c r="Q45" s="269"/>
      <c r="R45" s="269">
        <v>30.771999999999998</v>
      </c>
      <c r="S45" s="269"/>
      <c r="T45" s="269">
        <v>0.57199999999999995</v>
      </c>
      <c r="U45" s="269">
        <v>6.9160000000000004</v>
      </c>
      <c r="V45" s="269"/>
      <c r="W45" s="269"/>
      <c r="X45" s="269"/>
      <c r="Y45" s="1254">
        <v>5.4</v>
      </c>
      <c r="Z45" s="1254"/>
      <c r="AA45" s="269"/>
      <c r="AB45" s="269"/>
      <c r="AC45" s="269"/>
      <c r="AD45" s="1254"/>
      <c r="AE45" s="1254"/>
      <c r="AF45" s="269"/>
      <c r="AG45" s="1254"/>
      <c r="AH45" s="1254"/>
      <c r="AI45" s="269">
        <v>4.5</v>
      </c>
      <c r="AJ45" s="269">
        <v>12.5236</v>
      </c>
      <c r="AK45" s="269">
        <v>38.153700000000001</v>
      </c>
      <c r="AL45" s="1255">
        <v>228.92250000000001</v>
      </c>
      <c r="AM45" s="1255"/>
      <c r="AN45" s="1255"/>
    </row>
    <row r="46" spans="2:40" s="260" customFormat="1" ht="18.75" hidden="1" customHeight="1">
      <c r="B46" s="266" t="s">
        <v>1045</v>
      </c>
      <c r="C46" s="267" t="s">
        <v>1046</v>
      </c>
      <c r="D46" s="268">
        <v>23</v>
      </c>
      <c r="E46" s="268">
        <v>20</v>
      </c>
      <c r="F46" s="269">
        <v>207.7602</v>
      </c>
      <c r="G46" s="269">
        <v>78.72</v>
      </c>
      <c r="H46" s="269">
        <v>106.9474</v>
      </c>
      <c r="I46" s="269">
        <v>2.2000000000000002</v>
      </c>
      <c r="J46" s="269"/>
      <c r="K46" s="269">
        <v>13.093400000000001</v>
      </c>
      <c r="L46" s="269"/>
      <c r="M46" s="269"/>
      <c r="N46" s="269"/>
      <c r="O46" s="269">
        <v>14</v>
      </c>
      <c r="P46" s="269"/>
      <c r="Q46" s="269"/>
      <c r="R46" s="269">
        <v>47.74</v>
      </c>
      <c r="S46" s="269"/>
      <c r="T46" s="269">
        <v>0.65200000000000002</v>
      </c>
      <c r="U46" s="269">
        <v>10.262</v>
      </c>
      <c r="V46" s="269"/>
      <c r="W46" s="269"/>
      <c r="X46" s="269"/>
      <c r="Y46" s="1254">
        <v>13.7</v>
      </c>
      <c r="Z46" s="1254"/>
      <c r="AA46" s="269"/>
      <c r="AB46" s="269"/>
      <c r="AC46" s="269"/>
      <c r="AD46" s="1254"/>
      <c r="AE46" s="1254"/>
      <c r="AF46" s="269"/>
      <c r="AG46" s="1254"/>
      <c r="AH46" s="1254"/>
      <c r="AI46" s="269">
        <v>5.3</v>
      </c>
      <c r="AJ46" s="269">
        <v>22.0928</v>
      </c>
      <c r="AK46" s="269">
        <v>64.405699999999996</v>
      </c>
      <c r="AL46" s="1255">
        <v>386.43400000000003</v>
      </c>
      <c r="AM46" s="1255"/>
      <c r="AN46" s="1255"/>
    </row>
    <row r="47" spans="2:40" s="260" customFormat="1" ht="18.75" hidden="1" customHeight="1">
      <c r="B47" s="266" t="s">
        <v>1047</v>
      </c>
      <c r="C47" s="267" t="s">
        <v>1048</v>
      </c>
      <c r="D47" s="268">
        <v>26</v>
      </c>
      <c r="E47" s="268">
        <v>23</v>
      </c>
      <c r="F47" s="269">
        <v>218.63829999999999</v>
      </c>
      <c r="G47" s="269">
        <v>79.739999999999995</v>
      </c>
      <c r="H47" s="269">
        <v>116.878</v>
      </c>
      <c r="I47" s="269">
        <v>1.6</v>
      </c>
      <c r="J47" s="269">
        <v>0.34229999999999999</v>
      </c>
      <c r="K47" s="269">
        <v>12.020459000000001</v>
      </c>
      <c r="L47" s="269"/>
      <c r="M47" s="269"/>
      <c r="N47" s="269"/>
      <c r="O47" s="269">
        <v>16.100000000000001</v>
      </c>
      <c r="P47" s="269"/>
      <c r="Q47" s="269"/>
      <c r="R47" s="269">
        <v>52.753610000000002</v>
      </c>
      <c r="S47" s="269"/>
      <c r="T47" s="269">
        <v>0.61199999999999999</v>
      </c>
      <c r="U47" s="269">
        <v>10.45961</v>
      </c>
      <c r="V47" s="269"/>
      <c r="W47" s="269"/>
      <c r="X47" s="269"/>
      <c r="Y47" s="1254">
        <v>14.2</v>
      </c>
      <c r="Z47" s="1254"/>
      <c r="AA47" s="269"/>
      <c r="AB47" s="269"/>
      <c r="AC47" s="269"/>
      <c r="AD47" s="1254"/>
      <c r="AE47" s="1254"/>
      <c r="AF47" s="269"/>
      <c r="AG47" s="1254"/>
      <c r="AH47" s="1254"/>
      <c r="AI47" s="269">
        <v>8.7899999999999991</v>
      </c>
      <c r="AJ47" s="269">
        <v>22.020299999999999</v>
      </c>
      <c r="AK47" s="269">
        <v>67.777900000000002</v>
      </c>
      <c r="AL47" s="1255">
        <v>406.66719999999998</v>
      </c>
      <c r="AM47" s="1255"/>
      <c r="AN47" s="1255"/>
    </row>
    <row r="48" spans="2:40" s="260" customFormat="1" ht="18.75" hidden="1" customHeight="1">
      <c r="B48" s="266" t="s">
        <v>1049</v>
      </c>
      <c r="C48" s="267" t="s">
        <v>1050</v>
      </c>
      <c r="D48" s="268">
        <v>24</v>
      </c>
      <c r="E48" s="268">
        <v>22</v>
      </c>
      <c r="F48" s="269">
        <v>249.4657</v>
      </c>
      <c r="G48" s="269">
        <v>91.79</v>
      </c>
      <c r="H48" s="269">
        <v>130.73920000000001</v>
      </c>
      <c r="I48" s="269">
        <v>1.3</v>
      </c>
      <c r="J48" s="269">
        <v>0.73350000000000004</v>
      </c>
      <c r="K48" s="269">
        <v>20.801300999999999</v>
      </c>
      <c r="L48" s="269"/>
      <c r="M48" s="269"/>
      <c r="N48" s="269"/>
      <c r="O48" s="269">
        <v>15.4</v>
      </c>
      <c r="P48" s="269"/>
      <c r="Q48" s="269"/>
      <c r="R48" s="269">
        <v>61.252450000000003</v>
      </c>
      <c r="S48" s="269"/>
      <c r="T48" s="269">
        <v>0.69199999999999995</v>
      </c>
      <c r="U48" s="269">
        <v>4.2</v>
      </c>
      <c r="V48" s="269"/>
      <c r="W48" s="269"/>
      <c r="X48" s="269"/>
      <c r="Y48" s="1254">
        <v>17.8</v>
      </c>
      <c r="Z48" s="1254"/>
      <c r="AA48" s="269"/>
      <c r="AB48" s="269"/>
      <c r="AC48" s="269"/>
      <c r="AD48" s="1254"/>
      <c r="AE48" s="1254"/>
      <c r="AF48" s="269"/>
      <c r="AG48" s="1254"/>
      <c r="AH48" s="1254"/>
      <c r="AI48" s="269">
        <v>8.56</v>
      </c>
      <c r="AJ48" s="269">
        <v>26.936499999999999</v>
      </c>
      <c r="AK48" s="269">
        <v>77.334400000000002</v>
      </c>
      <c r="AL48" s="1255">
        <v>464.00619999999998</v>
      </c>
      <c r="AM48" s="1255"/>
      <c r="AN48" s="1255"/>
    </row>
    <row r="49" spans="2:40" s="260" customFormat="1" ht="18.75" hidden="1" customHeight="1">
      <c r="B49" s="266" t="s">
        <v>1051</v>
      </c>
      <c r="C49" s="267" t="s">
        <v>1052</v>
      </c>
      <c r="D49" s="268">
        <v>14</v>
      </c>
      <c r="E49" s="268">
        <v>11</v>
      </c>
      <c r="F49" s="269">
        <v>83.672300000000007</v>
      </c>
      <c r="G49" s="269">
        <v>42.268999999999998</v>
      </c>
      <c r="H49" s="269">
        <v>29.505299999999998</v>
      </c>
      <c r="I49" s="269">
        <v>1</v>
      </c>
      <c r="J49" s="269"/>
      <c r="K49" s="269">
        <v>7.3612000000000002</v>
      </c>
      <c r="L49" s="269"/>
      <c r="M49" s="269"/>
      <c r="N49" s="269"/>
      <c r="O49" s="269">
        <v>5.5</v>
      </c>
      <c r="P49" s="269"/>
      <c r="Q49" s="269"/>
      <c r="R49" s="269"/>
      <c r="S49" s="269">
        <v>15.14415</v>
      </c>
      <c r="T49" s="269"/>
      <c r="U49" s="269"/>
      <c r="V49" s="269"/>
      <c r="W49" s="269"/>
      <c r="X49" s="269"/>
      <c r="Y49" s="1254"/>
      <c r="Z49" s="1254"/>
      <c r="AA49" s="269"/>
      <c r="AB49" s="269"/>
      <c r="AC49" s="269"/>
      <c r="AD49" s="1254"/>
      <c r="AE49" s="1254"/>
      <c r="AF49" s="269"/>
      <c r="AG49" s="1254"/>
      <c r="AH49" s="1254"/>
      <c r="AI49" s="269">
        <v>0.5</v>
      </c>
      <c r="AJ49" s="269">
        <v>11.898</v>
      </c>
      <c r="AK49" s="269">
        <v>25.938400000000001</v>
      </c>
      <c r="AL49" s="1255">
        <v>155.63050000000001</v>
      </c>
      <c r="AM49" s="1255"/>
      <c r="AN49" s="1255"/>
    </row>
    <row r="50" spans="2:40" s="260" customFormat="1" ht="18.75" hidden="1" customHeight="1">
      <c r="B50" s="266" t="s">
        <v>1053</v>
      </c>
      <c r="C50" s="267" t="s">
        <v>1054</v>
      </c>
      <c r="D50" s="268">
        <v>19</v>
      </c>
      <c r="E50" s="268">
        <v>18</v>
      </c>
      <c r="F50" s="269">
        <v>168.76499999999999</v>
      </c>
      <c r="G50" s="269">
        <v>70.569999999999993</v>
      </c>
      <c r="H50" s="269">
        <v>77.7898</v>
      </c>
      <c r="I50" s="269">
        <v>1.05</v>
      </c>
      <c r="J50" s="269">
        <v>0.24360000000000001</v>
      </c>
      <c r="K50" s="269">
        <v>14.966699999999999</v>
      </c>
      <c r="L50" s="269"/>
      <c r="M50" s="269"/>
      <c r="N50" s="269"/>
      <c r="O50" s="269">
        <v>9</v>
      </c>
      <c r="P50" s="269"/>
      <c r="Q50" s="269"/>
      <c r="R50" s="269">
        <v>19.343520000000002</v>
      </c>
      <c r="S50" s="269">
        <v>22.114999999999998</v>
      </c>
      <c r="T50" s="269"/>
      <c r="U50" s="269">
        <v>3.3809999999999998</v>
      </c>
      <c r="V50" s="269"/>
      <c r="W50" s="269"/>
      <c r="X50" s="269"/>
      <c r="Y50" s="1254">
        <v>5.4</v>
      </c>
      <c r="Z50" s="1254"/>
      <c r="AA50" s="269"/>
      <c r="AB50" s="269"/>
      <c r="AC50" s="269"/>
      <c r="AD50" s="1254"/>
      <c r="AE50" s="1254"/>
      <c r="AF50" s="269"/>
      <c r="AG50" s="1254"/>
      <c r="AH50" s="1254"/>
      <c r="AI50" s="269">
        <v>2.29</v>
      </c>
      <c r="AJ50" s="269">
        <v>20.405200000000001</v>
      </c>
      <c r="AK50" s="269">
        <v>52.317100000000003</v>
      </c>
      <c r="AL50" s="1255">
        <v>313.90289999999999</v>
      </c>
      <c r="AM50" s="1255"/>
      <c r="AN50" s="1255"/>
    </row>
    <row r="51" spans="2:40" s="260" customFormat="1" ht="18.75" hidden="1" customHeight="1">
      <c r="B51" s="266" t="s">
        <v>1055</v>
      </c>
      <c r="C51" s="267" t="s">
        <v>1056</v>
      </c>
      <c r="D51" s="268">
        <v>14</v>
      </c>
      <c r="E51" s="268">
        <v>13</v>
      </c>
      <c r="F51" s="269">
        <v>128.76820000000001</v>
      </c>
      <c r="G51" s="269">
        <v>52.13</v>
      </c>
      <c r="H51" s="269">
        <v>62.131399999999999</v>
      </c>
      <c r="I51" s="269">
        <v>1.05</v>
      </c>
      <c r="J51" s="269"/>
      <c r="K51" s="269">
        <v>8.5513999999999992</v>
      </c>
      <c r="L51" s="269"/>
      <c r="M51" s="269"/>
      <c r="N51" s="269"/>
      <c r="O51" s="269">
        <v>6.5</v>
      </c>
      <c r="P51" s="269"/>
      <c r="Q51" s="269"/>
      <c r="R51" s="269">
        <v>30.751000000000001</v>
      </c>
      <c r="S51" s="269"/>
      <c r="T51" s="269">
        <v>0.57199999999999995</v>
      </c>
      <c r="U51" s="269">
        <v>6.3070000000000004</v>
      </c>
      <c r="V51" s="269"/>
      <c r="W51" s="269"/>
      <c r="X51" s="269"/>
      <c r="Y51" s="1254">
        <v>8.1999999999999993</v>
      </c>
      <c r="Z51" s="1254"/>
      <c r="AA51" s="269"/>
      <c r="AB51" s="269"/>
      <c r="AC51" s="269"/>
      <c r="AD51" s="1254"/>
      <c r="AE51" s="1254"/>
      <c r="AF51" s="269"/>
      <c r="AG51" s="1254"/>
      <c r="AH51" s="1254"/>
      <c r="AI51" s="269">
        <v>0.2</v>
      </c>
      <c r="AJ51" s="269">
        <v>14.5068</v>
      </c>
      <c r="AK51" s="269">
        <v>39.918100000000003</v>
      </c>
      <c r="AL51" s="1255">
        <v>239.50890000000001</v>
      </c>
      <c r="AM51" s="1255"/>
      <c r="AN51" s="1255"/>
    </row>
    <row r="52" spans="2:40" s="260" customFormat="1" ht="18.75" hidden="1" customHeight="1">
      <c r="B52" s="266" t="s">
        <v>1057</v>
      </c>
      <c r="C52" s="267" t="s">
        <v>1058</v>
      </c>
      <c r="D52" s="268">
        <v>14</v>
      </c>
      <c r="E52" s="268">
        <v>14</v>
      </c>
      <c r="F52" s="269">
        <v>145.828</v>
      </c>
      <c r="G52" s="269">
        <v>54.22</v>
      </c>
      <c r="H52" s="269">
        <v>76.219399999999993</v>
      </c>
      <c r="I52" s="269">
        <v>1.05</v>
      </c>
      <c r="J52" s="269"/>
      <c r="K52" s="269">
        <v>10.214399999999999</v>
      </c>
      <c r="L52" s="269"/>
      <c r="M52" s="269"/>
      <c r="N52" s="269"/>
      <c r="O52" s="269">
        <v>7</v>
      </c>
      <c r="P52" s="269"/>
      <c r="Q52" s="269"/>
      <c r="R52" s="269">
        <v>38.689</v>
      </c>
      <c r="S52" s="269"/>
      <c r="T52" s="269"/>
      <c r="U52" s="269">
        <v>6.7409999999999997</v>
      </c>
      <c r="V52" s="269"/>
      <c r="W52" s="269"/>
      <c r="X52" s="269"/>
      <c r="Y52" s="1254">
        <v>10</v>
      </c>
      <c r="Z52" s="1254"/>
      <c r="AA52" s="269"/>
      <c r="AB52" s="269"/>
      <c r="AC52" s="269"/>
      <c r="AD52" s="1254"/>
      <c r="AE52" s="1254"/>
      <c r="AF52" s="269"/>
      <c r="AG52" s="1254"/>
      <c r="AH52" s="1254"/>
      <c r="AI52" s="269">
        <v>2.5249999999999999</v>
      </c>
      <c r="AJ52" s="269">
        <v>15.3886</v>
      </c>
      <c r="AK52" s="269">
        <v>45.206699999999998</v>
      </c>
      <c r="AL52" s="1255">
        <v>271.24009999999998</v>
      </c>
      <c r="AM52" s="1255"/>
      <c r="AN52" s="1255"/>
    </row>
    <row r="53" spans="2:40" s="260" customFormat="1" ht="18.75" hidden="1" customHeight="1">
      <c r="B53" s="266" t="s">
        <v>1059</v>
      </c>
      <c r="C53" s="267" t="s">
        <v>1060</v>
      </c>
      <c r="D53" s="268">
        <v>12</v>
      </c>
      <c r="E53" s="268">
        <v>9</v>
      </c>
      <c r="F53" s="269">
        <v>55.920299999999997</v>
      </c>
      <c r="G53" s="269">
        <v>30.63</v>
      </c>
      <c r="H53" s="269">
        <v>17.313700000000001</v>
      </c>
      <c r="I53" s="269">
        <v>0.6</v>
      </c>
      <c r="J53" s="269"/>
      <c r="K53" s="269">
        <v>2.7132000000000001</v>
      </c>
      <c r="L53" s="269"/>
      <c r="M53" s="269"/>
      <c r="N53" s="269"/>
      <c r="O53" s="269">
        <v>4.5</v>
      </c>
      <c r="P53" s="269"/>
      <c r="Q53" s="269"/>
      <c r="R53" s="269"/>
      <c r="S53" s="269">
        <v>8.6485000000000003</v>
      </c>
      <c r="T53" s="269">
        <v>0.65200000000000002</v>
      </c>
      <c r="U53" s="269"/>
      <c r="V53" s="269"/>
      <c r="W53" s="269"/>
      <c r="X53" s="269"/>
      <c r="Y53" s="1254"/>
      <c r="Z53" s="1254"/>
      <c r="AA53" s="269"/>
      <c r="AB53" s="269"/>
      <c r="AC53" s="269"/>
      <c r="AD53" s="1254"/>
      <c r="AE53" s="1254"/>
      <c r="AF53" s="269"/>
      <c r="AG53" s="1254"/>
      <c r="AH53" s="1254"/>
      <c r="AI53" s="269">
        <v>0.2</v>
      </c>
      <c r="AJ53" s="269">
        <v>7.9766000000000004</v>
      </c>
      <c r="AK53" s="269">
        <v>17.3353</v>
      </c>
      <c r="AL53" s="1255">
        <v>104.01179999999999</v>
      </c>
      <c r="AM53" s="1255"/>
      <c r="AN53" s="1255"/>
    </row>
    <row r="54" spans="2:40" s="260" customFormat="1" ht="18.75" hidden="1" customHeight="1">
      <c r="B54" s="266" t="s">
        <v>1061</v>
      </c>
      <c r="C54" s="267" t="s">
        <v>1062</v>
      </c>
      <c r="D54" s="268">
        <v>10</v>
      </c>
      <c r="E54" s="268">
        <v>9</v>
      </c>
      <c r="F54" s="269">
        <v>81.044399999999996</v>
      </c>
      <c r="G54" s="269">
        <v>37.520000000000003</v>
      </c>
      <c r="H54" s="269">
        <v>32.604900000000001</v>
      </c>
      <c r="I54" s="269">
        <v>0.6</v>
      </c>
      <c r="J54" s="269"/>
      <c r="K54" s="269">
        <v>8.3449000000000009</v>
      </c>
      <c r="L54" s="269"/>
      <c r="M54" s="269"/>
      <c r="N54" s="269"/>
      <c r="O54" s="269">
        <v>4.5</v>
      </c>
      <c r="P54" s="269"/>
      <c r="Q54" s="269"/>
      <c r="R54" s="269"/>
      <c r="S54" s="269">
        <v>19.059999999999999</v>
      </c>
      <c r="T54" s="269"/>
      <c r="U54" s="269"/>
      <c r="V54" s="269"/>
      <c r="W54" s="269"/>
      <c r="X54" s="269"/>
      <c r="Y54" s="1254"/>
      <c r="Z54" s="1254"/>
      <c r="AA54" s="269"/>
      <c r="AB54" s="269"/>
      <c r="AC54" s="269"/>
      <c r="AD54" s="1254"/>
      <c r="AE54" s="1254"/>
      <c r="AF54" s="269"/>
      <c r="AG54" s="1254"/>
      <c r="AH54" s="1254"/>
      <c r="AI54" s="269">
        <v>0.1</v>
      </c>
      <c r="AJ54" s="269">
        <v>10.919499999999999</v>
      </c>
      <c r="AK54" s="269">
        <v>25.123799999999999</v>
      </c>
      <c r="AL54" s="1255">
        <v>150.74260000000001</v>
      </c>
      <c r="AM54" s="1255"/>
      <c r="AN54" s="1255"/>
    </row>
    <row r="55" spans="2:40" s="260" customFormat="1" ht="18.75" hidden="1" customHeight="1">
      <c r="B55" s="266" t="s">
        <v>1063</v>
      </c>
      <c r="C55" s="267" t="s">
        <v>1064</v>
      </c>
      <c r="D55" s="268"/>
      <c r="E55" s="268">
        <v>13</v>
      </c>
      <c r="F55" s="269">
        <v>120.8331</v>
      </c>
      <c r="G55" s="269">
        <v>48.36</v>
      </c>
      <c r="H55" s="269">
        <v>59.194200000000002</v>
      </c>
      <c r="I55" s="269">
        <v>1</v>
      </c>
      <c r="J55" s="269">
        <v>0.183</v>
      </c>
      <c r="K55" s="269">
        <v>6.9630999999999998</v>
      </c>
      <c r="L55" s="269"/>
      <c r="M55" s="269"/>
      <c r="N55" s="269"/>
      <c r="O55" s="269">
        <v>9.1</v>
      </c>
      <c r="P55" s="269"/>
      <c r="Q55" s="269"/>
      <c r="R55" s="269">
        <v>27.986000000000001</v>
      </c>
      <c r="S55" s="269"/>
      <c r="T55" s="269">
        <v>0.57199999999999995</v>
      </c>
      <c r="U55" s="269">
        <v>4.7900999999999998</v>
      </c>
      <c r="V55" s="269"/>
      <c r="W55" s="269"/>
      <c r="X55" s="269"/>
      <c r="Y55" s="1254">
        <v>8.4</v>
      </c>
      <c r="Z55" s="1254"/>
      <c r="AA55" s="269"/>
      <c r="AB55" s="269"/>
      <c r="AC55" s="269"/>
      <c r="AD55" s="1254"/>
      <c r="AE55" s="1254"/>
      <c r="AF55" s="269"/>
      <c r="AG55" s="1254"/>
      <c r="AH55" s="1254"/>
      <c r="AI55" s="269">
        <v>0.2</v>
      </c>
      <c r="AJ55" s="269">
        <v>13.2789</v>
      </c>
      <c r="AK55" s="269">
        <v>37.458300000000001</v>
      </c>
      <c r="AL55" s="1255">
        <v>224.74959999999999</v>
      </c>
      <c r="AM55" s="1255"/>
      <c r="AN55" s="1255"/>
    </row>
    <row r="56" spans="2:40" s="260" customFormat="1" ht="18.75" hidden="1" customHeight="1">
      <c r="B56" s="266" t="s">
        <v>1065</v>
      </c>
      <c r="C56" s="267" t="s">
        <v>1066</v>
      </c>
      <c r="D56" s="268">
        <v>14</v>
      </c>
      <c r="E56" s="268">
        <v>13</v>
      </c>
      <c r="F56" s="269">
        <v>130.71510000000001</v>
      </c>
      <c r="G56" s="269">
        <v>48.32</v>
      </c>
      <c r="H56" s="269">
        <v>68.611400000000003</v>
      </c>
      <c r="I56" s="269">
        <v>1.05</v>
      </c>
      <c r="J56" s="269"/>
      <c r="K56" s="269">
        <v>9.2840000000000007</v>
      </c>
      <c r="L56" s="269"/>
      <c r="M56" s="269"/>
      <c r="N56" s="269"/>
      <c r="O56" s="269">
        <v>9.1</v>
      </c>
      <c r="P56" s="269"/>
      <c r="Q56" s="269"/>
      <c r="R56" s="269">
        <v>34.558999999999997</v>
      </c>
      <c r="S56" s="269"/>
      <c r="T56" s="269"/>
      <c r="U56" s="269">
        <v>3.2759999999999998</v>
      </c>
      <c r="V56" s="269"/>
      <c r="W56" s="269"/>
      <c r="X56" s="269"/>
      <c r="Y56" s="1254">
        <v>8.8000000000000007</v>
      </c>
      <c r="Z56" s="1254"/>
      <c r="AA56" s="269"/>
      <c r="AB56" s="269"/>
      <c r="AC56" s="269"/>
      <c r="AD56" s="1254"/>
      <c r="AE56" s="1254"/>
      <c r="AF56" s="269"/>
      <c r="AG56" s="1254"/>
      <c r="AH56" s="1254"/>
      <c r="AI56" s="269">
        <v>2.5424000000000002</v>
      </c>
      <c r="AJ56" s="269">
        <v>13.7837</v>
      </c>
      <c r="AK56" s="269">
        <v>40.521700000000003</v>
      </c>
      <c r="AL56" s="1255">
        <v>243.1301</v>
      </c>
      <c r="AM56" s="1255"/>
      <c r="AN56" s="1255"/>
    </row>
    <row r="57" spans="2:40" s="260" customFormat="1" ht="18.75" hidden="1" customHeight="1">
      <c r="B57" s="266" t="s">
        <v>1067</v>
      </c>
      <c r="C57" s="267" t="s">
        <v>1068</v>
      </c>
      <c r="D57" s="268">
        <v>19</v>
      </c>
      <c r="E57" s="268">
        <v>16</v>
      </c>
      <c r="F57" s="269">
        <v>103.01649999999999</v>
      </c>
      <c r="G57" s="269">
        <v>54.39</v>
      </c>
      <c r="H57" s="269">
        <v>34.057099999999998</v>
      </c>
      <c r="I57" s="269">
        <v>1.35</v>
      </c>
      <c r="J57" s="269"/>
      <c r="K57" s="269">
        <v>6.2580999999999998</v>
      </c>
      <c r="L57" s="269"/>
      <c r="M57" s="269"/>
      <c r="N57" s="269"/>
      <c r="O57" s="269">
        <v>8</v>
      </c>
      <c r="P57" s="269"/>
      <c r="Q57" s="269"/>
      <c r="R57" s="269"/>
      <c r="S57" s="269">
        <v>17.437000000000001</v>
      </c>
      <c r="T57" s="269">
        <v>0.61199999999999999</v>
      </c>
      <c r="U57" s="269"/>
      <c r="V57" s="269"/>
      <c r="W57" s="269"/>
      <c r="X57" s="269"/>
      <c r="Y57" s="1254"/>
      <c r="Z57" s="1254"/>
      <c r="AA57" s="269"/>
      <c r="AB57" s="269"/>
      <c r="AC57" s="269"/>
      <c r="AD57" s="1254"/>
      <c r="AE57" s="1254"/>
      <c r="AF57" s="269"/>
      <c r="AG57" s="1254"/>
      <c r="AH57" s="1254"/>
      <c r="AI57" s="269">
        <v>0.4</v>
      </c>
      <c r="AJ57" s="269">
        <v>14.5694</v>
      </c>
      <c r="AK57" s="269">
        <v>31.935099999999998</v>
      </c>
      <c r="AL57" s="1255">
        <v>191.61070000000001</v>
      </c>
      <c r="AM57" s="1255"/>
      <c r="AN57" s="1255"/>
    </row>
    <row r="58" spans="2:40" s="260" customFormat="1" ht="18.75" hidden="1" customHeight="1">
      <c r="B58" s="266" t="s">
        <v>1069</v>
      </c>
      <c r="C58" s="267" t="s">
        <v>1070</v>
      </c>
      <c r="D58" s="268">
        <v>16</v>
      </c>
      <c r="E58" s="268">
        <v>16</v>
      </c>
      <c r="F58" s="269">
        <v>131.99340000000001</v>
      </c>
      <c r="G58" s="269">
        <v>59.43</v>
      </c>
      <c r="H58" s="269">
        <v>55.104300000000002</v>
      </c>
      <c r="I58" s="269">
        <v>1.05</v>
      </c>
      <c r="J58" s="269"/>
      <c r="K58" s="269">
        <v>13.814299999999999</v>
      </c>
      <c r="L58" s="269"/>
      <c r="M58" s="269"/>
      <c r="N58" s="269"/>
      <c r="O58" s="269">
        <v>7</v>
      </c>
      <c r="P58" s="269"/>
      <c r="Q58" s="269"/>
      <c r="R58" s="269"/>
      <c r="S58" s="269">
        <v>33.24</v>
      </c>
      <c r="T58" s="269"/>
      <c r="U58" s="269"/>
      <c r="V58" s="269"/>
      <c r="W58" s="269"/>
      <c r="X58" s="269"/>
      <c r="Y58" s="1254"/>
      <c r="Z58" s="1254"/>
      <c r="AA58" s="269"/>
      <c r="AB58" s="269"/>
      <c r="AC58" s="269"/>
      <c r="AD58" s="1254"/>
      <c r="AE58" s="1254"/>
      <c r="AF58" s="269"/>
      <c r="AG58" s="1254"/>
      <c r="AH58" s="1254"/>
      <c r="AI58" s="269"/>
      <c r="AJ58" s="269">
        <v>17.459099999999999</v>
      </c>
      <c r="AK58" s="269">
        <v>40.917999999999999</v>
      </c>
      <c r="AL58" s="1255">
        <v>245.5077</v>
      </c>
      <c r="AM58" s="1255"/>
      <c r="AN58" s="1255"/>
    </row>
    <row r="59" spans="2:40" s="260" customFormat="1" ht="18.75" hidden="1" customHeight="1">
      <c r="B59" s="266" t="s">
        <v>1071</v>
      </c>
      <c r="C59" s="267" t="s">
        <v>1072</v>
      </c>
      <c r="D59" s="268">
        <v>15</v>
      </c>
      <c r="E59" s="268">
        <v>12</v>
      </c>
      <c r="F59" s="269">
        <v>131.1266</v>
      </c>
      <c r="G59" s="269">
        <v>53.3</v>
      </c>
      <c r="H59" s="269">
        <v>62.289499999999997</v>
      </c>
      <c r="I59" s="269">
        <v>0.85</v>
      </c>
      <c r="J59" s="269"/>
      <c r="K59" s="269">
        <v>11.9665</v>
      </c>
      <c r="L59" s="269"/>
      <c r="M59" s="269"/>
      <c r="N59" s="269"/>
      <c r="O59" s="269">
        <v>6</v>
      </c>
      <c r="P59" s="269"/>
      <c r="Q59" s="269"/>
      <c r="R59" s="269">
        <v>33.761000000000003</v>
      </c>
      <c r="S59" s="269"/>
      <c r="T59" s="269">
        <v>0.61199999999999999</v>
      </c>
      <c r="U59" s="269"/>
      <c r="V59" s="269"/>
      <c r="W59" s="269"/>
      <c r="X59" s="269"/>
      <c r="Y59" s="1254">
        <v>8.6999999999999993</v>
      </c>
      <c r="Z59" s="1254"/>
      <c r="AA59" s="269"/>
      <c r="AB59" s="269"/>
      <c r="AC59" s="269"/>
      <c r="AD59" s="1254"/>
      <c r="AE59" s="1254"/>
      <c r="AF59" s="269"/>
      <c r="AG59" s="1254"/>
      <c r="AH59" s="1254"/>
      <c r="AI59" s="269">
        <v>0.4</v>
      </c>
      <c r="AJ59" s="269">
        <v>15.537100000000001</v>
      </c>
      <c r="AK59" s="269">
        <v>40.6492</v>
      </c>
      <c r="AL59" s="1255">
        <v>243.8955</v>
      </c>
      <c r="AM59" s="1255"/>
      <c r="AN59" s="1255"/>
    </row>
    <row r="60" spans="2:40" s="260" customFormat="1" ht="18.75" hidden="1" customHeight="1">
      <c r="B60" s="266" t="s">
        <v>1073</v>
      </c>
      <c r="C60" s="267" t="s">
        <v>1074</v>
      </c>
      <c r="D60" s="268">
        <v>10</v>
      </c>
      <c r="E60" s="268">
        <v>10</v>
      </c>
      <c r="F60" s="269">
        <v>120.29640000000001</v>
      </c>
      <c r="G60" s="269">
        <v>44.8</v>
      </c>
      <c r="H60" s="269">
        <v>62.262099999999997</v>
      </c>
      <c r="I60" s="269">
        <v>0.75</v>
      </c>
      <c r="J60" s="269"/>
      <c r="K60" s="269">
        <v>10.764099999999999</v>
      </c>
      <c r="L60" s="269"/>
      <c r="M60" s="269"/>
      <c r="N60" s="269"/>
      <c r="O60" s="269">
        <v>5</v>
      </c>
      <c r="P60" s="269"/>
      <c r="Q60" s="269"/>
      <c r="R60" s="269">
        <v>31.885000000000002</v>
      </c>
      <c r="S60" s="269"/>
      <c r="T60" s="269"/>
      <c r="U60" s="269">
        <v>3.0379999999999998</v>
      </c>
      <c r="V60" s="269"/>
      <c r="W60" s="269"/>
      <c r="X60" s="269"/>
      <c r="Y60" s="1254">
        <v>8.5</v>
      </c>
      <c r="Z60" s="1254"/>
      <c r="AA60" s="269"/>
      <c r="AB60" s="269"/>
      <c r="AC60" s="269"/>
      <c r="AD60" s="1254"/>
      <c r="AE60" s="1254"/>
      <c r="AF60" s="269"/>
      <c r="AG60" s="1254"/>
      <c r="AH60" s="1254"/>
      <c r="AI60" s="269">
        <v>2.3250000000000002</v>
      </c>
      <c r="AJ60" s="269">
        <v>13.234299999999999</v>
      </c>
      <c r="AK60" s="269">
        <v>37.291899999999998</v>
      </c>
      <c r="AL60" s="1255">
        <v>223.75129999999999</v>
      </c>
      <c r="AM60" s="1255"/>
      <c r="AN60" s="1255"/>
    </row>
    <row r="61" spans="2:40" s="260" customFormat="1" ht="18.75" hidden="1" customHeight="1">
      <c r="B61" s="266" t="s">
        <v>1075</v>
      </c>
      <c r="C61" s="267" t="s">
        <v>1076</v>
      </c>
      <c r="D61" s="268">
        <v>12</v>
      </c>
      <c r="E61" s="268">
        <v>10</v>
      </c>
      <c r="F61" s="269">
        <v>98.687200000000004</v>
      </c>
      <c r="G61" s="269">
        <v>37.729999999999997</v>
      </c>
      <c r="H61" s="269">
        <v>50.344700000000003</v>
      </c>
      <c r="I61" s="269">
        <v>0.95</v>
      </c>
      <c r="J61" s="269"/>
      <c r="K61" s="269">
        <v>6.4797000000000002</v>
      </c>
      <c r="L61" s="269"/>
      <c r="M61" s="269"/>
      <c r="N61" s="269"/>
      <c r="O61" s="269">
        <v>7</v>
      </c>
      <c r="P61" s="269"/>
      <c r="Q61" s="269"/>
      <c r="R61" s="269">
        <v>23.352</v>
      </c>
      <c r="S61" s="269"/>
      <c r="T61" s="269">
        <v>0.69199999999999995</v>
      </c>
      <c r="U61" s="269">
        <v>5.2709999999999999</v>
      </c>
      <c r="V61" s="269"/>
      <c r="W61" s="269"/>
      <c r="X61" s="269"/>
      <c r="Y61" s="1254">
        <v>6.4</v>
      </c>
      <c r="Z61" s="1254"/>
      <c r="AA61" s="269"/>
      <c r="AB61" s="269"/>
      <c r="AC61" s="269"/>
      <c r="AD61" s="1254"/>
      <c r="AE61" s="1254"/>
      <c r="AF61" s="269"/>
      <c r="AG61" s="1254"/>
      <c r="AH61" s="1254"/>
      <c r="AI61" s="269">
        <v>0.2</v>
      </c>
      <c r="AJ61" s="269">
        <v>10.612500000000001</v>
      </c>
      <c r="AK61" s="269">
        <v>30.593</v>
      </c>
      <c r="AL61" s="1255">
        <v>183.5582</v>
      </c>
      <c r="AM61" s="1255"/>
      <c r="AN61" s="1255"/>
    </row>
    <row r="62" spans="2:40" s="260" customFormat="1" ht="18.75" hidden="1" customHeight="1">
      <c r="B62" s="266" t="s">
        <v>1077</v>
      </c>
      <c r="C62" s="267" t="s">
        <v>1078</v>
      </c>
      <c r="D62" s="268">
        <v>10</v>
      </c>
      <c r="E62" s="268">
        <v>10</v>
      </c>
      <c r="F62" s="269">
        <v>100.37520000000001</v>
      </c>
      <c r="G62" s="269">
        <v>37.520000000000003</v>
      </c>
      <c r="H62" s="269">
        <v>52.413899999999998</v>
      </c>
      <c r="I62" s="269">
        <v>0.6</v>
      </c>
      <c r="J62" s="269"/>
      <c r="K62" s="269">
        <v>6.3109000000000002</v>
      </c>
      <c r="L62" s="269"/>
      <c r="M62" s="269"/>
      <c r="N62" s="269"/>
      <c r="O62" s="269">
        <v>7</v>
      </c>
      <c r="P62" s="269"/>
      <c r="Q62" s="269"/>
      <c r="R62" s="269">
        <v>26.684000000000001</v>
      </c>
      <c r="S62" s="269"/>
      <c r="T62" s="269"/>
      <c r="U62" s="269">
        <v>5.0190000000000001</v>
      </c>
      <c r="V62" s="269"/>
      <c r="W62" s="269"/>
      <c r="X62" s="269"/>
      <c r="Y62" s="1254">
        <v>6.7</v>
      </c>
      <c r="Z62" s="1254"/>
      <c r="AA62" s="269"/>
      <c r="AB62" s="269"/>
      <c r="AC62" s="269"/>
      <c r="AD62" s="1254"/>
      <c r="AE62" s="1254"/>
      <c r="AF62" s="269"/>
      <c r="AG62" s="1254"/>
      <c r="AH62" s="1254"/>
      <c r="AI62" s="269">
        <v>0.1</v>
      </c>
      <c r="AJ62" s="269">
        <v>10.4413</v>
      </c>
      <c r="AK62" s="269">
        <v>31.116299999999999</v>
      </c>
      <c r="AL62" s="1255">
        <v>186.6979</v>
      </c>
      <c r="AM62" s="1255"/>
      <c r="AN62" s="1255"/>
    </row>
    <row r="63" spans="2:40" s="260" customFormat="1" ht="18.75" hidden="1" customHeight="1">
      <c r="B63" s="266" t="s">
        <v>1079</v>
      </c>
      <c r="C63" s="267" t="s">
        <v>1080</v>
      </c>
      <c r="D63" s="268">
        <v>14</v>
      </c>
      <c r="E63" s="268">
        <v>11</v>
      </c>
      <c r="F63" s="269">
        <v>106.97239999999999</v>
      </c>
      <c r="G63" s="269">
        <v>42.41</v>
      </c>
      <c r="H63" s="269">
        <v>52.676600000000001</v>
      </c>
      <c r="I63" s="269">
        <v>0.75</v>
      </c>
      <c r="J63" s="269"/>
      <c r="K63" s="269">
        <v>7.4185999999999996</v>
      </c>
      <c r="L63" s="269"/>
      <c r="M63" s="269"/>
      <c r="N63" s="269"/>
      <c r="O63" s="269">
        <v>5.5</v>
      </c>
      <c r="P63" s="269"/>
      <c r="Q63" s="269"/>
      <c r="R63" s="269">
        <v>28.07</v>
      </c>
      <c r="S63" s="269"/>
      <c r="T63" s="269"/>
      <c r="U63" s="269">
        <v>3.738</v>
      </c>
      <c r="V63" s="269"/>
      <c r="W63" s="269"/>
      <c r="X63" s="269"/>
      <c r="Y63" s="1254">
        <v>6.9</v>
      </c>
      <c r="Z63" s="1254"/>
      <c r="AA63" s="269"/>
      <c r="AB63" s="269"/>
      <c r="AC63" s="269"/>
      <c r="AD63" s="1254"/>
      <c r="AE63" s="1254"/>
      <c r="AF63" s="269"/>
      <c r="AG63" s="1254"/>
      <c r="AH63" s="1254"/>
      <c r="AI63" s="269">
        <v>0.3</v>
      </c>
      <c r="AJ63" s="269">
        <v>11.8858</v>
      </c>
      <c r="AK63" s="269">
        <v>33.1614</v>
      </c>
      <c r="AL63" s="1255">
        <v>198.96870000000001</v>
      </c>
      <c r="AM63" s="1255"/>
      <c r="AN63" s="1255"/>
    </row>
    <row r="64" spans="2:40" s="260" customFormat="1" ht="18.75" hidden="1" customHeight="1">
      <c r="B64" s="266" t="s">
        <v>1081</v>
      </c>
      <c r="C64" s="267" t="s">
        <v>1082</v>
      </c>
      <c r="D64" s="268">
        <v>10</v>
      </c>
      <c r="E64" s="268">
        <v>10</v>
      </c>
      <c r="F64" s="269">
        <v>83.087100000000007</v>
      </c>
      <c r="G64" s="269">
        <v>32.94</v>
      </c>
      <c r="H64" s="269">
        <v>41.351100000000002</v>
      </c>
      <c r="I64" s="269">
        <v>0.6</v>
      </c>
      <c r="J64" s="269"/>
      <c r="K64" s="269">
        <v>3.8891</v>
      </c>
      <c r="L64" s="269"/>
      <c r="M64" s="269"/>
      <c r="N64" s="269"/>
      <c r="O64" s="269">
        <v>5</v>
      </c>
      <c r="P64" s="269"/>
      <c r="Q64" s="269"/>
      <c r="R64" s="269">
        <v>21.196000000000002</v>
      </c>
      <c r="S64" s="269"/>
      <c r="T64" s="269">
        <v>0.65200000000000002</v>
      </c>
      <c r="U64" s="269">
        <v>4.9139999999999997</v>
      </c>
      <c r="V64" s="269"/>
      <c r="W64" s="269"/>
      <c r="X64" s="269"/>
      <c r="Y64" s="1254">
        <v>5.0999999999999996</v>
      </c>
      <c r="Z64" s="1254"/>
      <c r="AA64" s="269"/>
      <c r="AB64" s="269"/>
      <c r="AC64" s="269"/>
      <c r="AD64" s="1254"/>
      <c r="AE64" s="1254"/>
      <c r="AF64" s="269"/>
      <c r="AG64" s="1254"/>
      <c r="AH64" s="1254"/>
      <c r="AI64" s="269"/>
      <c r="AJ64" s="269">
        <v>8.7959999999999994</v>
      </c>
      <c r="AK64" s="269">
        <v>25.757000000000001</v>
      </c>
      <c r="AL64" s="1255">
        <v>154.542</v>
      </c>
      <c r="AM64" s="1255"/>
      <c r="AN64" s="1255"/>
    </row>
    <row r="65" spans="2:40" s="260" customFormat="1" ht="18.75" hidden="1" customHeight="1">
      <c r="B65" s="266" t="s">
        <v>1083</v>
      </c>
      <c r="C65" s="267" t="s">
        <v>1084</v>
      </c>
      <c r="D65" s="268">
        <v>12</v>
      </c>
      <c r="E65" s="268">
        <v>11</v>
      </c>
      <c r="F65" s="269">
        <v>107.7838</v>
      </c>
      <c r="G65" s="269">
        <v>42.8</v>
      </c>
      <c r="H65" s="269">
        <v>53.058700000000002</v>
      </c>
      <c r="I65" s="269">
        <v>0.85</v>
      </c>
      <c r="J65" s="269"/>
      <c r="K65" s="269">
        <v>7.4086999999999996</v>
      </c>
      <c r="L65" s="269"/>
      <c r="M65" s="269"/>
      <c r="N65" s="269"/>
      <c r="O65" s="269">
        <v>7.7</v>
      </c>
      <c r="P65" s="269"/>
      <c r="Q65" s="269"/>
      <c r="R65" s="269">
        <v>28.413</v>
      </c>
      <c r="S65" s="269"/>
      <c r="T65" s="269"/>
      <c r="U65" s="269">
        <v>1.6870000000000001</v>
      </c>
      <c r="V65" s="269"/>
      <c r="W65" s="269"/>
      <c r="X65" s="269"/>
      <c r="Y65" s="1254">
        <v>6.8</v>
      </c>
      <c r="Z65" s="1254"/>
      <c r="AA65" s="269"/>
      <c r="AB65" s="269"/>
      <c r="AC65" s="269"/>
      <c r="AD65" s="1254"/>
      <c r="AE65" s="1254"/>
      <c r="AF65" s="269"/>
      <c r="AG65" s="1254"/>
      <c r="AH65" s="1254"/>
      <c r="AI65" s="269">
        <v>0.2</v>
      </c>
      <c r="AJ65" s="269">
        <v>11.9251</v>
      </c>
      <c r="AK65" s="269">
        <v>33.412999999999997</v>
      </c>
      <c r="AL65" s="1255">
        <v>200.47790000000001</v>
      </c>
      <c r="AM65" s="1255"/>
      <c r="AN65" s="1255"/>
    </row>
    <row r="66" spans="2:40" s="260" customFormat="1" ht="18.75" hidden="1" customHeight="1">
      <c r="B66" s="266" t="s">
        <v>1085</v>
      </c>
      <c r="C66" s="267" t="s">
        <v>1086</v>
      </c>
      <c r="D66" s="268">
        <v>18</v>
      </c>
      <c r="E66" s="268">
        <v>17</v>
      </c>
      <c r="F66" s="269">
        <v>176.8031</v>
      </c>
      <c r="G66" s="269">
        <v>67.27</v>
      </c>
      <c r="H66" s="269">
        <v>90.275300000000001</v>
      </c>
      <c r="I66" s="269">
        <v>0.9</v>
      </c>
      <c r="J66" s="269">
        <v>0.34229999999999999</v>
      </c>
      <c r="K66" s="269">
        <v>13.43539</v>
      </c>
      <c r="L66" s="269"/>
      <c r="M66" s="269"/>
      <c r="N66" s="269"/>
      <c r="O66" s="269">
        <v>11.9</v>
      </c>
      <c r="P66" s="269"/>
      <c r="Q66" s="269"/>
      <c r="R66" s="269">
        <v>45.676609999999997</v>
      </c>
      <c r="S66" s="269"/>
      <c r="T66" s="269">
        <v>0.65200000000000002</v>
      </c>
      <c r="U66" s="269">
        <v>8.1690000000000005</v>
      </c>
      <c r="V66" s="269"/>
      <c r="W66" s="269"/>
      <c r="X66" s="269"/>
      <c r="Y66" s="1254">
        <v>9</v>
      </c>
      <c r="Z66" s="1254"/>
      <c r="AA66" s="269"/>
      <c r="AB66" s="269"/>
      <c r="AC66" s="269"/>
      <c r="AD66" s="1254"/>
      <c r="AE66" s="1254"/>
      <c r="AF66" s="269"/>
      <c r="AG66" s="1254"/>
      <c r="AH66" s="1254"/>
      <c r="AI66" s="269">
        <v>0.2</v>
      </c>
      <c r="AJ66" s="269">
        <v>19.2578</v>
      </c>
      <c r="AK66" s="269">
        <v>54.808999999999997</v>
      </c>
      <c r="AL66" s="1255">
        <v>328.85379999999998</v>
      </c>
      <c r="AM66" s="1255"/>
      <c r="AN66" s="1255"/>
    </row>
    <row r="67" spans="2:40" s="260" customFormat="1" ht="18.75" hidden="1" customHeight="1">
      <c r="B67" s="266" t="s">
        <v>1087</v>
      </c>
      <c r="C67" s="267" t="s">
        <v>1088</v>
      </c>
      <c r="D67" s="268">
        <v>13</v>
      </c>
      <c r="E67" s="268">
        <v>11</v>
      </c>
      <c r="F67" s="269">
        <v>98.600999999999999</v>
      </c>
      <c r="G67" s="269">
        <v>40.22</v>
      </c>
      <c r="H67" s="269">
        <v>47.532400000000003</v>
      </c>
      <c r="I67" s="269">
        <v>0.85</v>
      </c>
      <c r="J67" s="269"/>
      <c r="K67" s="269">
        <v>5.0944000000000003</v>
      </c>
      <c r="L67" s="269"/>
      <c r="M67" s="269"/>
      <c r="N67" s="269"/>
      <c r="O67" s="269">
        <v>5.5</v>
      </c>
      <c r="P67" s="269"/>
      <c r="Q67" s="269"/>
      <c r="R67" s="269">
        <v>26.466999999999999</v>
      </c>
      <c r="S67" s="269"/>
      <c r="T67" s="269">
        <v>0.65200000000000002</v>
      </c>
      <c r="U67" s="269">
        <v>1.869</v>
      </c>
      <c r="V67" s="269"/>
      <c r="W67" s="269"/>
      <c r="X67" s="269"/>
      <c r="Y67" s="1254">
        <v>6.9</v>
      </c>
      <c r="Z67" s="1254"/>
      <c r="AA67" s="269"/>
      <c r="AB67" s="269"/>
      <c r="AC67" s="269"/>
      <c r="AD67" s="1254"/>
      <c r="AE67" s="1254"/>
      <c r="AF67" s="269"/>
      <c r="AG67" s="1254"/>
      <c r="AH67" s="1254"/>
      <c r="AI67" s="269">
        <v>0.2</v>
      </c>
      <c r="AJ67" s="269">
        <v>10.848599999999999</v>
      </c>
      <c r="AK67" s="269">
        <v>30.566299999999998</v>
      </c>
      <c r="AL67" s="1255">
        <v>183.39789999999999</v>
      </c>
      <c r="AM67" s="1255"/>
      <c r="AN67" s="1255"/>
    </row>
    <row r="68" spans="2:40" s="260" customFormat="1" ht="18.75" hidden="1" customHeight="1">
      <c r="B68" s="266" t="s">
        <v>1089</v>
      </c>
      <c r="C68" s="267" t="s">
        <v>1090</v>
      </c>
      <c r="D68" s="268">
        <v>10</v>
      </c>
      <c r="E68" s="268">
        <v>10</v>
      </c>
      <c r="F68" s="269">
        <v>109.9611</v>
      </c>
      <c r="G68" s="269">
        <v>42.52</v>
      </c>
      <c r="H68" s="269">
        <v>54.913699999999999</v>
      </c>
      <c r="I68" s="269">
        <v>0.7</v>
      </c>
      <c r="J68" s="269">
        <v>0.2445</v>
      </c>
      <c r="K68" s="269">
        <v>9.8440949999999994</v>
      </c>
      <c r="L68" s="269"/>
      <c r="M68" s="269"/>
      <c r="N68" s="269"/>
      <c r="O68" s="269">
        <v>5</v>
      </c>
      <c r="P68" s="269"/>
      <c r="Q68" s="269"/>
      <c r="R68" s="269">
        <v>30.425149999999999</v>
      </c>
      <c r="S68" s="269"/>
      <c r="T68" s="269"/>
      <c r="U68" s="269"/>
      <c r="V68" s="269"/>
      <c r="W68" s="269"/>
      <c r="X68" s="269"/>
      <c r="Y68" s="1254">
        <v>8.6999999999999993</v>
      </c>
      <c r="Z68" s="1254"/>
      <c r="AA68" s="269"/>
      <c r="AB68" s="269"/>
      <c r="AC68" s="269"/>
      <c r="AD68" s="1254"/>
      <c r="AE68" s="1254"/>
      <c r="AF68" s="269"/>
      <c r="AG68" s="1254"/>
      <c r="AH68" s="1254"/>
      <c r="AI68" s="269"/>
      <c r="AJ68" s="269">
        <v>12.5274</v>
      </c>
      <c r="AK68" s="269">
        <v>34.087899999999998</v>
      </c>
      <c r="AL68" s="1255">
        <v>204.52760000000001</v>
      </c>
      <c r="AM68" s="1255"/>
      <c r="AN68" s="1255"/>
    </row>
    <row r="69" spans="2:40" s="260" customFormat="1" ht="18.75" hidden="1" customHeight="1">
      <c r="B69" s="266" t="s">
        <v>1091</v>
      </c>
      <c r="C69" s="267" t="s">
        <v>1092</v>
      </c>
      <c r="D69" s="268"/>
      <c r="E69" s="268">
        <v>21</v>
      </c>
      <c r="F69" s="269">
        <v>206.2561</v>
      </c>
      <c r="G69" s="269">
        <v>76.739999999999995</v>
      </c>
      <c r="H69" s="269">
        <v>107.67749999999999</v>
      </c>
      <c r="I69" s="269">
        <v>1.05</v>
      </c>
      <c r="J69" s="269">
        <v>0.48899999999999999</v>
      </c>
      <c r="K69" s="269">
        <v>14.65218</v>
      </c>
      <c r="L69" s="269"/>
      <c r="M69" s="269"/>
      <c r="N69" s="269"/>
      <c r="O69" s="269">
        <v>14.7</v>
      </c>
      <c r="P69" s="269"/>
      <c r="Q69" s="269"/>
      <c r="R69" s="269">
        <v>52.793300000000002</v>
      </c>
      <c r="S69" s="269"/>
      <c r="T69" s="269"/>
      <c r="U69" s="269">
        <v>9.8279999999999994</v>
      </c>
      <c r="V69" s="269"/>
      <c r="W69" s="269"/>
      <c r="X69" s="269"/>
      <c r="Y69" s="1254">
        <v>12.3</v>
      </c>
      <c r="Z69" s="1254"/>
      <c r="AA69" s="269"/>
      <c r="AB69" s="269"/>
      <c r="AC69" s="269"/>
      <c r="AD69" s="1254"/>
      <c r="AE69" s="1254"/>
      <c r="AF69" s="269"/>
      <c r="AG69" s="1254"/>
      <c r="AH69" s="1254"/>
      <c r="AI69" s="269">
        <v>1.865</v>
      </c>
      <c r="AJ69" s="269">
        <v>21.8386</v>
      </c>
      <c r="AK69" s="269">
        <v>63.939399999999999</v>
      </c>
      <c r="AL69" s="1255">
        <v>383.63630000000001</v>
      </c>
      <c r="AM69" s="1255"/>
      <c r="AN69" s="1255"/>
    </row>
    <row r="70" spans="2:40" s="260" customFormat="1" ht="18.75" hidden="1" customHeight="1">
      <c r="B70" s="266" t="s">
        <v>1093</v>
      </c>
      <c r="C70" s="267" t="s">
        <v>1094</v>
      </c>
      <c r="D70" s="268"/>
      <c r="E70" s="268">
        <v>13</v>
      </c>
      <c r="F70" s="269">
        <v>122.20780000000001</v>
      </c>
      <c r="G70" s="269">
        <v>46.81</v>
      </c>
      <c r="H70" s="269">
        <v>62.441600000000001</v>
      </c>
      <c r="I70" s="269">
        <v>1.05</v>
      </c>
      <c r="J70" s="269">
        <v>0.747</v>
      </c>
      <c r="K70" s="269">
        <v>6.5258099999999999</v>
      </c>
      <c r="L70" s="269"/>
      <c r="M70" s="269"/>
      <c r="N70" s="269"/>
      <c r="O70" s="269">
        <v>9.1</v>
      </c>
      <c r="P70" s="269"/>
      <c r="Q70" s="269"/>
      <c r="R70" s="269">
        <v>29.544899999999998</v>
      </c>
      <c r="S70" s="269"/>
      <c r="T70" s="269">
        <v>0.61199999999999999</v>
      </c>
      <c r="U70" s="269">
        <v>8.0618999999999996</v>
      </c>
      <c r="V70" s="269"/>
      <c r="W70" s="269"/>
      <c r="X70" s="269"/>
      <c r="Y70" s="1254">
        <v>6.6</v>
      </c>
      <c r="Z70" s="1254"/>
      <c r="AA70" s="269"/>
      <c r="AB70" s="269"/>
      <c r="AC70" s="269"/>
      <c r="AD70" s="1254"/>
      <c r="AE70" s="1254"/>
      <c r="AF70" s="269"/>
      <c r="AG70" s="1254"/>
      <c r="AH70" s="1254"/>
      <c r="AI70" s="269">
        <v>0.2</v>
      </c>
      <c r="AJ70" s="269">
        <v>12.956200000000001</v>
      </c>
      <c r="AK70" s="269">
        <v>37.884399999999999</v>
      </c>
      <c r="AL70" s="1255">
        <v>227.3065</v>
      </c>
      <c r="AM70" s="1255"/>
      <c r="AN70" s="1255"/>
    </row>
    <row r="71" spans="2:40" s="260" customFormat="1" ht="18.75" hidden="1" customHeight="1">
      <c r="B71" s="266" t="s">
        <v>1095</v>
      </c>
      <c r="C71" s="267" t="s">
        <v>1096</v>
      </c>
      <c r="D71" s="268">
        <v>13</v>
      </c>
      <c r="E71" s="268">
        <v>12</v>
      </c>
      <c r="F71" s="269">
        <v>121.6485</v>
      </c>
      <c r="G71" s="269">
        <v>49.41</v>
      </c>
      <c r="H71" s="269">
        <v>58.364800000000002</v>
      </c>
      <c r="I71" s="269">
        <v>0.75</v>
      </c>
      <c r="J71" s="269"/>
      <c r="K71" s="269">
        <v>9.1408000000000005</v>
      </c>
      <c r="L71" s="269"/>
      <c r="M71" s="269"/>
      <c r="N71" s="269"/>
      <c r="O71" s="269">
        <v>6</v>
      </c>
      <c r="P71" s="269"/>
      <c r="Q71" s="269"/>
      <c r="R71" s="269">
        <v>30.352</v>
      </c>
      <c r="S71" s="269"/>
      <c r="T71" s="269"/>
      <c r="U71" s="269">
        <v>2.4220000000000002</v>
      </c>
      <c r="V71" s="269"/>
      <c r="W71" s="269"/>
      <c r="X71" s="269"/>
      <c r="Y71" s="1254">
        <v>9.4</v>
      </c>
      <c r="Z71" s="1254"/>
      <c r="AA71" s="269"/>
      <c r="AB71" s="269"/>
      <c r="AC71" s="269"/>
      <c r="AD71" s="1254"/>
      <c r="AE71" s="1254"/>
      <c r="AF71" s="269"/>
      <c r="AG71" s="1254"/>
      <c r="AH71" s="1254"/>
      <c r="AI71" s="269">
        <v>0.3</v>
      </c>
      <c r="AJ71" s="269">
        <v>13.873699999999999</v>
      </c>
      <c r="AK71" s="269">
        <v>37.710999999999999</v>
      </c>
      <c r="AL71" s="1255">
        <v>226.2662</v>
      </c>
      <c r="AM71" s="1255"/>
      <c r="AN71" s="1255"/>
    </row>
    <row r="72" spans="2:40" s="260" customFormat="1" ht="18.75" hidden="1" customHeight="1">
      <c r="B72" s="266" t="s">
        <v>1097</v>
      </c>
      <c r="C72" s="267" t="s">
        <v>1098</v>
      </c>
      <c r="D72" s="268">
        <v>9</v>
      </c>
      <c r="E72" s="268">
        <v>8</v>
      </c>
      <c r="F72" s="269">
        <v>79.697299999999998</v>
      </c>
      <c r="G72" s="269">
        <v>30.85</v>
      </c>
      <c r="H72" s="269">
        <v>39.971699999999998</v>
      </c>
      <c r="I72" s="269">
        <v>0.6</v>
      </c>
      <c r="J72" s="269"/>
      <c r="K72" s="269">
        <v>6.3186999999999998</v>
      </c>
      <c r="L72" s="269"/>
      <c r="M72" s="269"/>
      <c r="N72" s="269"/>
      <c r="O72" s="269">
        <v>4</v>
      </c>
      <c r="P72" s="269"/>
      <c r="Q72" s="269"/>
      <c r="R72" s="269">
        <v>22.015000000000001</v>
      </c>
      <c r="S72" s="269"/>
      <c r="T72" s="269"/>
      <c r="U72" s="269">
        <v>1.6379999999999999</v>
      </c>
      <c r="V72" s="269"/>
      <c r="W72" s="269"/>
      <c r="X72" s="269"/>
      <c r="Y72" s="1254">
        <v>5.4</v>
      </c>
      <c r="Z72" s="1254"/>
      <c r="AA72" s="269"/>
      <c r="AB72" s="269"/>
      <c r="AC72" s="269"/>
      <c r="AD72" s="1254"/>
      <c r="AE72" s="1254"/>
      <c r="AF72" s="269"/>
      <c r="AG72" s="1254"/>
      <c r="AH72" s="1254"/>
      <c r="AI72" s="269"/>
      <c r="AJ72" s="269">
        <v>8.8756000000000004</v>
      </c>
      <c r="AK72" s="269">
        <v>24.706199999999999</v>
      </c>
      <c r="AL72" s="1255">
        <v>148.23699999999999</v>
      </c>
      <c r="AM72" s="1255"/>
      <c r="AN72" s="1255"/>
    </row>
    <row r="73" spans="2:40" s="260" customFormat="1" ht="18.75" hidden="1" customHeight="1">
      <c r="B73" s="266" t="s">
        <v>1099</v>
      </c>
      <c r="C73" s="267" t="s">
        <v>1100</v>
      </c>
      <c r="D73" s="268">
        <v>13</v>
      </c>
      <c r="E73" s="268">
        <v>10</v>
      </c>
      <c r="F73" s="269">
        <v>91.424000000000007</v>
      </c>
      <c r="G73" s="269">
        <v>33.67</v>
      </c>
      <c r="H73" s="269">
        <v>48.623199999999997</v>
      </c>
      <c r="I73" s="269">
        <v>0.85</v>
      </c>
      <c r="J73" s="269"/>
      <c r="K73" s="269">
        <v>4.3352000000000004</v>
      </c>
      <c r="L73" s="269"/>
      <c r="M73" s="269"/>
      <c r="N73" s="269"/>
      <c r="O73" s="269">
        <v>7</v>
      </c>
      <c r="P73" s="269"/>
      <c r="Q73" s="269"/>
      <c r="R73" s="269">
        <v>21.882000000000001</v>
      </c>
      <c r="S73" s="269"/>
      <c r="T73" s="269">
        <v>0.65200000000000002</v>
      </c>
      <c r="U73" s="269">
        <v>11.004</v>
      </c>
      <c r="V73" s="269"/>
      <c r="W73" s="269"/>
      <c r="X73" s="269"/>
      <c r="Y73" s="1254">
        <v>2.9</v>
      </c>
      <c r="Z73" s="1254"/>
      <c r="AA73" s="269"/>
      <c r="AB73" s="269"/>
      <c r="AC73" s="269"/>
      <c r="AD73" s="1254"/>
      <c r="AE73" s="1254"/>
      <c r="AF73" s="269"/>
      <c r="AG73" s="1254"/>
      <c r="AH73" s="1254"/>
      <c r="AI73" s="269"/>
      <c r="AJ73" s="269">
        <v>9.1308000000000007</v>
      </c>
      <c r="AK73" s="269">
        <v>28.3414</v>
      </c>
      <c r="AL73" s="1255">
        <v>170.04859999999999</v>
      </c>
      <c r="AM73" s="1255"/>
      <c r="AN73" s="1255"/>
    </row>
    <row r="74" spans="2:40" s="260" customFormat="1" ht="18.75" hidden="1" customHeight="1">
      <c r="B74" s="266" t="s">
        <v>1101</v>
      </c>
      <c r="C74" s="267" t="s">
        <v>1102</v>
      </c>
      <c r="D74" s="268">
        <v>14</v>
      </c>
      <c r="E74" s="268">
        <v>14</v>
      </c>
      <c r="F74" s="269">
        <v>153.60409999999999</v>
      </c>
      <c r="G74" s="269">
        <v>57.59</v>
      </c>
      <c r="H74" s="269">
        <v>79.19</v>
      </c>
      <c r="I74" s="269">
        <v>0.75</v>
      </c>
      <c r="J74" s="269">
        <v>0.249</v>
      </c>
      <c r="K74" s="269">
        <v>13.002700000000001</v>
      </c>
      <c r="L74" s="269"/>
      <c r="M74" s="269"/>
      <c r="N74" s="269"/>
      <c r="O74" s="269">
        <v>9.8000000000000007</v>
      </c>
      <c r="P74" s="269"/>
      <c r="Q74" s="269"/>
      <c r="R74" s="269">
        <v>41.012300000000003</v>
      </c>
      <c r="S74" s="269"/>
      <c r="T74" s="269"/>
      <c r="U74" s="269">
        <v>3.2759999999999998</v>
      </c>
      <c r="V74" s="269"/>
      <c r="W74" s="269"/>
      <c r="X74" s="269"/>
      <c r="Y74" s="1254">
        <v>10.9</v>
      </c>
      <c r="Z74" s="1254"/>
      <c r="AA74" s="269"/>
      <c r="AB74" s="269"/>
      <c r="AC74" s="269"/>
      <c r="AD74" s="1254"/>
      <c r="AE74" s="1254"/>
      <c r="AF74" s="269"/>
      <c r="AG74" s="1254"/>
      <c r="AH74" s="1254"/>
      <c r="AI74" s="269">
        <v>0.2</v>
      </c>
      <c r="AJ74" s="269">
        <v>16.824100000000001</v>
      </c>
      <c r="AK74" s="269">
        <v>47.6173</v>
      </c>
      <c r="AL74" s="1255">
        <v>285.70359999999999</v>
      </c>
      <c r="AM74" s="1255"/>
      <c r="AN74" s="1255"/>
    </row>
    <row r="75" spans="2:40" s="260" customFormat="1" ht="18.75" hidden="1" customHeight="1">
      <c r="B75" s="266" t="s">
        <v>1103</v>
      </c>
      <c r="C75" s="267" t="s">
        <v>1104</v>
      </c>
      <c r="D75" s="268">
        <v>21</v>
      </c>
      <c r="E75" s="268">
        <v>20</v>
      </c>
      <c r="F75" s="269">
        <v>205.90129999999999</v>
      </c>
      <c r="G75" s="269">
        <v>81.13</v>
      </c>
      <c r="H75" s="269">
        <v>101.1185</v>
      </c>
      <c r="I75" s="269">
        <v>1.6</v>
      </c>
      <c r="J75" s="269">
        <v>0.82950000000000002</v>
      </c>
      <c r="K75" s="269">
        <v>17.089359000000002</v>
      </c>
      <c r="L75" s="269"/>
      <c r="M75" s="269"/>
      <c r="N75" s="269"/>
      <c r="O75" s="269">
        <v>10</v>
      </c>
      <c r="P75" s="269"/>
      <c r="Q75" s="269"/>
      <c r="R75" s="269">
        <v>53.92765</v>
      </c>
      <c r="S75" s="269"/>
      <c r="T75" s="269">
        <v>0.69199999999999995</v>
      </c>
      <c r="U75" s="269">
        <v>3.78</v>
      </c>
      <c r="V75" s="269"/>
      <c r="W75" s="269"/>
      <c r="X75" s="269"/>
      <c r="Y75" s="1254">
        <v>12.8</v>
      </c>
      <c r="Z75" s="1254"/>
      <c r="AA75" s="269"/>
      <c r="AB75" s="269"/>
      <c r="AC75" s="269"/>
      <c r="AD75" s="1254"/>
      <c r="AE75" s="1254"/>
      <c r="AF75" s="269"/>
      <c r="AG75" s="1254"/>
      <c r="AH75" s="1254"/>
      <c r="AI75" s="269">
        <v>0.4</v>
      </c>
      <c r="AJ75" s="269">
        <v>23.652799999999999</v>
      </c>
      <c r="AK75" s="269">
        <v>63.8294</v>
      </c>
      <c r="AL75" s="1255">
        <v>382.97640000000001</v>
      </c>
      <c r="AM75" s="1255"/>
      <c r="AN75" s="1255"/>
    </row>
    <row r="76" spans="2:40" s="260" customFormat="1" ht="18.75" hidden="1" customHeight="1">
      <c r="B76" s="266" t="s">
        <v>1105</v>
      </c>
      <c r="C76" s="267" t="s">
        <v>1106</v>
      </c>
      <c r="D76" s="268">
        <v>34</v>
      </c>
      <c r="E76" s="268">
        <v>31</v>
      </c>
      <c r="F76" s="269">
        <v>253.07589999999999</v>
      </c>
      <c r="G76" s="269">
        <v>121.42</v>
      </c>
      <c r="H76" s="269">
        <v>97.215800000000002</v>
      </c>
      <c r="I76" s="269">
        <v>1.6</v>
      </c>
      <c r="J76" s="269">
        <v>0.2445</v>
      </c>
      <c r="K76" s="269">
        <v>23.287005000000001</v>
      </c>
      <c r="L76" s="269"/>
      <c r="M76" s="269"/>
      <c r="N76" s="269"/>
      <c r="O76" s="269">
        <v>12.4</v>
      </c>
      <c r="P76" s="269"/>
      <c r="Q76" s="269"/>
      <c r="R76" s="269"/>
      <c r="S76" s="269">
        <v>58.672249999999998</v>
      </c>
      <c r="T76" s="269">
        <v>0.61199999999999999</v>
      </c>
      <c r="U76" s="269"/>
      <c r="V76" s="269"/>
      <c r="W76" s="269"/>
      <c r="X76" s="269"/>
      <c r="Y76" s="1254"/>
      <c r="Z76" s="1254"/>
      <c r="AA76" s="269"/>
      <c r="AB76" s="269"/>
      <c r="AC76" s="269"/>
      <c r="AD76" s="1254"/>
      <c r="AE76" s="1254"/>
      <c r="AF76" s="269"/>
      <c r="AG76" s="1254"/>
      <c r="AH76" s="1254"/>
      <c r="AI76" s="269">
        <v>0.4</v>
      </c>
      <c r="AJ76" s="269">
        <v>34.440100000000001</v>
      </c>
      <c r="AK76" s="269">
        <v>78.453500000000005</v>
      </c>
      <c r="AL76" s="1255">
        <v>470.72120000000001</v>
      </c>
      <c r="AM76" s="1255"/>
      <c r="AN76" s="1255"/>
    </row>
    <row r="77" spans="2:40" s="260" customFormat="1" ht="18.75" customHeight="1">
      <c r="B77" s="261"/>
      <c r="C77" s="264" t="s">
        <v>1107</v>
      </c>
      <c r="D77" s="262">
        <v>14</v>
      </c>
      <c r="E77" s="262">
        <v>10</v>
      </c>
      <c r="F77" s="263">
        <v>58.987400000000001</v>
      </c>
      <c r="G77" s="263">
        <v>32.51</v>
      </c>
      <c r="H77" s="263">
        <v>17.91</v>
      </c>
      <c r="I77" s="263">
        <v>0.8</v>
      </c>
      <c r="J77" s="263"/>
      <c r="K77" s="263">
        <v>3.1465000000000001</v>
      </c>
      <c r="L77" s="263"/>
      <c r="M77" s="263"/>
      <c r="N77" s="263">
        <v>3.1465000000000001</v>
      </c>
      <c r="O77" s="263">
        <v>4</v>
      </c>
      <c r="P77" s="263"/>
      <c r="Q77" s="263"/>
      <c r="R77" s="263"/>
      <c r="S77" s="263">
        <v>9.0135000000000005</v>
      </c>
      <c r="T77" s="263"/>
      <c r="U77" s="263"/>
      <c r="V77" s="263"/>
      <c r="W77" s="263"/>
      <c r="X77" s="263"/>
      <c r="Y77" s="1251"/>
      <c r="Z77" s="1251"/>
      <c r="AA77" s="263"/>
      <c r="AB77" s="263"/>
      <c r="AC77" s="263"/>
      <c r="AD77" s="1251"/>
      <c r="AE77" s="1251"/>
      <c r="AF77" s="263"/>
      <c r="AG77" s="1251"/>
      <c r="AH77" s="1251"/>
      <c r="AI77" s="263">
        <v>0.95</v>
      </c>
      <c r="AJ77" s="263">
        <v>8.5673999999999992</v>
      </c>
      <c r="AK77" s="263">
        <v>18.286000000000001</v>
      </c>
      <c r="AL77" s="1252">
        <v>109.7166</v>
      </c>
      <c r="AM77" s="1252"/>
      <c r="AN77" s="1252"/>
    </row>
    <row r="78" spans="2:40" s="260" customFormat="1" ht="18.75" customHeight="1">
      <c r="B78" s="266" t="s">
        <v>999</v>
      </c>
      <c r="C78" s="267" t="s">
        <v>1108</v>
      </c>
      <c r="D78" s="268">
        <v>2</v>
      </c>
      <c r="E78" s="268">
        <v>2</v>
      </c>
      <c r="F78" s="269">
        <v>18.2637</v>
      </c>
      <c r="G78" s="269">
        <v>9.3000000000000007</v>
      </c>
      <c r="H78" s="269">
        <v>6.24</v>
      </c>
      <c r="I78" s="269">
        <v>0.2</v>
      </c>
      <c r="J78" s="269"/>
      <c r="K78" s="269">
        <v>2.09</v>
      </c>
      <c r="L78" s="269"/>
      <c r="M78" s="269"/>
      <c r="N78" s="269">
        <v>2.09</v>
      </c>
      <c r="O78" s="269">
        <v>0.8</v>
      </c>
      <c r="P78" s="269"/>
      <c r="Q78" s="269"/>
      <c r="R78" s="269"/>
      <c r="S78" s="269">
        <v>2.85</v>
      </c>
      <c r="T78" s="269"/>
      <c r="U78" s="269"/>
      <c r="V78" s="269"/>
      <c r="W78" s="269"/>
      <c r="X78" s="269"/>
      <c r="Y78" s="1254"/>
      <c r="Z78" s="1254"/>
      <c r="AA78" s="269"/>
      <c r="AB78" s="269"/>
      <c r="AC78" s="269"/>
      <c r="AD78" s="1254"/>
      <c r="AE78" s="1254"/>
      <c r="AF78" s="269"/>
      <c r="AG78" s="1254"/>
      <c r="AH78" s="1254"/>
      <c r="AI78" s="269">
        <v>0.3</v>
      </c>
      <c r="AJ78" s="269">
        <v>2.7237</v>
      </c>
      <c r="AK78" s="269">
        <v>5.6616999999999997</v>
      </c>
      <c r="AL78" s="1255">
        <v>33.970500000000001</v>
      </c>
      <c r="AM78" s="1255"/>
      <c r="AN78" s="1255"/>
    </row>
    <row r="79" spans="2:40" s="260" customFormat="1" ht="27.75" customHeight="1">
      <c r="B79" s="266" t="s">
        <v>1001</v>
      </c>
      <c r="C79" s="267" t="s">
        <v>1109</v>
      </c>
      <c r="D79" s="268">
        <v>12</v>
      </c>
      <c r="E79" s="268">
        <v>8</v>
      </c>
      <c r="F79" s="269">
        <v>40.723700000000001</v>
      </c>
      <c r="G79" s="269">
        <v>23.21</v>
      </c>
      <c r="H79" s="269">
        <v>11.67</v>
      </c>
      <c r="I79" s="269">
        <v>0.6</v>
      </c>
      <c r="J79" s="269"/>
      <c r="K79" s="269">
        <v>1.0565</v>
      </c>
      <c r="L79" s="269"/>
      <c r="M79" s="269"/>
      <c r="N79" s="269">
        <v>1.0565</v>
      </c>
      <c r="O79" s="269">
        <v>3.2</v>
      </c>
      <c r="P79" s="269"/>
      <c r="Q79" s="269"/>
      <c r="R79" s="269"/>
      <c r="S79" s="269">
        <v>6.1635</v>
      </c>
      <c r="T79" s="269"/>
      <c r="U79" s="269"/>
      <c r="V79" s="269"/>
      <c r="W79" s="269"/>
      <c r="X79" s="269"/>
      <c r="Y79" s="1254"/>
      <c r="Z79" s="1254"/>
      <c r="AA79" s="269"/>
      <c r="AB79" s="269"/>
      <c r="AC79" s="269"/>
      <c r="AD79" s="1254"/>
      <c r="AE79" s="1254"/>
      <c r="AF79" s="269"/>
      <c r="AG79" s="1254"/>
      <c r="AH79" s="1254"/>
      <c r="AI79" s="269">
        <v>0.65</v>
      </c>
      <c r="AJ79" s="269">
        <v>5.8437000000000001</v>
      </c>
      <c r="AK79" s="269">
        <v>12.6243</v>
      </c>
      <c r="AL79" s="1255">
        <v>75.746099999999998</v>
      </c>
      <c r="AM79" s="1255"/>
      <c r="AN79" s="1255"/>
    </row>
    <row r="80" spans="2:40" s="260" customFormat="1" ht="18.75" customHeight="1">
      <c r="B80" s="261" t="s">
        <v>306</v>
      </c>
      <c r="C80" s="264" t="s">
        <v>224</v>
      </c>
      <c r="D80" s="262"/>
      <c r="E80" s="262"/>
      <c r="F80" s="263"/>
      <c r="G80" s="263"/>
      <c r="H80" s="263"/>
      <c r="I80" s="263"/>
      <c r="J80" s="263"/>
      <c r="K80" s="263"/>
      <c r="L80" s="263"/>
      <c r="M80" s="263"/>
      <c r="N80" s="263"/>
      <c r="O80" s="263"/>
      <c r="P80" s="263"/>
      <c r="Q80" s="263"/>
      <c r="R80" s="263"/>
      <c r="S80" s="263"/>
      <c r="T80" s="263"/>
      <c r="U80" s="263"/>
      <c r="V80" s="263"/>
      <c r="W80" s="263"/>
      <c r="X80" s="263"/>
      <c r="Y80" s="1251"/>
      <c r="Z80" s="1251"/>
      <c r="AA80" s="263"/>
      <c r="AB80" s="263"/>
      <c r="AC80" s="263"/>
      <c r="AD80" s="1251"/>
      <c r="AE80" s="1251"/>
      <c r="AF80" s="263"/>
      <c r="AG80" s="1251"/>
      <c r="AH80" s="1251"/>
      <c r="AI80" s="263"/>
      <c r="AJ80" s="263"/>
      <c r="AK80" s="263"/>
      <c r="AL80" s="1252"/>
      <c r="AM80" s="1252"/>
      <c r="AN80" s="1252"/>
    </row>
    <row r="81" spans="2:40" s="260" customFormat="1" ht="18.75" customHeight="1">
      <c r="B81" s="261" t="s">
        <v>1110</v>
      </c>
      <c r="C81" s="264" t="s">
        <v>277</v>
      </c>
      <c r="D81" s="262">
        <v>4</v>
      </c>
      <c r="E81" s="262">
        <v>3</v>
      </c>
      <c r="F81" s="263">
        <v>14.3752</v>
      </c>
      <c r="G81" s="263">
        <v>10.29</v>
      </c>
      <c r="H81" s="263">
        <v>1.62</v>
      </c>
      <c r="I81" s="263">
        <v>0.2</v>
      </c>
      <c r="J81" s="263"/>
      <c r="K81" s="263"/>
      <c r="L81" s="263"/>
      <c r="M81" s="263"/>
      <c r="N81" s="263"/>
      <c r="O81" s="263">
        <v>1.2</v>
      </c>
      <c r="P81" s="263"/>
      <c r="Q81" s="263"/>
      <c r="R81" s="263"/>
      <c r="S81" s="263"/>
      <c r="T81" s="263"/>
      <c r="U81" s="263"/>
      <c r="V81" s="263"/>
      <c r="W81" s="263"/>
      <c r="X81" s="263"/>
      <c r="Y81" s="1251"/>
      <c r="Z81" s="1251"/>
      <c r="AA81" s="263"/>
      <c r="AB81" s="263"/>
      <c r="AC81" s="263"/>
      <c r="AD81" s="1251"/>
      <c r="AE81" s="1251"/>
      <c r="AF81" s="263"/>
      <c r="AG81" s="1251"/>
      <c r="AH81" s="1251"/>
      <c r="AI81" s="263">
        <v>0.22</v>
      </c>
      <c r="AJ81" s="263">
        <v>2.4651999999999998</v>
      </c>
      <c r="AK81" s="263">
        <v>4.4562999999999997</v>
      </c>
      <c r="AL81" s="1252">
        <v>26.7379</v>
      </c>
      <c r="AM81" s="1252"/>
      <c r="AN81" s="1252"/>
    </row>
    <row r="82" spans="2:40" s="260" customFormat="1" ht="26.25" customHeight="1">
      <c r="B82" s="266" t="s">
        <v>999</v>
      </c>
      <c r="C82" s="267" t="s">
        <v>1111</v>
      </c>
      <c r="D82" s="268">
        <v>4</v>
      </c>
      <c r="E82" s="268">
        <v>3</v>
      </c>
      <c r="F82" s="269">
        <v>14.3752</v>
      </c>
      <c r="G82" s="269">
        <v>10.29</v>
      </c>
      <c r="H82" s="269">
        <v>1.62</v>
      </c>
      <c r="I82" s="269">
        <v>0.2</v>
      </c>
      <c r="J82" s="269"/>
      <c r="K82" s="269"/>
      <c r="L82" s="269"/>
      <c r="M82" s="269"/>
      <c r="N82" s="269"/>
      <c r="O82" s="269">
        <v>1.2</v>
      </c>
      <c r="P82" s="269"/>
      <c r="Q82" s="269"/>
      <c r="R82" s="269"/>
      <c r="S82" s="269"/>
      <c r="T82" s="269"/>
      <c r="U82" s="269"/>
      <c r="V82" s="269"/>
      <c r="W82" s="269"/>
      <c r="X82" s="269"/>
      <c r="Y82" s="1254"/>
      <c r="Z82" s="1254"/>
      <c r="AA82" s="269"/>
      <c r="AB82" s="269"/>
      <c r="AC82" s="269"/>
      <c r="AD82" s="1254"/>
      <c r="AE82" s="1254"/>
      <c r="AF82" s="269"/>
      <c r="AG82" s="1254"/>
      <c r="AH82" s="1254"/>
      <c r="AI82" s="269">
        <v>0.22</v>
      </c>
      <c r="AJ82" s="269">
        <v>2.4651999999999998</v>
      </c>
      <c r="AK82" s="269">
        <v>4.4562999999999997</v>
      </c>
      <c r="AL82" s="1255">
        <v>26.7379</v>
      </c>
      <c r="AM82" s="1255"/>
      <c r="AN82" s="1255"/>
    </row>
    <row r="83" spans="2:40" s="260" customFormat="1" ht="26.25" customHeight="1">
      <c r="B83" s="261" t="s">
        <v>1112</v>
      </c>
      <c r="C83" s="264" t="s">
        <v>304</v>
      </c>
      <c r="D83" s="262">
        <v>9</v>
      </c>
      <c r="E83" s="262">
        <v>6</v>
      </c>
      <c r="F83" s="263">
        <v>30.0352</v>
      </c>
      <c r="G83" s="263">
        <v>21.55</v>
      </c>
      <c r="H83" s="263">
        <v>3.4</v>
      </c>
      <c r="I83" s="263">
        <v>0.3</v>
      </c>
      <c r="J83" s="263"/>
      <c r="K83" s="263"/>
      <c r="L83" s="263"/>
      <c r="M83" s="263"/>
      <c r="N83" s="263"/>
      <c r="O83" s="263">
        <v>2.4</v>
      </c>
      <c r="P83" s="263"/>
      <c r="Q83" s="263"/>
      <c r="R83" s="263"/>
      <c r="S83" s="263"/>
      <c r="T83" s="263"/>
      <c r="U83" s="263"/>
      <c r="V83" s="263"/>
      <c r="W83" s="263"/>
      <c r="X83" s="263"/>
      <c r="Y83" s="1251"/>
      <c r="Z83" s="1251"/>
      <c r="AA83" s="263"/>
      <c r="AB83" s="263"/>
      <c r="AC83" s="263"/>
      <c r="AD83" s="1251"/>
      <c r="AE83" s="1251"/>
      <c r="AF83" s="263"/>
      <c r="AG83" s="1251"/>
      <c r="AH83" s="1251"/>
      <c r="AI83" s="263">
        <v>0.7</v>
      </c>
      <c r="AJ83" s="263">
        <v>5.0852000000000004</v>
      </c>
      <c r="AK83" s="263">
        <v>9.3109000000000002</v>
      </c>
      <c r="AL83" s="1252">
        <v>55.865499999999997</v>
      </c>
      <c r="AM83" s="1252"/>
      <c r="AN83" s="1252"/>
    </row>
    <row r="84" spans="2:40" s="260" customFormat="1" ht="27" customHeight="1">
      <c r="B84" s="266" t="s">
        <v>999</v>
      </c>
      <c r="C84" s="267" t="s">
        <v>1113</v>
      </c>
      <c r="D84" s="268">
        <v>9</v>
      </c>
      <c r="E84" s="268">
        <v>6</v>
      </c>
      <c r="F84" s="269">
        <v>30.0352</v>
      </c>
      <c r="G84" s="269">
        <v>21.55</v>
      </c>
      <c r="H84" s="269">
        <v>3.4</v>
      </c>
      <c r="I84" s="269">
        <v>0.3</v>
      </c>
      <c r="J84" s="269"/>
      <c r="K84" s="269"/>
      <c r="L84" s="269"/>
      <c r="M84" s="269"/>
      <c r="N84" s="269"/>
      <c r="O84" s="269">
        <v>2.4</v>
      </c>
      <c r="P84" s="269"/>
      <c r="Q84" s="269"/>
      <c r="R84" s="269"/>
      <c r="S84" s="269"/>
      <c r="T84" s="269"/>
      <c r="U84" s="269"/>
      <c r="V84" s="269"/>
      <c r="W84" s="269"/>
      <c r="X84" s="269"/>
      <c r="Y84" s="1254"/>
      <c r="Z84" s="1254"/>
      <c r="AA84" s="269"/>
      <c r="AB84" s="269"/>
      <c r="AC84" s="269"/>
      <c r="AD84" s="1254"/>
      <c r="AE84" s="1254"/>
      <c r="AF84" s="269"/>
      <c r="AG84" s="1254"/>
      <c r="AH84" s="1254"/>
      <c r="AI84" s="269">
        <v>0.7</v>
      </c>
      <c r="AJ84" s="269">
        <v>5.0852000000000004</v>
      </c>
      <c r="AK84" s="269">
        <v>9.3109000000000002</v>
      </c>
      <c r="AL84" s="1255">
        <v>55.865499999999997</v>
      </c>
      <c r="AM84" s="1255"/>
      <c r="AN84" s="1255"/>
    </row>
    <row r="85" spans="2:40" s="260" customFormat="1" ht="18" customHeight="1">
      <c r="B85" s="261" t="s">
        <v>1114</v>
      </c>
      <c r="C85" s="264" t="s">
        <v>1115</v>
      </c>
      <c r="D85" s="262"/>
      <c r="E85" s="262"/>
      <c r="F85" s="263"/>
      <c r="G85" s="263"/>
      <c r="H85" s="263"/>
      <c r="I85" s="263"/>
      <c r="J85" s="263"/>
      <c r="K85" s="263"/>
      <c r="L85" s="263"/>
      <c r="M85" s="263"/>
      <c r="N85" s="263"/>
      <c r="O85" s="263"/>
      <c r="P85" s="263"/>
      <c r="Q85" s="263"/>
      <c r="R85" s="263"/>
      <c r="S85" s="263"/>
      <c r="T85" s="263"/>
      <c r="U85" s="263"/>
      <c r="V85" s="263"/>
      <c r="W85" s="263"/>
      <c r="X85" s="263"/>
      <c r="Y85" s="1251"/>
      <c r="Z85" s="1251"/>
      <c r="AA85" s="263"/>
      <c r="AB85" s="263"/>
      <c r="AC85" s="263"/>
      <c r="AD85" s="1251"/>
      <c r="AE85" s="1251"/>
      <c r="AF85" s="263"/>
      <c r="AG85" s="1251"/>
      <c r="AH85" s="1251"/>
      <c r="AI85" s="263"/>
      <c r="AJ85" s="263"/>
      <c r="AK85" s="263"/>
      <c r="AL85" s="1252"/>
      <c r="AM85" s="1252"/>
      <c r="AN85" s="1252"/>
    </row>
    <row r="86" spans="2:40" s="260" customFormat="1" ht="18" customHeight="1">
      <c r="B86" s="261" t="s">
        <v>1116</v>
      </c>
      <c r="C86" s="264" t="s">
        <v>1117</v>
      </c>
      <c r="D86" s="262"/>
      <c r="E86" s="262"/>
      <c r="F86" s="263"/>
      <c r="G86" s="263"/>
      <c r="H86" s="263"/>
      <c r="I86" s="263"/>
      <c r="J86" s="263"/>
      <c r="K86" s="263"/>
      <c r="L86" s="263"/>
      <c r="M86" s="263"/>
      <c r="N86" s="263"/>
      <c r="O86" s="263"/>
      <c r="P86" s="263"/>
      <c r="Q86" s="263"/>
      <c r="R86" s="263"/>
      <c r="S86" s="263"/>
      <c r="T86" s="263"/>
      <c r="U86" s="263"/>
      <c r="V86" s="263"/>
      <c r="W86" s="263"/>
      <c r="X86" s="263"/>
      <c r="Y86" s="1251"/>
      <c r="Z86" s="1251"/>
      <c r="AA86" s="263"/>
      <c r="AB86" s="263"/>
      <c r="AC86" s="263"/>
      <c r="AD86" s="1251"/>
      <c r="AE86" s="1251"/>
      <c r="AF86" s="263"/>
      <c r="AG86" s="1251"/>
      <c r="AH86" s="1251"/>
      <c r="AI86" s="263"/>
      <c r="AJ86" s="263"/>
      <c r="AK86" s="263"/>
      <c r="AL86" s="1252"/>
      <c r="AM86" s="1252"/>
      <c r="AN86" s="1252"/>
    </row>
    <row r="87" spans="2:40" s="260" customFormat="1" ht="18" customHeight="1">
      <c r="B87" s="261" t="s">
        <v>1118</v>
      </c>
      <c r="C87" s="264" t="s">
        <v>1119</v>
      </c>
      <c r="D87" s="262">
        <v>9</v>
      </c>
      <c r="E87" s="262">
        <v>9</v>
      </c>
      <c r="F87" s="263">
        <v>46.748600000000003</v>
      </c>
      <c r="G87" s="263">
        <v>31.04</v>
      </c>
      <c r="H87" s="263">
        <v>8.2395999999999994</v>
      </c>
      <c r="I87" s="263">
        <v>0.5</v>
      </c>
      <c r="J87" s="263">
        <v>0.24360000000000001</v>
      </c>
      <c r="K87" s="263"/>
      <c r="L87" s="263"/>
      <c r="M87" s="263"/>
      <c r="N87" s="263"/>
      <c r="O87" s="263">
        <v>3.6</v>
      </c>
      <c r="P87" s="263"/>
      <c r="Q87" s="263"/>
      <c r="R87" s="263"/>
      <c r="S87" s="263"/>
      <c r="T87" s="263">
        <v>2.8959999999999999</v>
      </c>
      <c r="U87" s="263"/>
      <c r="V87" s="263"/>
      <c r="W87" s="263"/>
      <c r="X87" s="263"/>
      <c r="Y87" s="1251"/>
      <c r="Z87" s="1251"/>
      <c r="AA87" s="263"/>
      <c r="AB87" s="263"/>
      <c r="AC87" s="263"/>
      <c r="AD87" s="1251"/>
      <c r="AE87" s="1251"/>
      <c r="AF87" s="263"/>
      <c r="AG87" s="1251"/>
      <c r="AH87" s="1251"/>
      <c r="AI87" s="263">
        <v>1</v>
      </c>
      <c r="AJ87" s="263">
        <v>7.4690000000000003</v>
      </c>
      <c r="AK87" s="263">
        <v>14.492100000000001</v>
      </c>
      <c r="AL87" s="1252">
        <v>86.952399999999997</v>
      </c>
      <c r="AM87" s="1252"/>
      <c r="AN87" s="1252"/>
    </row>
    <row r="88" spans="2:40" s="260" customFormat="1" ht="18" customHeight="1">
      <c r="B88" s="266" t="s">
        <v>999</v>
      </c>
      <c r="C88" s="267" t="s">
        <v>1120</v>
      </c>
      <c r="D88" s="268">
        <v>9</v>
      </c>
      <c r="E88" s="268">
        <v>9</v>
      </c>
      <c r="F88" s="269">
        <v>46.748600000000003</v>
      </c>
      <c r="G88" s="269">
        <v>31.04</v>
      </c>
      <c r="H88" s="269">
        <v>8.2395999999999994</v>
      </c>
      <c r="I88" s="269">
        <v>0.5</v>
      </c>
      <c r="J88" s="269">
        <v>0.24360000000000001</v>
      </c>
      <c r="K88" s="269"/>
      <c r="L88" s="269"/>
      <c r="M88" s="269"/>
      <c r="N88" s="269"/>
      <c r="O88" s="269">
        <v>3.6</v>
      </c>
      <c r="P88" s="269"/>
      <c r="Q88" s="269"/>
      <c r="R88" s="269"/>
      <c r="S88" s="269"/>
      <c r="T88" s="269">
        <v>2.8959999999999999</v>
      </c>
      <c r="U88" s="269"/>
      <c r="V88" s="269"/>
      <c r="W88" s="269"/>
      <c r="X88" s="269"/>
      <c r="Y88" s="1254"/>
      <c r="Z88" s="1254"/>
      <c r="AA88" s="269"/>
      <c r="AB88" s="269"/>
      <c r="AC88" s="269"/>
      <c r="AD88" s="1254"/>
      <c r="AE88" s="1254"/>
      <c r="AF88" s="269"/>
      <c r="AG88" s="1254"/>
      <c r="AH88" s="1254"/>
      <c r="AI88" s="269">
        <v>1</v>
      </c>
      <c r="AJ88" s="269">
        <v>7.4690000000000003</v>
      </c>
      <c r="AK88" s="269">
        <v>14.492100000000001</v>
      </c>
      <c r="AL88" s="1255">
        <v>86.952399999999997</v>
      </c>
      <c r="AM88" s="1255"/>
      <c r="AN88" s="1255"/>
    </row>
    <row r="89" spans="2:40" s="260" customFormat="1" ht="18" customHeight="1">
      <c r="B89" s="261" t="s">
        <v>1121</v>
      </c>
      <c r="C89" s="264" t="s">
        <v>143</v>
      </c>
      <c r="D89" s="262">
        <v>120</v>
      </c>
      <c r="E89" s="262">
        <v>114</v>
      </c>
      <c r="F89" s="263">
        <v>778.52300000000002</v>
      </c>
      <c r="G89" s="263">
        <v>438.12799999999999</v>
      </c>
      <c r="H89" s="263">
        <v>238.9068</v>
      </c>
      <c r="I89" s="263">
        <v>16.7</v>
      </c>
      <c r="J89" s="263">
        <v>1.1952</v>
      </c>
      <c r="K89" s="263"/>
      <c r="L89" s="263"/>
      <c r="M89" s="263">
        <v>1.4675</v>
      </c>
      <c r="N89" s="263"/>
      <c r="O89" s="263">
        <v>44.9</v>
      </c>
      <c r="P89" s="263"/>
      <c r="Q89" s="263"/>
      <c r="R89" s="263"/>
      <c r="S89" s="263"/>
      <c r="T89" s="263"/>
      <c r="U89" s="263"/>
      <c r="V89" s="263"/>
      <c r="W89" s="263"/>
      <c r="X89" s="263"/>
      <c r="Y89" s="1251"/>
      <c r="Z89" s="1251"/>
      <c r="AA89" s="263">
        <v>112.3258</v>
      </c>
      <c r="AB89" s="263">
        <v>48.866340000000001</v>
      </c>
      <c r="AC89" s="263"/>
      <c r="AD89" s="1251"/>
      <c r="AE89" s="1251"/>
      <c r="AF89" s="263"/>
      <c r="AG89" s="1251"/>
      <c r="AH89" s="1251"/>
      <c r="AI89" s="263">
        <v>13.452</v>
      </c>
      <c r="AJ89" s="263">
        <v>101.48820000000001</v>
      </c>
      <c r="AK89" s="263">
        <v>241.34190000000001</v>
      </c>
      <c r="AL89" s="1252">
        <v>1448.0530000000001</v>
      </c>
      <c r="AM89" s="1252"/>
      <c r="AN89" s="1252"/>
    </row>
    <row r="90" spans="2:40" s="260" customFormat="1" ht="18" customHeight="1">
      <c r="B90" s="261"/>
      <c r="C90" s="264" t="s">
        <v>1122</v>
      </c>
      <c r="D90" s="262">
        <v>77</v>
      </c>
      <c r="E90" s="262">
        <v>73</v>
      </c>
      <c r="F90" s="263">
        <v>458.78339999999997</v>
      </c>
      <c r="G90" s="263">
        <v>279.18799999999999</v>
      </c>
      <c r="H90" s="263">
        <v>114.74420000000001</v>
      </c>
      <c r="I90" s="263">
        <v>8.3000000000000007</v>
      </c>
      <c r="J90" s="263">
        <v>0.64739999999999998</v>
      </c>
      <c r="K90" s="263"/>
      <c r="L90" s="263"/>
      <c r="M90" s="263"/>
      <c r="N90" s="263"/>
      <c r="O90" s="263">
        <v>29.3</v>
      </c>
      <c r="P90" s="263"/>
      <c r="Q90" s="263"/>
      <c r="R90" s="263"/>
      <c r="S90" s="263"/>
      <c r="T90" s="263"/>
      <c r="U90" s="263"/>
      <c r="V90" s="263"/>
      <c r="W90" s="263"/>
      <c r="X90" s="263"/>
      <c r="Y90" s="1251"/>
      <c r="Z90" s="1251"/>
      <c r="AA90" s="263">
        <v>70.353849999999994</v>
      </c>
      <c r="AB90" s="263"/>
      <c r="AC90" s="263"/>
      <c r="AD90" s="1251"/>
      <c r="AE90" s="1251"/>
      <c r="AF90" s="263"/>
      <c r="AG90" s="1251"/>
      <c r="AH90" s="1251"/>
      <c r="AI90" s="263">
        <v>6.1429999999999998</v>
      </c>
      <c r="AJ90" s="263">
        <v>64.851200000000006</v>
      </c>
      <c r="AK90" s="263">
        <v>142.2227</v>
      </c>
      <c r="AL90" s="1252">
        <v>853.33730000000003</v>
      </c>
      <c r="AM90" s="1252"/>
      <c r="AN90" s="1252"/>
    </row>
    <row r="91" spans="2:40" s="260" customFormat="1" ht="18" customHeight="1">
      <c r="B91" s="266" t="s">
        <v>999</v>
      </c>
      <c r="C91" s="267" t="s">
        <v>1123</v>
      </c>
      <c r="D91" s="268"/>
      <c r="E91" s="268">
        <v>1</v>
      </c>
      <c r="F91" s="269">
        <v>6.0594999999999999</v>
      </c>
      <c r="G91" s="269">
        <v>4.32</v>
      </c>
      <c r="H91" s="269">
        <v>0.7</v>
      </c>
      <c r="I91" s="269">
        <v>0.3</v>
      </c>
      <c r="J91" s="269"/>
      <c r="K91" s="269"/>
      <c r="L91" s="269"/>
      <c r="M91" s="269"/>
      <c r="N91" s="269"/>
      <c r="O91" s="269">
        <v>0.4</v>
      </c>
      <c r="P91" s="269"/>
      <c r="Q91" s="269"/>
      <c r="R91" s="269"/>
      <c r="S91" s="269"/>
      <c r="T91" s="269"/>
      <c r="U91" s="269"/>
      <c r="V91" s="269"/>
      <c r="W91" s="269"/>
      <c r="X91" s="269"/>
      <c r="Y91" s="1254"/>
      <c r="Z91" s="1254"/>
      <c r="AA91" s="269"/>
      <c r="AB91" s="269"/>
      <c r="AC91" s="269"/>
      <c r="AD91" s="1254"/>
      <c r="AE91" s="1254"/>
      <c r="AF91" s="269"/>
      <c r="AG91" s="1254"/>
      <c r="AH91" s="1254"/>
      <c r="AI91" s="269"/>
      <c r="AJ91" s="269">
        <v>1.0395000000000001</v>
      </c>
      <c r="AK91" s="269">
        <v>1.8784000000000001</v>
      </c>
      <c r="AL91" s="1255">
        <v>11.2707</v>
      </c>
      <c r="AM91" s="1255"/>
      <c r="AN91" s="1255"/>
    </row>
    <row r="92" spans="2:40" s="260" customFormat="1" ht="18" customHeight="1">
      <c r="B92" s="266" t="s">
        <v>1001</v>
      </c>
      <c r="C92" s="267" t="s">
        <v>1124</v>
      </c>
      <c r="D92" s="268">
        <v>2</v>
      </c>
      <c r="E92" s="268">
        <v>1</v>
      </c>
      <c r="F92" s="269">
        <v>2.9935</v>
      </c>
      <c r="G92" s="269">
        <v>2.1</v>
      </c>
      <c r="H92" s="269">
        <v>0.4</v>
      </c>
      <c r="I92" s="269"/>
      <c r="J92" s="269"/>
      <c r="K92" s="269"/>
      <c r="L92" s="269"/>
      <c r="M92" s="269"/>
      <c r="N92" s="269"/>
      <c r="O92" s="269">
        <v>0.4</v>
      </c>
      <c r="P92" s="269"/>
      <c r="Q92" s="269"/>
      <c r="R92" s="269"/>
      <c r="S92" s="269"/>
      <c r="T92" s="269"/>
      <c r="U92" s="269"/>
      <c r="V92" s="269"/>
      <c r="W92" s="269"/>
      <c r="X92" s="269"/>
      <c r="Y92" s="1254"/>
      <c r="Z92" s="1254"/>
      <c r="AA92" s="269"/>
      <c r="AB92" s="269"/>
      <c r="AC92" s="269"/>
      <c r="AD92" s="1254"/>
      <c r="AE92" s="1254"/>
      <c r="AF92" s="269"/>
      <c r="AG92" s="1254"/>
      <c r="AH92" s="1254"/>
      <c r="AI92" s="269"/>
      <c r="AJ92" s="269">
        <v>0.49349999999999999</v>
      </c>
      <c r="AK92" s="269">
        <v>0.92800000000000005</v>
      </c>
      <c r="AL92" s="1255">
        <v>5.5678999999999998</v>
      </c>
      <c r="AM92" s="1255"/>
      <c r="AN92" s="1255"/>
    </row>
    <row r="93" spans="2:40" s="260" customFormat="1" ht="18" customHeight="1">
      <c r="B93" s="266" t="s">
        <v>1003</v>
      </c>
      <c r="C93" s="267" t="s">
        <v>1125</v>
      </c>
      <c r="D93" s="268">
        <v>9</v>
      </c>
      <c r="E93" s="268">
        <v>8</v>
      </c>
      <c r="F93" s="269">
        <v>54.780799999999999</v>
      </c>
      <c r="G93" s="269">
        <v>33.9</v>
      </c>
      <c r="H93" s="269">
        <v>13.073499999999999</v>
      </c>
      <c r="I93" s="269">
        <v>0.5</v>
      </c>
      <c r="J93" s="269">
        <v>0.29880000000000001</v>
      </c>
      <c r="K93" s="269"/>
      <c r="L93" s="269"/>
      <c r="M93" s="269"/>
      <c r="N93" s="269"/>
      <c r="O93" s="269">
        <v>3.2</v>
      </c>
      <c r="P93" s="269"/>
      <c r="Q93" s="269"/>
      <c r="R93" s="269"/>
      <c r="S93" s="269"/>
      <c r="T93" s="269"/>
      <c r="U93" s="269"/>
      <c r="V93" s="269"/>
      <c r="W93" s="269"/>
      <c r="X93" s="269"/>
      <c r="Y93" s="1254"/>
      <c r="Z93" s="1254"/>
      <c r="AA93" s="269">
        <v>8.6746999999999996</v>
      </c>
      <c r="AB93" s="269"/>
      <c r="AC93" s="269"/>
      <c r="AD93" s="1254"/>
      <c r="AE93" s="1254"/>
      <c r="AF93" s="269"/>
      <c r="AG93" s="1254"/>
      <c r="AH93" s="1254"/>
      <c r="AI93" s="269">
        <v>0.4</v>
      </c>
      <c r="AJ93" s="269">
        <v>7.8072999999999997</v>
      </c>
      <c r="AK93" s="269">
        <v>16.981999999999999</v>
      </c>
      <c r="AL93" s="1255">
        <v>101.89230000000001</v>
      </c>
      <c r="AM93" s="1255"/>
      <c r="AN93" s="1255"/>
    </row>
    <row r="94" spans="2:40" s="260" customFormat="1" ht="18" customHeight="1">
      <c r="B94" s="266" t="s">
        <v>1005</v>
      </c>
      <c r="C94" s="267" t="s">
        <v>1126</v>
      </c>
      <c r="D94" s="268">
        <v>6</v>
      </c>
      <c r="E94" s="268">
        <v>6</v>
      </c>
      <c r="F94" s="269">
        <v>36.601999999999997</v>
      </c>
      <c r="G94" s="269">
        <v>22.62</v>
      </c>
      <c r="H94" s="269">
        <v>8.7799999999999994</v>
      </c>
      <c r="I94" s="269">
        <v>0.5</v>
      </c>
      <c r="J94" s="269"/>
      <c r="K94" s="269"/>
      <c r="L94" s="269"/>
      <c r="M94" s="269"/>
      <c r="N94" s="269"/>
      <c r="O94" s="269">
        <v>2.4</v>
      </c>
      <c r="P94" s="269"/>
      <c r="Q94" s="269"/>
      <c r="R94" s="269"/>
      <c r="S94" s="269"/>
      <c r="T94" s="269"/>
      <c r="U94" s="269"/>
      <c r="V94" s="269"/>
      <c r="W94" s="269"/>
      <c r="X94" s="269"/>
      <c r="Y94" s="1254"/>
      <c r="Z94" s="1254"/>
      <c r="AA94" s="269">
        <v>5.78</v>
      </c>
      <c r="AB94" s="269"/>
      <c r="AC94" s="269"/>
      <c r="AD94" s="1254"/>
      <c r="AE94" s="1254"/>
      <c r="AF94" s="269"/>
      <c r="AG94" s="1254"/>
      <c r="AH94" s="1254"/>
      <c r="AI94" s="269">
        <v>0.1</v>
      </c>
      <c r="AJ94" s="269">
        <v>5.202</v>
      </c>
      <c r="AK94" s="269">
        <v>11.3466</v>
      </c>
      <c r="AL94" s="1255">
        <v>68.079700000000003</v>
      </c>
      <c r="AM94" s="1255"/>
      <c r="AN94" s="1255"/>
    </row>
    <row r="95" spans="2:40" s="260" customFormat="1" ht="27" customHeight="1">
      <c r="B95" s="266" t="s">
        <v>1007</v>
      </c>
      <c r="C95" s="267" t="s">
        <v>1127</v>
      </c>
      <c r="D95" s="268">
        <v>6</v>
      </c>
      <c r="E95" s="268">
        <v>6</v>
      </c>
      <c r="F95" s="269">
        <v>37.805300000000003</v>
      </c>
      <c r="G95" s="269">
        <v>23.029</v>
      </c>
      <c r="H95" s="269">
        <v>9.4822000000000006</v>
      </c>
      <c r="I95" s="269">
        <v>0.5</v>
      </c>
      <c r="J95" s="269"/>
      <c r="K95" s="269"/>
      <c r="L95" s="269"/>
      <c r="M95" s="269"/>
      <c r="N95" s="269"/>
      <c r="O95" s="269">
        <v>2.4</v>
      </c>
      <c r="P95" s="269"/>
      <c r="Q95" s="269"/>
      <c r="R95" s="269"/>
      <c r="S95" s="269"/>
      <c r="T95" s="269"/>
      <c r="U95" s="269"/>
      <c r="V95" s="269"/>
      <c r="W95" s="269"/>
      <c r="X95" s="269"/>
      <c r="Y95" s="1254"/>
      <c r="Z95" s="1254"/>
      <c r="AA95" s="269">
        <v>5.88225</v>
      </c>
      <c r="AB95" s="269"/>
      <c r="AC95" s="269"/>
      <c r="AD95" s="1254"/>
      <c r="AE95" s="1254"/>
      <c r="AF95" s="269"/>
      <c r="AG95" s="1254"/>
      <c r="AH95" s="1254"/>
      <c r="AI95" s="269">
        <v>0.7</v>
      </c>
      <c r="AJ95" s="269">
        <v>5.2941000000000003</v>
      </c>
      <c r="AK95" s="269">
        <v>11.7196</v>
      </c>
      <c r="AL95" s="1255">
        <v>70.317899999999995</v>
      </c>
      <c r="AM95" s="1255"/>
      <c r="AN95" s="1255"/>
    </row>
    <row r="96" spans="2:40" s="260" customFormat="1" ht="19.5" customHeight="1">
      <c r="B96" s="266" t="s">
        <v>1009</v>
      </c>
      <c r="C96" s="267" t="s">
        <v>1128</v>
      </c>
      <c r="D96" s="268">
        <v>7</v>
      </c>
      <c r="E96" s="268">
        <v>7</v>
      </c>
      <c r="F96" s="269">
        <v>40.800899999999999</v>
      </c>
      <c r="G96" s="269">
        <v>25.06</v>
      </c>
      <c r="H96" s="269">
        <v>9.99</v>
      </c>
      <c r="I96" s="269">
        <v>0.5</v>
      </c>
      <c r="J96" s="269"/>
      <c r="K96" s="269"/>
      <c r="L96" s="269"/>
      <c r="M96" s="269"/>
      <c r="N96" s="269"/>
      <c r="O96" s="269">
        <v>2.8</v>
      </c>
      <c r="P96" s="269"/>
      <c r="Q96" s="269"/>
      <c r="R96" s="269"/>
      <c r="S96" s="269"/>
      <c r="T96" s="269"/>
      <c r="U96" s="269"/>
      <c r="V96" s="269"/>
      <c r="W96" s="269"/>
      <c r="X96" s="269"/>
      <c r="Y96" s="1254"/>
      <c r="Z96" s="1254"/>
      <c r="AA96" s="269">
        <v>6.39</v>
      </c>
      <c r="AB96" s="269"/>
      <c r="AC96" s="269"/>
      <c r="AD96" s="1254"/>
      <c r="AE96" s="1254"/>
      <c r="AF96" s="269"/>
      <c r="AG96" s="1254"/>
      <c r="AH96" s="1254"/>
      <c r="AI96" s="269">
        <v>0.3</v>
      </c>
      <c r="AJ96" s="269">
        <v>5.7508999999999997</v>
      </c>
      <c r="AK96" s="269">
        <v>12.648300000000001</v>
      </c>
      <c r="AL96" s="1255">
        <v>75.889700000000005</v>
      </c>
      <c r="AM96" s="1255"/>
      <c r="AN96" s="1255"/>
    </row>
    <row r="97" spans="2:40" s="260" customFormat="1" ht="19.5" customHeight="1">
      <c r="B97" s="266" t="s">
        <v>1011</v>
      </c>
      <c r="C97" s="267" t="s">
        <v>1129</v>
      </c>
      <c r="D97" s="268">
        <v>7</v>
      </c>
      <c r="E97" s="268">
        <v>6</v>
      </c>
      <c r="F97" s="269">
        <v>36.6479</v>
      </c>
      <c r="G97" s="269">
        <v>22.38</v>
      </c>
      <c r="H97" s="269">
        <v>9.1199999999999992</v>
      </c>
      <c r="I97" s="269">
        <v>0.5</v>
      </c>
      <c r="J97" s="269"/>
      <c r="K97" s="269"/>
      <c r="L97" s="269"/>
      <c r="M97" s="269"/>
      <c r="N97" s="269"/>
      <c r="O97" s="269">
        <v>2.5</v>
      </c>
      <c r="P97" s="269"/>
      <c r="Q97" s="269"/>
      <c r="R97" s="269"/>
      <c r="S97" s="269"/>
      <c r="T97" s="269"/>
      <c r="U97" s="269"/>
      <c r="V97" s="269"/>
      <c r="W97" s="269"/>
      <c r="X97" s="269"/>
      <c r="Y97" s="1254"/>
      <c r="Z97" s="1254"/>
      <c r="AA97" s="269">
        <v>5.72</v>
      </c>
      <c r="AB97" s="269"/>
      <c r="AC97" s="269"/>
      <c r="AD97" s="1254"/>
      <c r="AE97" s="1254"/>
      <c r="AF97" s="269"/>
      <c r="AG97" s="1254"/>
      <c r="AH97" s="1254"/>
      <c r="AI97" s="269">
        <v>0.4</v>
      </c>
      <c r="AJ97" s="269">
        <v>5.1478999999999999</v>
      </c>
      <c r="AK97" s="269">
        <v>11.360799999999999</v>
      </c>
      <c r="AL97" s="1255">
        <v>68.165099999999995</v>
      </c>
      <c r="AM97" s="1255"/>
      <c r="AN97" s="1255"/>
    </row>
    <row r="98" spans="2:40" s="260" customFormat="1" ht="19.5" customHeight="1">
      <c r="B98" s="266" t="s">
        <v>1013</v>
      </c>
      <c r="C98" s="267" t="s">
        <v>946</v>
      </c>
      <c r="D98" s="268">
        <v>7</v>
      </c>
      <c r="E98" s="268">
        <v>7</v>
      </c>
      <c r="F98" s="269">
        <v>38.2196</v>
      </c>
      <c r="G98" s="269">
        <v>23.31</v>
      </c>
      <c r="H98" s="269">
        <v>9.5525000000000002</v>
      </c>
      <c r="I98" s="269">
        <v>0.5</v>
      </c>
      <c r="J98" s="269"/>
      <c r="K98" s="269"/>
      <c r="L98" s="269"/>
      <c r="M98" s="269"/>
      <c r="N98" s="269"/>
      <c r="O98" s="269">
        <v>2.8</v>
      </c>
      <c r="P98" s="269"/>
      <c r="Q98" s="269"/>
      <c r="R98" s="269"/>
      <c r="S98" s="269"/>
      <c r="T98" s="269"/>
      <c r="U98" s="269"/>
      <c r="V98" s="269"/>
      <c r="W98" s="269"/>
      <c r="X98" s="269"/>
      <c r="Y98" s="1254"/>
      <c r="Z98" s="1254"/>
      <c r="AA98" s="269">
        <v>5.9524999999999997</v>
      </c>
      <c r="AB98" s="269"/>
      <c r="AC98" s="269"/>
      <c r="AD98" s="1254"/>
      <c r="AE98" s="1254"/>
      <c r="AF98" s="269"/>
      <c r="AG98" s="1254"/>
      <c r="AH98" s="1254"/>
      <c r="AI98" s="269">
        <v>0.3</v>
      </c>
      <c r="AJ98" s="269">
        <v>5.3571</v>
      </c>
      <c r="AK98" s="269">
        <v>11.848100000000001</v>
      </c>
      <c r="AL98" s="1255">
        <v>71.088499999999996</v>
      </c>
      <c r="AM98" s="1255"/>
      <c r="AN98" s="1255"/>
    </row>
    <row r="99" spans="2:40" s="260" customFormat="1" ht="19.5" customHeight="1">
      <c r="B99" s="266" t="s">
        <v>1015</v>
      </c>
      <c r="C99" s="267" t="s">
        <v>1130</v>
      </c>
      <c r="D99" s="268">
        <v>6</v>
      </c>
      <c r="E99" s="268">
        <v>5</v>
      </c>
      <c r="F99" s="269">
        <v>33.437399999999997</v>
      </c>
      <c r="G99" s="269">
        <v>20.61</v>
      </c>
      <c r="H99" s="269">
        <v>8.0775000000000006</v>
      </c>
      <c r="I99" s="269">
        <v>0.5</v>
      </c>
      <c r="J99" s="269"/>
      <c r="K99" s="269"/>
      <c r="L99" s="269"/>
      <c r="M99" s="269"/>
      <c r="N99" s="269"/>
      <c r="O99" s="269">
        <v>2</v>
      </c>
      <c r="P99" s="269"/>
      <c r="Q99" s="269"/>
      <c r="R99" s="269"/>
      <c r="S99" s="269"/>
      <c r="T99" s="269"/>
      <c r="U99" s="269"/>
      <c r="V99" s="269"/>
      <c r="W99" s="269"/>
      <c r="X99" s="269"/>
      <c r="Y99" s="1254"/>
      <c r="Z99" s="1254"/>
      <c r="AA99" s="269">
        <v>5.2774999999999999</v>
      </c>
      <c r="AB99" s="269"/>
      <c r="AC99" s="269"/>
      <c r="AD99" s="1254"/>
      <c r="AE99" s="1254"/>
      <c r="AF99" s="269"/>
      <c r="AG99" s="1254"/>
      <c r="AH99" s="1254"/>
      <c r="AI99" s="269">
        <v>0.3</v>
      </c>
      <c r="AJ99" s="269">
        <v>4.7499000000000002</v>
      </c>
      <c r="AK99" s="269">
        <v>10.365600000000001</v>
      </c>
      <c r="AL99" s="1255">
        <v>62.193600000000004</v>
      </c>
      <c r="AM99" s="1255"/>
      <c r="AN99" s="1255"/>
    </row>
    <row r="100" spans="2:40" s="260" customFormat="1" ht="19.5" customHeight="1">
      <c r="B100" s="266" t="s">
        <v>1017</v>
      </c>
      <c r="C100" s="267" t="s">
        <v>1131</v>
      </c>
      <c r="D100" s="268">
        <v>3</v>
      </c>
      <c r="E100" s="268">
        <v>2</v>
      </c>
      <c r="F100" s="269">
        <v>12.8262</v>
      </c>
      <c r="G100" s="269">
        <v>7.65</v>
      </c>
      <c r="H100" s="269">
        <v>3.3875000000000002</v>
      </c>
      <c r="I100" s="269">
        <v>0.3</v>
      </c>
      <c r="J100" s="269"/>
      <c r="K100" s="269"/>
      <c r="L100" s="269"/>
      <c r="M100" s="269"/>
      <c r="N100" s="269"/>
      <c r="O100" s="269">
        <v>0.8</v>
      </c>
      <c r="P100" s="269"/>
      <c r="Q100" s="269"/>
      <c r="R100" s="269"/>
      <c r="S100" s="269"/>
      <c r="T100" s="269"/>
      <c r="U100" s="269"/>
      <c r="V100" s="269"/>
      <c r="W100" s="269"/>
      <c r="X100" s="269"/>
      <c r="Y100" s="1254"/>
      <c r="Z100" s="1254"/>
      <c r="AA100" s="269">
        <v>1.9875</v>
      </c>
      <c r="AB100" s="269"/>
      <c r="AC100" s="269"/>
      <c r="AD100" s="1254"/>
      <c r="AE100" s="1254"/>
      <c r="AF100" s="269"/>
      <c r="AG100" s="1254"/>
      <c r="AH100" s="1254"/>
      <c r="AI100" s="269">
        <v>0.3</v>
      </c>
      <c r="AJ100" s="269">
        <v>1.7887</v>
      </c>
      <c r="AK100" s="269">
        <v>3.9761000000000002</v>
      </c>
      <c r="AL100" s="1255">
        <v>23.8567</v>
      </c>
      <c r="AM100" s="1255"/>
      <c r="AN100" s="1255"/>
    </row>
    <row r="101" spans="2:40" s="260" customFormat="1" ht="19.5" customHeight="1">
      <c r="B101" s="266" t="s">
        <v>1019</v>
      </c>
      <c r="C101" s="267" t="s">
        <v>1132</v>
      </c>
      <c r="D101" s="268">
        <v>3</v>
      </c>
      <c r="E101" s="268">
        <v>3</v>
      </c>
      <c r="F101" s="269">
        <v>20.6995</v>
      </c>
      <c r="G101" s="269">
        <v>12.72</v>
      </c>
      <c r="H101" s="269">
        <v>5.0049999999999999</v>
      </c>
      <c r="I101" s="269">
        <v>0.5</v>
      </c>
      <c r="J101" s="269"/>
      <c r="K101" s="269"/>
      <c r="L101" s="269"/>
      <c r="M101" s="269"/>
      <c r="N101" s="269"/>
      <c r="O101" s="269">
        <v>1.2</v>
      </c>
      <c r="P101" s="269"/>
      <c r="Q101" s="269"/>
      <c r="R101" s="269"/>
      <c r="S101" s="269"/>
      <c r="T101" s="269"/>
      <c r="U101" s="269"/>
      <c r="V101" s="269"/>
      <c r="W101" s="269"/>
      <c r="X101" s="269"/>
      <c r="Y101" s="1254"/>
      <c r="Z101" s="1254"/>
      <c r="AA101" s="269">
        <v>3.3050000000000002</v>
      </c>
      <c r="AB101" s="269"/>
      <c r="AC101" s="269"/>
      <c r="AD101" s="1254"/>
      <c r="AE101" s="1254"/>
      <c r="AF101" s="269"/>
      <c r="AG101" s="1254"/>
      <c r="AH101" s="1254"/>
      <c r="AI101" s="269"/>
      <c r="AJ101" s="269">
        <v>2.9744999999999999</v>
      </c>
      <c r="AK101" s="269">
        <v>6.4168000000000003</v>
      </c>
      <c r="AL101" s="1255">
        <v>38.501100000000001</v>
      </c>
      <c r="AM101" s="1255"/>
      <c r="AN101" s="1255"/>
    </row>
    <row r="102" spans="2:40" s="260" customFormat="1" ht="19.5" customHeight="1">
      <c r="B102" s="266" t="s">
        <v>1021</v>
      </c>
      <c r="C102" s="267" t="s">
        <v>1133</v>
      </c>
      <c r="D102" s="268">
        <v>3</v>
      </c>
      <c r="E102" s="268">
        <v>3</v>
      </c>
      <c r="F102" s="269">
        <v>18.117599999999999</v>
      </c>
      <c r="G102" s="269">
        <v>9.99</v>
      </c>
      <c r="H102" s="269">
        <v>5.8125</v>
      </c>
      <c r="I102" s="269">
        <v>0.3</v>
      </c>
      <c r="J102" s="269"/>
      <c r="K102" s="269"/>
      <c r="L102" s="269"/>
      <c r="M102" s="269"/>
      <c r="N102" s="269"/>
      <c r="O102" s="269">
        <v>1.2</v>
      </c>
      <c r="P102" s="269"/>
      <c r="Q102" s="269"/>
      <c r="R102" s="269"/>
      <c r="S102" s="269"/>
      <c r="T102" s="269"/>
      <c r="U102" s="269"/>
      <c r="V102" s="269"/>
      <c r="W102" s="269"/>
      <c r="X102" s="269"/>
      <c r="Y102" s="1254"/>
      <c r="Z102" s="1254"/>
      <c r="AA102" s="269">
        <v>2.5724999999999998</v>
      </c>
      <c r="AB102" s="269"/>
      <c r="AC102" s="269"/>
      <c r="AD102" s="1254"/>
      <c r="AE102" s="1254"/>
      <c r="AF102" s="269"/>
      <c r="AG102" s="1254"/>
      <c r="AH102" s="1254"/>
      <c r="AI102" s="269">
        <v>1.74</v>
      </c>
      <c r="AJ102" s="269">
        <v>2.3151000000000002</v>
      </c>
      <c r="AK102" s="269">
        <v>5.6165000000000003</v>
      </c>
      <c r="AL102" s="1255">
        <v>33.698700000000002</v>
      </c>
      <c r="AM102" s="1255"/>
      <c r="AN102" s="1255"/>
    </row>
    <row r="103" spans="2:40" s="260" customFormat="1" ht="19.5" customHeight="1">
      <c r="B103" s="266" t="s">
        <v>1023</v>
      </c>
      <c r="C103" s="267" t="s">
        <v>1134</v>
      </c>
      <c r="D103" s="268">
        <v>18</v>
      </c>
      <c r="E103" s="268">
        <v>18</v>
      </c>
      <c r="F103" s="269">
        <v>119.7932</v>
      </c>
      <c r="G103" s="269">
        <v>71.498999999999995</v>
      </c>
      <c r="H103" s="269">
        <v>31.363499999999998</v>
      </c>
      <c r="I103" s="269">
        <v>3.4</v>
      </c>
      <c r="J103" s="269">
        <v>0.34860000000000002</v>
      </c>
      <c r="K103" s="269"/>
      <c r="L103" s="269"/>
      <c r="M103" s="269"/>
      <c r="N103" s="269"/>
      <c r="O103" s="269">
        <v>7.2</v>
      </c>
      <c r="P103" s="269"/>
      <c r="Q103" s="269"/>
      <c r="R103" s="269"/>
      <c r="S103" s="269"/>
      <c r="T103" s="269"/>
      <c r="U103" s="269"/>
      <c r="V103" s="269"/>
      <c r="W103" s="269"/>
      <c r="X103" s="269"/>
      <c r="Y103" s="1254"/>
      <c r="Z103" s="1254"/>
      <c r="AA103" s="269">
        <v>18.811900000000001</v>
      </c>
      <c r="AB103" s="269"/>
      <c r="AC103" s="269"/>
      <c r="AD103" s="1254"/>
      <c r="AE103" s="1254"/>
      <c r="AF103" s="269"/>
      <c r="AG103" s="1254"/>
      <c r="AH103" s="1254"/>
      <c r="AI103" s="269">
        <v>1.603</v>
      </c>
      <c r="AJ103" s="269">
        <v>16.930700000000002</v>
      </c>
      <c r="AK103" s="269">
        <v>37.135899999999999</v>
      </c>
      <c r="AL103" s="1255">
        <v>222.81540000000001</v>
      </c>
      <c r="AM103" s="1255"/>
      <c r="AN103" s="1255"/>
    </row>
    <row r="104" spans="2:40" s="260" customFormat="1" ht="19.5" customHeight="1">
      <c r="B104" s="261"/>
      <c r="C104" s="264" t="s">
        <v>1135</v>
      </c>
      <c r="D104" s="262">
        <v>26</v>
      </c>
      <c r="E104" s="262">
        <v>25</v>
      </c>
      <c r="F104" s="263">
        <v>208.89850000000001</v>
      </c>
      <c r="G104" s="263">
        <v>102.94</v>
      </c>
      <c r="H104" s="263">
        <v>81.263000000000005</v>
      </c>
      <c r="I104" s="263">
        <v>5.35</v>
      </c>
      <c r="J104" s="263"/>
      <c r="K104" s="263"/>
      <c r="L104" s="263"/>
      <c r="M104" s="263">
        <v>1.4675</v>
      </c>
      <c r="N104" s="263"/>
      <c r="O104" s="263">
        <v>10</v>
      </c>
      <c r="P104" s="263"/>
      <c r="Q104" s="263"/>
      <c r="R104" s="263"/>
      <c r="S104" s="263"/>
      <c r="T104" s="263"/>
      <c r="U104" s="263"/>
      <c r="V104" s="263"/>
      <c r="W104" s="263"/>
      <c r="X104" s="263"/>
      <c r="Y104" s="1251"/>
      <c r="Z104" s="1251"/>
      <c r="AA104" s="263">
        <v>27.072500000000002</v>
      </c>
      <c r="AB104" s="263">
        <v>30.986999999999998</v>
      </c>
      <c r="AC104" s="263"/>
      <c r="AD104" s="1251"/>
      <c r="AE104" s="1251"/>
      <c r="AF104" s="263"/>
      <c r="AG104" s="1251"/>
      <c r="AH104" s="1251"/>
      <c r="AI104" s="263">
        <v>6.3860000000000001</v>
      </c>
      <c r="AJ104" s="263">
        <v>24.695499999999999</v>
      </c>
      <c r="AK104" s="263">
        <v>64.758499999999998</v>
      </c>
      <c r="AL104" s="1252">
        <v>388.55119999999999</v>
      </c>
      <c r="AM104" s="1252"/>
      <c r="AN104" s="1252"/>
    </row>
    <row r="105" spans="2:40" s="260" customFormat="1" ht="19.5" customHeight="1">
      <c r="B105" s="266" t="s">
        <v>999</v>
      </c>
      <c r="C105" s="267" t="s">
        <v>1136</v>
      </c>
      <c r="D105" s="268">
        <v>26</v>
      </c>
      <c r="E105" s="268">
        <v>25</v>
      </c>
      <c r="F105" s="269">
        <v>208.89850000000001</v>
      </c>
      <c r="G105" s="269">
        <v>102.94</v>
      </c>
      <c r="H105" s="269">
        <v>81.263000000000005</v>
      </c>
      <c r="I105" s="269">
        <v>5.35</v>
      </c>
      <c r="J105" s="269"/>
      <c r="K105" s="269"/>
      <c r="L105" s="269"/>
      <c r="M105" s="269">
        <v>1.4675</v>
      </c>
      <c r="N105" s="269"/>
      <c r="O105" s="269">
        <v>10</v>
      </c>
      <c r="P105" s="269"/>
      <c r="Q105" s="269"/>
      <c r="R105" s="269"/>
      <c r="S105" s="269"/>
      <c r="T105" s="269"/>
      <c r="U105" s="269"/>
      <c r="V105" s="269"/>
      <c r="W105" s="269"/>
      <c r="X105" s="269"/>
      <c r="Y105" s="1254"/>
      <c r="Z105" s="1254"/>
      <c r="AA105" s="269">
        <v>27.072500000000002</v>
      </c>
      <c r="AB105" s="269">
        <v>30.986999999999998</v>
      </c>
      <c r="AC105" s="269"/>
      <c r="AD105" s="1254"/>
      <c r="AE105" s="1254"/>
      <c r="AF105" s="269"/>
      <c r="AG105" s="1254"/>
      <c r="AH105" s="1254"/>
      <c r="AI105" s="269">
        <v>6.3860000000000001</v>
      </c>
      <c r="AJ105" s="269">
        <v>24.695499999999999</v>
      </c>
      <c r="AK105" s="269">
        <v>64.758499999999998</v>
      </c>
      <c r="AL105" s="1255">
        <v>388.55119999999999</v>
      </c>
      <c r="AM105" s="1255"/>
      <c r="AN105" s="1255"/>
    </row>
    <row r="106" spans="2:40" s="260" customFormat="1" ht="19.5" customHeight="1">
      <c r="B106" s="261"/>
      <c r="C106" s="264" t="s">
        <v>1137</v>
      </c>
      <c r="D106" s="262">
        <v>17</v>
      </c>
      <c r="E106" s="262">
        <v>16</v>
      </c>
      <c r="F106" s="263">
        <v>110.8411</v>
      </c>
      <c r="G106" s="263">
        <v>56</v>
      </c>
      <c r="H106" s="263">
        <v>42.8996</v>
      </c>
      <c r="I106" s="263">
        <v>3.05</v>
      </c>
      <c r="J106" s="263">
        <v>0.54779999999999995</v>
      </c>
      <c r="K106" s="263"/>
      <c r="L106" s="263"/>
      <c r="M106" s="263"/>
      <c r="N106" s="263"/>
      <c r="O106" s="263">
        <v>5.6</v>
      </c>
      <c r="P106" s="263"/>
      <c r="Q106" s="263"/>
      <c r="R106" s="263"/>
      <c r="S106" s="263"/>
      <c r="T106" s="263"/>
      <c r="U106" s="263"/>
      <c r="V106" s="263"/>
      <c r="W106" s="263"/>
      <c r="X106" s="263"/>
      <c r="Y106" s="1251"/>
      <c r="Z106" s="1251"/>
      <c r="AA106" s="263">
        <v>14.89945</v>
      </c>
      <c r="AB106" s="263">
        <v>17.879339999999999</v>
      </c>
      <c r="AC106" s="263"/>
      <c r="AD106" s="1251"/>
      <c r="AE106" s="1251"/>
      <c r="AF106" s="263"/>
      <c r="AG106" s="1251"/>
      <c r="AH106" s="1251"/>
      <c r="AI106" s="263">
        <v>0.92300000000000004</v>
      </c>
      <c r="AJ106" s="263">
        <v>11.9415</v>
      </c>
      <c r="AK106" s="263">
        <v>34.360700000000001</v>
      </c>
      <c r="AL106" s="1252">
        <v>206.1645</v>
      </c>
      <c r="AM106" s="1252"/>
      <c r="AN106" s="1252"/>
    </row>
    <row r="107" spans="2:40" s="260" customFormat="1" ht="19.5" customHeight="1">
      <c r="B107" s="266" t="s">
        <v>999</v>
      </c>
      <c r="C107" s="267" t="s">
        <v>1138</v>
      </c>
      <c r="D107" s="268">
        <v>3</v>
      </c>
      <c r="E107" s="268">
        <v>3</v>
      </c>
      <c r="F107" s="269">
        <v>15.9307</v>
      </c>
      <c r="G107" s="269">
        <v>7.68</v>
      </c>
      <c r="H107" s="269">
        <v>6.4215</v>
      </c>
      <c r="I107" s="269">
        <v>0.45</v>
      </c>
      <c r="J107" s="269"/>
      <c r="K107" s="269"/>
      <c r="L107" s="269"/>
      <c r="M107" s="269"/>
      <c r="N107" s="269"/>
      <c r="O107" s="269">
        <v>1.2</v>
      </c>
      <c r="P107" s="269"/>
      <c r="Q107" s="269"/>
      <c r="R107" s="269"/>
      <c r="S107" s="269"/>
      <c r="T107" s="269"/>
      <c r="U107" s="269"/>
      <c r="V107" s="269"/>
      <c r="W107" s="269"/>
      <c r="X107" s="269"/>
      <c r="Y107" s="1254"/>
      <c r="Z107" s="1254"/>
      <c r="AA107" s="269">
        <v>2.0325000000000002</v>
      </c>
      <c r="AB107" s="269">
        <v>2.4390000000000001</v>
      </c>
      <c r="AC107" s="269"/>
      <c r="AD107" s="1254"/>
      <c r="AE107" s="1254"/>
      <c r="AF107" s="269"/>
      <c r="AG107" s="1254"/>
      <c r="AH107" s="1254"/>
      <c r="AI107" s="269">
        <v>0.3</v>
      </c>
      <c r="AJ107" s="269">
        <v>1.8291999999999999</v>
      </c>
      <c r="AK107" s="269">
        <v>4.9385000000000003</v>
      </c>
      <c r="AL107" s="1255">
        <v>29.6311</v>
      </c>
      <c r="AM107" s="1255"/>
      <c r="AN107" s="1255"/>
    </row>
    <row r="108" spans="2:40" s="260" customFormat="1" ht="19.5" customHeight="1">
      <c r="B108" s="266" t="s">
        <v>1001</v>
      </c>
      <c r="C108" s="267" t="s">
        <v>608</v>
      </c>
      <c r="D108" s="268">
        <v>3</v>
      </c>
      <c r="E108" s="268">
        <v>3</v>
      </c>
      <c r="F108" s="269">
        <v>16.900700000000001</v>
      </c>
      <c r="G108" s="269">
        <v>9.52</v>
      </c>
      <c r="H108" s="269">
        <v>6.5940000000000003</v>
      </c>
      <c r="I108" s="269">
        <v>0.5</v>
      </c>
      <c r="J108" s="269"/>
      <c r="K108" s="269"/>
      <c r="L108" s="269"/>
      <c r="M108" s="269"/>
      <c r="N108" s="269"/>
      <c r="O108" s="269">
        <v>0.4</v>
      </c>
      <c r="P108" s="269"/>
      <c r="Q108" s="269"/>
      <c r="R108" s="269"/>
      <c r="S108" s="269"/>
      <c r="T108" s="269"/>
      <c r="U108" s="269"/>
      <c r="V108" s="269"/>
      <c r="W108" s="269"/>
      <c r="X108" s="269"/>
      <c r="Y108" s="1254"/>
      <c r="Z108" s="1254"/>
      <c r="AA108" s="269">
        <v>2.5049999999999999</v>
      </c>
      <c r="AB108" s="269">
        <v>3.0059999999999998</v>
      </c>
      <c r="AC108" s="269"/>
      <c r="AD108" s="1254"/>
      <c r="AE108" s="1254"/>
      <c r="AF108" s="269"/>
      <c r="AG108" s="1254"/>
      <c r="AH108" s="1254"/>
      <c r="AI108" s="269">
        <v>0.183</v>
      </c>
      <c r="AJ108" s="269">
        <v>0.78669999999999995</v>
      </c>
      <c r="AK108" s="269">
        <v>5.2392000000000003</v>
      </c>
      <c r="AL108" s="1255">
        <v>31.435300000000002</v>
      </c>
      <c r="AM108" s="1255"/>
      <c r="AN108" s="1255"/>
    </row>
    <row r="109" spans="2:40" s="260" customFormat="1" ht="19.5" customHeight="1">
      <c r="B109" s="266" t="s">
        <v>1003</v>
      </c>
      <c r="C109" s="267" t="s">
        <v>1139</v>
      </c>
      <c r="D109" s="268">
        <v>3</v>
      </c>
      <c r="E109" s="268">
        <v>3</v>
      </c>
      <c r="F109" s="269">
        <v>23.165900000000001</v>
      </c>
      <c r="G109" s="269">
        <v>11.59</v>
      </c>
      <c r="H109" s="269">
        <v>8.8219999999999992</v>
      </c>
      <c r="I109" s="269">
        <v>0.65</v>
      </c>
      <c r="J109" s="269"/>
      <c r="K109" s="269"/>
      <c r="L109" s="269"/>
      <c r="M109" s="269"/>
      <c r="N109" s="269"/>
      <c r="O109" s="269">
        <v>1.2</v>
      </c>
      <c r="P109" s="269"/>
      <c r="Q109" s="269"/>
      <c r="R109" s="269"/>
      <c r="S109" s="269"/>
      <c r="T109" s="269"/>
      <c r="U109" s="269"/>
      <c r="V109" s="269"/>
      <c r="W109" s="269"/>
      <c r="X109" s="269"/>
      <c r="Y109" s="1254"/>
      <c r="Z109" s="1254"/>
      <c r="AA109" s="269">
        <v>3.06</v>
      </c>
      <c r="AB109" s="269">
        <v>3.6720000000000002</v>
      </c>
      <c r="AC109" s="269"/>
      <c r="AD109" s="1254"/>
      <c r="AE109" s="1254"/>
      <c r="AF109" s="269"/>
      <c r="AG109" s="1254"/>
      <c r="AH109" s="1254"/>
      <c r="AI109" s="269">
        <v>0.24</v>
      </c>
      <c r="AJ109" s="269">
        <v>2.7538999999999998</v>
      </c>
      <c r="AK109" s="269">
        <v>7.1814</v>
      </c>
      <c r="AL109" s="1255">
        <v>43.0886</v>
      </c>
      <c r="AM109" s="1255"/>
      <c r="AN109" s="1255"/>
    </row>
    <row r="110" spans="2:40" s="260" customFormat="1" ht="19.5" customHeight="1">
      <c r="B110" s="266" t="s">
        <v>1005</v>
      </c>
      <c r="C110" s="267" t="s">
        <v>1140</v>
      </c>
      <c r="D110" s="268">
        <v>3</v>
      </c>
      <c r="E110" s="268">
        <v>2</v>
      </c>
      <c r="F110" s="269">
        <v>18.514500000000002</v>
      </c>
      <c r="G110" s="269">
        <v>9.48</v>
      </c>
      <c r="H110" s="269">
        <v>6.7889999999999997</v>
      </c>
      <c r="I110" s="269">
        <v>0.5</v>
      </c>
      <c r="J110" s="269"/>
      <c r="K110" s="269"/>
      <c r="L110" s="269"/>
      <c r="M110" s="269"/>
      <c r="N110" s="269"/>
      <c r="O110" s="269">
        <v>0.8</v>
      </c>
      <c r="P110" s="269"/>
      <c r="Q110" s="269"/>
      <c r="R110" s="269"/>
      <c r="S110" s="269"/>
      <c r="T110" s="269"/>
      <c r="U110" s="269"/>
      <c r="V110" s="269"/>
      <c r="W110" s="269"/>
      <c r="X110" s="269"/>
      <c r="Y110" s="1254"/>
      <c r="Z110" s="1254"/>
      <c r="AA110" s="269">
        <v>2.4950000000000001</v>
      </c>
      <c r="AB110" s="269">
        <v>2.9940000000000002</v>
      </c>
      <c r="AC110" s="269"/>
      <c r="AD110" s="1254"/>
      <c r="AE110" s="1254"/>
      <c r="AF110" s="269"/>
      <c r="AG110" s="1254"/>
      <c r="AH110" s="1254"/>
      <c r="AI110" s="269"/>
      <c r="AJ110" s="269">
        <v>2.2454999999999998</v>
      </c>
      <c r="AK110" s="269">
        <v>5.7394999999999996</v>
      </c>
      <c r="AL110" s="1255">
        <v>34.436999999999998</v>
      </c>
      <c r="AM110" s="1255"/>
      <c r="AN110" s="1255"/>
    </row>
    <row r="111" spans="2:40" s="260" customFormat="1" ht="19.5" customHeight="1">
      <c r="B111" s="266" t="s">
        <v>1007</v>
      </c>
      <c r="C111" s="267" t="s">
        <v>1141</v>
      </c>
      <c r="D111" s="268">
        <v>5</v>
      </c>
      <c r="E111" s="268">
        <v>5</v>
      </c>
      <c r="F111" s="269">
        <v>36.329300000000003</v>
      </c>
      <c r="G111" s="269">
        <v>17.73</v>
      </c>
      <c r="H111" s="269">
        <v>14.273099999999999</v>
      </c>
      <c r="I111" s="269">
        <v>0.95</v>
      </c>
      <c r="J111" s="269">
        <v>0.54779999999999995</v>
      </c>
      <c r="K111" s="269"/>
      <c r="L111" s="269"/>
      <c r="M111" s="269"/>
      <c r="N111" s="269"/>
      <c r="O111" s="269">
        <v>2</v>
      </c>
      <c r="P111" s="269"/>
      <c r="Q111" s="269"/>
      <c r="R111" s="269"/>
      <c r="S111" s="269"/>
      <c r="T111" s="269"/>
      <c r="U111" s="269"/>
      <c r="V111" s="269"/>
      <c r="W111" s="269"/>
      <c r="X111" s="269"/>
      <c r="Y111" s="1254"/>
      <c r="Z111" s="1254"/>
      <c r="AA111" s="269">
        <v>4.8069499999999996</v>
      </c>
      <c r="AB111" s="269">
        <v>5.7683400000000002</v>
      </c>
      <c r="AC111" s="269"/>
      <c r="AD111" s="1254"/>
      <c r="AE111" s="1254"/>
      <c r="AF111" s="269"/>
      <c r="AG111" s="1254"/>
      <c r="AH111" s="1254"/>
      <c r="AI111" s="269">
        <v>0.2</v>
      </c>
      <c r="AJ111" s="269">
        <v>4.3262</v>
      </c>
      <c r="AK111" s="269">
        <v>11.2621</v>
      </c>
      <c r="AL111" s="1255">
        <v>67.572500000000005</v>
      </c>
      <c r="AM111" s="1255"/>
      <c r="AN111" s="1255"/>
    </row>
    <row r="112" spans="2:40" ht="26.25" hidden="1" customHeight="1">
      <c r="B112" s="270" t="s">
        <v>41</v>
      </c>
      <c r="C112" s="271" t="s">
        <v>1142</v>
      </c>
      <c r="D112" s="272">
        <v>348</v>
      </c>
      <c r="E112" s="272">
        <v>341</v>
      </c>
      <c r="F112" s="273">
        <v>2117.6837</v>
      </c>
      <c r="G112" s="273">
        <v>1091.69</v>
      </c>
      <c r="H112" s="273">
        <v>771.41269999999997</v>
      </c>
      <c r="I112" s="273">
        <v>33.799999999999997</v>
      </c>
      <c r="J112" s="273"/>
      <c r="K112" s="273"/>
      <c r="L112" s="273"/>
      <c r="M112" s="273"/>
      <c r="N112" s="273">
        <v>5.9942000000000002</v>
      </c>
      <c r="O112" s="273">
        <v>200.1</v>
      </c>
      <c r="P112" s="273"/>
      <c r="Q112" s="273"/>
      <c r="R112" s="273"/>
      <c r="S112" s="273"/>
      <c r="T112" s="273"/>
      <c r="U112" s="273"/>
      <c r="V112" s="273"/>
      <c r="W112" s="273">
        <v>86.051000000000002</v>
      </c>
      <c r="X112" s="273"/>
      <c r="Y112" s="1256">
        <v>150.6</v>
      </c>
      <c r="Z112" s="1256"/>
      <c r="AA112" s="273">
        <v>281.3725</v>
      </c>
      <c r="AB112" s="273"/>
      <c r="AC112" s="273"/>
      <c r="AD112" s="1256"/>
      <c r="AE112" s="1256"/>
      <c r="AF112" s="273"/>
      <c r="AG112" s="1256"/>
      <c r="AH112" s="1256"/>
      <c r="AI112" s="273">
        <v>13.494999999999999</v>
      </c>
      <c r="AJ112" s="273">
        <v>254.58099999999999</v>
      </c>
      <c r="AK112" s="273">
        <v>656.4819</v>
      </c>
      <c r="AL112" s="1257">
        <v>3938.8917999999999</v>
      </c>
      <c r="AM112" s="1257"/>
      <c r="AN112" s="1257"/>
    </row>
    <row r="113" spans="2:40" ht="27" hidden="1" customHeight="1">
      <c r="B113" s="270" t="s">
        <v>305</v>
      </c>
      <c r="C113" s="271" t="s">
        <v>1143</v>
      </c>
      <c r="D113" s="272"/>
      <c r="E113" s="272"/>
      <c r="F113" s="273"/>
      <c r="G113" s="273"/>
      <c r="H113" s="273"/>
      <c r="I113" s="273"/>
      <c r="J113" s="273"/>
      <c r="K113" s="273"/>
      <c r="L113" s="273"/>
      <c r="M113" s="273"/>
      <c r="N113" s="273"/>
      <c r="O113" s="273"/>
      <c r="P113" s="273"/>
      <c r="Q113" s="273"/>
      <c r="R113" s="273"/>
      <c r="S113" s="273"/>
      <c r="T113" s="273"/>
      <c r="U113" s="273"/>
      <c r="V113" s="273"/>
      <c r="W113" s="273"/>
      <c r="X113" s="273"/>
      <c r="Y113" s="1256"/>
      <c r="Z113" s="1256"/>
      <c r="AA113" s="273"/>
      <c r="AB113" s="273"/>
      <c r="AC113" s="273"/>
      <c r="AD113" s="1256"/>
      <c r="AE113" s="1256"/>
      <c r="AF113" s="273"/>
      <c r="AG113" s="1256"/>
      <c r="AH113" s="1256"/>
      <c r="AI113" s="273"/>
      <c r="AJ113" s="273"/>
      <c r="AK113" s="273"/>
      <c r="AL113" s="1257"/>
      <c r="AM113" s="1257"/>
      <c r="AN113" s="1257"/>
    </row>
    <row r="114" spans="2:40" ht="26.25" hidden="1" customHeight="1">
      <c r="B114" s="274" t="s">
        <v>1144</v>
      </c>
      <c r="C114" s="275" t="s">
        <v>1145</v>
      </c>
      <c r="D114" s="276"/>
      <c r="E114" s="276"/>
      <c r="F114" s="277"/>
      <c r="G114" s="277"/>
      <c r="H114" s="277"/>
      <c r="I114" s="277"/>
      <c r="J114" s="277"/>
      <c r="K114" s="277"/>
      <c r="L114" s="277"/>
      <c r="M114" s="277"/>
      <c r="N114" s="277"/>
      <c r="O114" s="277"/>
      <c r="P114" s="277"/>
      <c r="Q114" s="277"/>
      <c r="R114" s="277"/>
      <c r="S114" s="277"/>
      <c r="T114" s="277"/>
      <c r="U114" s="277"/>
      <c r="V114" s="277"/>
      <c r="W114" s="277"/>
      <c r="X114" s="277"/>
      <c r="Y114" s="1258"/>
      <c r="Z114" s="1258"/>
      <c r="AA114" s="277"/>
      <c r="AB114" s="277"/>
      <c r="AC114" s="277"/>
      <c r="AD114" s="1258"/>
      <c r="AE114" s="1258"/>
      <c r="AF114" s="277"/>
      <c r="AG114" s="1258"/>
      <c r="AH114" s="1258"/>
      <c r="AI114" s="277"/>
      <c r="AJ114" s="277"/>
      <c r="AK114" s="277"/>
      <c r="AL114" s="1259"/>
      <c r="AM114" s="1259"/>
      <c r="AN114" s="1259"/>
    </row>
    <row r="115" spans="2:40" ht="27" hidden="1" customHeight="1">
      <c r="B115" s="274" t="s">
        <v>1146</v>
      </c>
      <c r="C115" s="275" t="s">
        <v>1147</v>
      </c>
      <c r="D115" s="276"/>
      <c r="E115" s="276"/>
      <c r="F115" s="277"/>
      <c r="G115" s="277"/>
      <c r="H115" s="277"/>
      <c r="I115" s="277"/>
      <c r="J115" s="277"/>
      <c r="K115" s="277"/>
      <c r="L115" s="277"/>
      <c r="M115" s="277"/>
      <c r="N115" s="277"/>
      <c r="O115" s="277"/>
      <c r="P115" s="277"/>
      <c r="Q115" s="277"/>
      <c r="R115" s="277"/>
      <c r="S115" s="277"/>
      <c r="T115" s="277"/>
      <c r="U115" s="277"/>
      <c r="V115" s="277"/>
      <c r="W115" s="277"/>
      <c r="X115" s="277"/>
      <c r="Y115" s="1258"/>
      <c r="Z115" s="1258"/>
      <c r="AA115" s="277"/>
      <c r="AB115" s="277"/>
      <c r="AC115" s="277"/>
      <c r="AD115" s="1258"/>
      <c r="AE115" s="1258"/>
      <c r="AF115" s="277"/>
      <c r="AG115" s="1258"/>
      <c r="AH115" s="1258"/>
      <c r="AI115" s="277"/>
      <c r="AJ115" s="277"/>
      <c r="AK115" s="277"/>
      <c r="AL115" s="1259"/>
      <c r="AM115" s="1259"/>
      <c r="AN115" s="1259"/>
    </row>
    <row r="116" spans="2:40" ht="26.25" hidden="1" customHeight="1">
      <c r="B116" s="270" t="s">
        <v>306</v>
      </c>
      <c r="C116" s="271" t="s">
        <v>1148</v>
      </c>
      <c r="D116" s="272">
        <v>348</v>
      </c>
      <c r="E116" s="272">
        <v>341</v>
      </c>
      <c r="F116" s="273">
        <v>2117.6837</v>
      </c>
      <c r="G116" s="273">
        <v>1091.69</v>
      </c>
      <c r="H116" s="273">
        <v>771.41269999999997</v>
      </c>
      <c r="I116" s="273">
        <v>33.799999999999997</v>
      </c>
      <c r="J116" s="273"/>
      <c r="K116" s="273"/>
      <c r="L116" s="273"/>
      <c r="M116" s="273"/>
      <c r="N116" s="273">
        <v>5.9942000000000002</v>
      </c>
      <c r="O116" s="273">
        <v>200.1</v>
      </c>
      <c r="P116" s="273"/>
      <c r="Q116" s="273"/>
      <c r="R116" s="273"/>
      <c r="S116" s="273"/>
      <c r="T116" s="273"/>
      <c r="U116" s="273"/>
      <c r="V116" s="273"/>
      <c r="W116" s="273">
        <v>86.051000000000002</v>
      </c>
      <c r="X116" s="273"/>
      <c r="Y116" s="1256">
        <v>150.6</v>
      </c>
      <c r="Z116" s="1256"/>
      <c r="AA116" s="273">
        <v>281.3725</v>
      </c>
      <c r="AB116" s="273"/>
      <c r="AC116" s="273"/>
      <c r="AD116" s="1256"/>
      <c r="AE116" s="1256"/>
      <c r="AF116" s="273"/>
      <c r="AG116" s="1256"/>
      <c r="AH116" s="1256"/>
      <c r="AI116" s="273">
        <v>13.494999999999999</v>
      </c>
      <c r="AJ116" s="273">
        <v>254.58099999999999</v>
      </c>
      <c r="AK116" s="273">
        <v>656.4819</v>
      </c>
      <c r="AL116" s="1257">
        <v>3938.8917999999999</v>
      </c>
      <c r="AM116" s="1257"/>
      <c r="AN116" s="1257"/>
    </row>
    <row r="117" spans="2:40" ht="27" hidden="1" customHeight="1">
      <c r="B117" s="274" t="s">
        <v>1144</v>
      </c>
      <c r="C117" s="275" t="s">
        <v>1145</v>
      </c>
      <c r="D117" s="276"/>
      <c r="E117" s="276"/>
      <c r="F117" s="277"/>
      <c r="G117" s="277"/>
      <c r="H117" s="277"/>
      <c r="I117" s="277"/>
      <c r="J117" s="277"/>
      <c r="K117" s="277"/>
      <c r="L117" s="277"/>
      <c r="M117" s="277"/>
      <c r="N117" s="277"/>
      <c r="O117" s="277"/>
      <c r="P117" s="277"/>
      <c r="Q117" s="277"/>
      <c r="R117" s="277"/>
      <c r="S117" s="277"/>
      <c r="T117" s="277"/>
      <c r="U117" s="277"/>
      <c r="V117" s="277"/>
      <c r="W117" s="277"/>
      <c r="X117" s="277"/>
      <c r="Y117" s="1258"/>
      <c r="Z117" s="1258"/>
      <c r="AA117" s="277"/>
      <c r="AB117" s="277"/>
      <c r="AC117" s="277"/>
      <c r="AD117" s="1258"/>
      <c r="AE117" s="1258"/>
      <c r="AF117" s="277"/>
      <c r="AG117" s="1258"/>
      <c r="AH117" s="1258"/>
      <c r="AI117" s="277"/>
      <c r="AJ117" s="277"/>
      <c r="AK117" s="277"/>
      <c r="AL117" s="1259"/>
      <c r="AM117" s="1259"/>
      <c r="AN117" s="1259"/>
    </row>
    <row r="118" spans="2:40" ht="26.25" hidden="1" customHeight="1">
      <c r="B118" s="274" t="s">
        <v>1146</v>
      </c>
      <c r="C118" s="275" t="s">
        <v>1147</v>
      </c>
      <c r="D118" s="276">
        <v>348</v>
      </c>
      <c r="E118" s="276">
        <v>341</v>
      </c>
      <c r="F118" s="277">
        <v>2117.6837</v>
      </c>
      <c r="G118" s="277">
        <v>1091.69</v>
      </c>
      <c r="H118" s="277">
        <v>771.41269999999997</v>
      </c>
      <c r="I118" s="277">
        <v>33.799999999999997</v>
      </c>
      <c r="J118" s="277"/>
      <c r="K118" s="277"/>
      <c r="L118" s="277"/>
      <c r="M118" s="277"/>
      <c r="N118" s="277">
        <v>5.9942000000000002</v>
      </c>
      <c r="O118" s="277">
        <v>200.1</v>
      </c>
      <c r="P118" s="277"/>
      <c r="Q118" s="277"/>
      <c r="R118" s="277"/>
      <c r="S118" s="277"/>
      <c r="T118" s="277"/>
      <c r="U118" s="277"/>
      <c r="V118" s="277"/>
      <c r="W118" s="277">
        <v>86.051000000000002</v>
      </c>
      <c r="X118" s="277"/>
      <c r="Y118" s="1258">
        <v>150.6</v>
      </c>
      <c r="Z118" s="1258"/>
      <c r="AA118" s="277">
        <v>281.3725</v>
      </c>
      <c r="AB118" s="277"/>
      <c r="AC118" s="277"/>
      <c r="AD118" s="1258"/>
      <c r="AE118" s="1258"/>
      <c r="AF118" s="277"/>
      <c r="AG118" s="1258"/>
      <c r="AH118" s="1258"/>
      <c r="AI118" s="277">
        <v>13.494999999999999</v>
      </c>
      <c r="AJ118" s="277">
        <v>254.58099999999999</v>
      </c>
      <c r="AK118" s="277">
        <v>656.4819</v>
      </c>
      <c r="AL118" s="1259">
        <v>3938.8917999999999</v>
      </c>
      <c r="AM118" s="1259"/>
      <c r="AN118" s="1259"/>
    </row>
    <row r="119" spans="2:40" ht="27" hidden="1" customHeight="1">
      <c r="B119" s="278" t="s">
        <v>999</v>
      </c>
      <c r="C119" s="279" t="s">
        <v>840</v>
      </c>
      <c r="D119" s="280">
        <v>20</v>
      </c>
      <c r="E119" s="280">
        <v>20</v>
      </c>
      <c r="F119" s="281">
        <v>101.0017</v>
      </c>
      <c r="G119" s="281">
        <v>59.33</v>
      </c>
      <c r="H119" s="281">
        <v>27.872499999999999</v>
      </c>
      <c r="I119" s="281">
        <v>2</v>
      </c>
      <c r="J119" s="281"/>
      <c r="K119" s="281"/>
      <c r="L119" s="281"/>
      <c r="M119" s="281"/>
      <c r="N119" s="281"/>
      <c r="O119" s="281">
        <v>9.5</v>
      </c>
      <c r="P119" s="281"/>
      <c r="Q119" s="281"/>
      <c r="R119" s="281"/>
      <c r="S119" s="281"/>
      <c r="T119" s="281"/>
      <c r="U119" s="281"/>
      <c r="V119" s="281"/>
      <c r="W119" s="281"/>
      <c r="X119" s="281"/>
      <c r="Y119" s="1260"/>
      <c r="Z119" s="1260"/>
      <c r="AA119" s="281">
        <v>15.3325</v>
      </c>
      <c r="AB119" s="281"/>
      <c r="AC119" s="281"/>
      <c r="AD119" s="1260"/>
      <c r="AE119" s="1260"/>
      <c r="AF119" s="281"/>
      <c r="AG119" s="1260"/>
      <c r="AH119" s="1260"/>
      <c r="AI119" s="281">
        <v>1.04</v>
      </c>
      <c r="AJ119" s="281">
        <v>13.799200000000001</v>
      </c>
      <c r="AK119" s="281">
        <v>31.310500000000001</v>
      </c>
      <c r="AL119" s="1261">
        <v>187.86320000000001</v>
      </c>
      <c r="AM119" s="1261"/>
      <c r="AN119" s="1261"/>
    </row>
    <row r="120" spans="2:40" ht="26.25" hidden="1" customHeight="1">
      <c r="B120" s="278" t="s">
        <v>1001</v>
      </c>
      <c r="C120" s="279" t="s">
        <v>843</v>
      </c>
      <c r="D120" s="280">
        <v>20</v>
      </c>
      <c r="E120" s="280">
        <v>19</v>
      </c>
      <c r="F120" s="281">
        <v>100.3789</v>
      </c>
      <c r="G120" s="281">
        <v>60.63</v>
      </c>
      <c r="H120" s="281">
        <v>25.657499999999999</v>
      </c>
      <c r="I120" s="281">
        <v>2</v>
      </c>
      <c r="J120" s="281"/>
      <c r="K120" s="281"/>
      <c r="L120" s="281"/>
      <c r="M120" s="281"/>
      <c r="N120" s="281"/>
      <c r="O120" s="281">
        <v>7.6</v>
      </c>
      <c r="P120" s="281"/>
      <c r="Q120" s="281"/>
      <c r="R120" s="281"/>
      <c r="S120" s="281"/>
      <c r="T120" s="281"/>
      <c r="U120" s="281"/>
      <c r="V120" s="281"/>
      <c r="W120" s="281"/>
      <c r="X120" s="281"/>
      <c r="Y120" s="1260"/>
      <c r="Z120" s="1260"/>
      <c r="AA120" s="281">
        <v>15.657500000000001</v>
      </c>
      <c r="AB120" s="281"/>
      <c r="AC120" s="281"/>
      <c r="AD120" s="1260"/>
      <c r="AE120" s="1260"/>
      <c r="AF120" s="281"/>
      <c r="AG120" s="1260"/>
      <c r="AH120" s="1260"/>
      <c r="AI120" s="281">
        <v>0.4</v>
      </c>
      <c r="AJ120" s="281">
        <v>14.0914</v>
      </c>
      <c r="AK120" s="281">
        <v>31.1175</v>
      </c>
      <c r="AL120" s="1261">
        <v>186.70480000000001</v>
      </c>
      <c r="AM120" s="1261"/>
      <c r="AN120" s="1261"/>
    </row>
    <row r="121" spans="2:40" ht="26.25" hidden="1" customHeight="1">
      <c r="B121" s="278" t="s">
        <v>1003</v>
      </c>
      <c r="C121" s="279" t="s">
        <v>446</v>
      </c>
      <c r="D121" s="280">
        <v>20</v>
      </c>
      <c r="E121" s="280">
        <v>20</v>
      </c>
      <c r="F121" s="281">
        <v>114.2764</v>
      </c>
      <c r="G121" s="281">
        <v>68.08</v>
      </c>
      <c r="H121" s="281">
        <v>30.353300000000001</v>
      </c>
      <c r="I121" s="281">
        <v>2</v>
      </c>
      <c r="J121" s="281"/>
      <c r="K121" s="281"/>
      <c r="L121" s="281"/>
      <c r="M121" s="281"/>
      <c r="N121" s="281">
        <v>0.33329999999999999</v>
      </c>
      <c r="O121" s="281">
        <v>10</v>
      </c>
      <c r="P121" s="281"/>
      <c r="Q121" s="281"/>
      <c r="R121" s="281"/>
      <c r="S121" s="281"/>
      <c r="T121" s="281"/>
      <c r="U121" s="281"/>
      <c r="V121" s="281"/>
      <c r="W121" s="281"/>
      <c r="X121" s="281"/>
      <c r="Y121" s="1260"/>
      <c r="Z121" s="1260"/>
      <c r="AA121" s="281">
        <v>17.52</v>
      </c>
      <c r="AB121" s="281"/>
      <c r="AC121" s="281"/>
      <c r="AD121" s="1260"/>
      <c r="AE121" s="1260"/>
      <c r="AF121" s="281"/>
      <c r="AG121" s="1260"/>
      <c r="AH121" s="1260"/>
      <c r="AI121" s="281">
        <v>0.5</v>
      </c>
      <c r="AJ121" s="281">
        <v>15.8431</v>
      </c>
      <c r="AK121" s="281">
        <v>35.425699999999999</v>
      </c>
      <c r="AL121" s="1261">
        <v>212.55410000000001</v>
      </c>
      <c r="AM121" s="1261"/>
      <c r="AN121" s="1261"/>
    </row>
    <row r="122" spans="2:40" ht="27" hidden="1" customHeight="1">
      <c r="B122" s="278" t="s">
        <v>1005</v>
      </c>
      <c r="C122" s="279" t="s">
        <v>467</v>
      </c>
      <c r="D122" s="280">
        <v>20</v>
      </c>
      <c r="E122" s="280">
        <v>18</v>
      </c>
      <c r="F122" s="281">
        <v>116.88760000000001</v>
      </c>
      <c r="G122" s="281">
        <v>58.86</v>
      </c>
      <c r="H122" s="281">
        <v>44.334000000000003</v>
      </c>
      <c r="I122" s="281">
        <v>2</v>
      </c>
      <c r="J122" s="281"/>
      <c r="K122" s="281"/>
      <c r="L122" s="281"/>
      <c r="M122" s="281"/>
      <c r="N122" s="281"/>
      <c r="O122" s="281">
        <v>9</v>
      </c>
      <c r="P122" s="281"/>
      <c r="Q122" s="281"/>
      <c r="R122" s="281"/>
      <c r="S122" s="281"/>
      <c r="T122" s="281"/>
      <c r="U122" s="281"/>
      <c r="V122" s="281"/>
      <c r="W122" s="281">
        <v>6.4889999999999999</v>
      </c>
      <c r="X122" s="281"/>
      <c r="Y122" s="1260">
        <v>10.1</v>
      </c>
      <c r="Z122" s="1260"/>
      <c r="AA122" s="281">
        <v>15.215</v>
      </c>
      <c r="AB122" s="281"/>
      <c r="AC122" s="281"/>
      <c r="AD122" s="1260"/>
      <c r="AE122" s="1260"/>
      <c r="AF122" s="281"/>
      <c r="AG122" s="1260"/>
      <c r="AH122" s="1260"/>
      <c r="AI122" s="281">
        <v>1.53</v>
      </c>
      <c r="AJ122" s="281">
        <v>13.6936</v>
      </c>
      <c r="AK122" s="281">
        <v>36.235199999999999</v>
      </c>
      <c r="AL122" s="1261">
        <v>217.4109</v>
      </c>
      <c r="AM122" s="1261"/>
      <c r="AN122" s="1261"/>
    </row>
    <row r="123" spans="2:40" ht="26.25" hidden="1" customHeight="1">
      <c r="B123" s="278" t="s">
        <v>1007</v>
      </c>
      <c r="C123" s="279" t="s">
        <v>472</v>
      </c>
      <c r="D123" s="280">
        <v>21</v>
      </c>
      <c r="E123" s="280">
        <v>21</v>
      </c>
      <c r="F123" s="281">
        <v>118.49809999999999</v>
      </c>
      <c r="G123" s="281">
        <v>69.790000000000006</v>
      </c>
      <c r="H123" s="281">
        <v>32.269500000000001</v>
      </c>
      <c r="I123" s="281">
        <v>2</v>
      </c>
      <c r="J123" s="281"/>
      <c r="K123" s="281"/>
      <c r="L123" s="281"/>
      <c r="M123" s="281"/>
      <c r="N123" s="281">
        <v>1.272</v>
      </c>
      <c r="O123" s="281">
        <v>10.5</v>
      </c>
      <c r="P123" s="281"/>
      <c r="Q123" s="281"/>
      <c r="R123" s="281"/>
      <c r="S123" s="281"/>
      <c r="T123" s="281"/>
      <c r="U123" s="281"/>
      <c r="V123" s="281"/>
      <c r="W123" s="281"/>
      <c r="X123" s="281"/>
      <c r="Y123" s="1260"/>
      <c r="Z123" s="1260"/>
      <c r="AA123" s="281">
        <v>17.947500000000002</v>
      </c>
      <c r="AB123" s="281"/>
      <c r="AC123" s="281"/>
      <c r="AD123" s="1260"/>
      <c r="AE123" s="1260"/>
      <c r="AF123" s="281"/>
      <c r="AG123" s="1260"/>
      <c r="AH123" s="1260"/>
      <c r="AI123" s="281">
        <v>0.55000000000000004</v>
      </c>
      <c r="AJ123" s="281">
        <v>16.438600000000001</v>
      </c>
      <c r="AK123" s="281">
        <v>36.734400000000001</v>
      </c>
      <c r="AL123" s="1261">
        <v>220.40649999999999</v>
      </c>
      <c r="AM123" s="1261"/>
      <c r="AN123" s="1261"/>
    </row>
    <row r="124" spans="2:40" ht="27" hidden="1" customHeight="1">
      <c r="B124" s="278" t="s">
        <v>1009</v>
      </c>
      <c r="C124" s="279" t="s">
        <v>474</v>
      </c>
      <c r="D124" s="280">
        <v>20</v>
      </c>
      <c r="E124" s="280">
        <v>20</v>
      </c>
      <c r="F124" s="281">
        <v>128.0779</v>
      </c>
      <c r="G124" s="281">
        <v>62.97</v>
      </c>
      <c r="H124" s="281">
        <v>50.400300000000001</v>
      </c>
      <c r="I124" s="281">
        <v>2</v>
      </c>
      <c r="J124" s="281"/>
      <c r="K124" s="281"/>
      <c r="L124" s="281"/>
      <c r="M124" s="281"/>
      <c r="N124" s="281">
        <v>0.39779999999999999</v>
      </c>
      <c r="O124" s="281">
        <v>14</v>
      </c>
      <c r="P124" s="281"/>
      <c r="Q124" s="281"/>
      <c r="R124" s="281"/>
      <c r="S124" s="281"/>
      <c r="T124" s="281"/>
      <c r="U124" s="281"/>
      <c r="V124" s="281"/>
      <c r="W124" s="281">
        <v>5.46</v>
      </c>
      <c r="X124" s="281"/>
      <c r="Y124" s="1260">
        <v>11.8</v>
      </c>
      <c r="Z124" s="1260"/>
      <c r="AA124" s="281">
        <v>16.2425</v>
      </c>
      <c r="AB124" s="281"/>
      <c r="AC124" s="281"/>
      <c r="AD124" s="1260"/>
      <c r="AE124" s="1260"/>
      <c r="AF124" s="281"/>
      <c r="AG124" s="1260"/>
      <c r="AH124" s="1260"/>
      <c r="AI124" s="281">
        <v>0.5</v>
      </c>
      <c r="AJ124" s="281">
        <v>14.707599999999999</v>
      </c>
      <c r="AK124" s="281">
        <v>39.704099999999997</v>
      </c>
      <c r="AL124" s="1261">
        <v>238.22489999999999</v>
      </c>
      <c r="AM124" s="1261"/>
      <c r="AN124" s="1261"/>
    </row>
    <row r="125" spans="2:40" ht="26.25" hidden="1" customHeight="1">
      <c r="B125" s="278" t="s">
        <v>1011</v>
      </c>
      <c r="C125" s="279" t="s">
        <v>464</v>
      </c>
      <c r="D125" s="280">
        <v>20</v>
      </c>
      <c r="E125" s="280">
        <v>20</v>
      </c>
      <c r="F125" s="281">
        <v>128.58430000000001</v>
      </c>
      <c r="G125" s="281">
        <v>61.95</v>
      </c>
      <c r="H125" s="281">
        <v>52.177500000000002</v>
      </c>
      <c r="I125" s="281">
        <v>2</v>
      </c>
      <c r="J125" s="281"/>
      <c r="K125" s="281"/>
      <c r="L125" s="281"/>
      <c r="M125" s="281"/>
      <c r="N125" s="281">
        <v>0.30299999999999999</v>
      </c>
      <c r="O125" s="281">
        <v>13.8</v>
      </c>
      <c r="P125" s="281"/>
      <c r="Q125" s="281"/>
      <c r="R125" s="281"/>
      <c r="S125" s="281"/>
      <c r="T125" s="281"/>
      <c r="U125" s="281"/>
      <c r="V125" s="281"/>
      <c r="W125" s="281">
        <v>7.0419999999999998</v>
      </c>
      <c r="X125" s="281"/>
      <c r="Y125" s="1260">
        <v>11.3</v>
      </c>
      <c r="Z125" s="1260"/>
      <c r="AA125" s="281">
        <v>15.987500000000001</v>
      </c>
      <c r="AB125" s="281"/>
      <c r="AC125" s="281"/>
      <c r="AD125" s="1260"/>
      <c r="AE125" s="1260"/>
      <c r="AF125" s="281"/>
      <c r="AG125" s="1260"/>
      <c r="AH125" s="1260"/>
      <c r="AI125" s="281">
        <v>1.7450000000000001</v>
      </c>
      <c r="AJ125" s="281">
        <v>14.456799999999999</v>
      </c>
      <c r="AK125" s="281">
        <v>39.8611</v>
      </c>
      <c r="AL125" s="1261">
        <v>239.16679999999999</v>
      </c>
      <c r="AM125" s="1261"/>
      <c r="AN125" s="1261"/>
    </row>
    <row r="126" spans="2:40" ht="27" hidden="1" customHeight="1">
      <c r="B126" s="278" t="s">
        <v>1013</v>
      </c>
      <c r="C126" s="279" t="s">
        <v>466</v>
      </c>
      <c r="D126" s="280">
        <v>20</v>
      </c>
      <c r="E126" s="280">
        <v>20</v>
      </c>
      <c r="F126" s="281">
        <v>124.7186</v>
      </c>
      <c r="G126" s="281">
        <v>61.71</v>
      </c>
      <c r="H126" s="281">
        <v>48.555100000000003</v>
      </c>
      <c r="I126" s="281">
        <v>2</v>
      </c>
      <c r="J126" s="281"/>
      <c r="K126" s="281"/>
      <c r="L126" s="281"/>
      <c r="M126" s="281"/>
      <c r="N126" s="281">
        <v>0.52859999999999996</v>
      </c>
      <c r="O126" s="281">
        <v>14</v>
      </c>
      <c r="P126" s="281"/>
      <c r="Q126" s="281"/>
      <c r="R126" s="281"/>
      <c r="S126" s="281"/>
      <c r="T126" s="281"/>
      <c r="U126" s="281"/>
      <c r="V126" s="281"/>
      <c r="W126" s="281">
        <v>3.5489999999999999</v>
      </c>
      <c r="X126" s="281"/>
      <c r="Y126" s="1260">
        <v>12.1</v>
      </c>
      <c r="Z126" s="1260"/>
      <c r="AA126" s="281">
        <v>15.9275</v>
      </c>
      <c r="AB126" s="281"/>
      <c r="AC126" s="281"/>
      <c r="AD126" s="1260"/>
      <c r="AE126" s="1260"/>
      <c r="AF126" s="281"/>
      <c r="AG126" s="1260"/>
      <c r="AH126" s="1260"/>
      <c r="AI126" s="281">
        <v>0.45</v>
      </c>
      <c r="AJ126" s="281">
        <v>14.4535</v>
      </c>
      <c r="AK126" s="281">
        <v>38.662799999999997</v>
      </c>
      <c r="AL126" s="1261">
        <v>231.97659999999999</v>
      </c>
      <c r="AM126" s="1261"/>
      <c r="AN126" s="1261"/>
    </row>
    <row r="127" spans="2:40" ht="26.25" hidden="1" customHeight="1">
      <c r="B127" s="278" t="s">
        <v>1015</v>
      </c>
      <c r="C127" s="279" t="s">
        <v>1149</v>
      </c>
      <c r="D127" s="280">
        <v>20</v>
      </c>
      <c r="E127" s="280">
        <v>20</v>
      </c>
      <c r="F127" s="281">
        <v>132.2124</v>
      </c>
      <c r="G127" s="281">
        <v>66.72</v>
      </c>
      <c r="H127" s="281">
        <v>49.855800000000002</v>
      </c>
      <c r="I127" s="281">
        <v>2</v>
      </c>
      <c r="J127" s="281"/>
      <c r="K127" s="281"/>
      <c r="L127" s="281"/>
      <c r="M127" s="281"/>
      <c r="N127" s="281">
        <v>0.77580000000000005</v>
      </c>
      <c r="O127" s="281">
        <v>14</v>
      </c>
      <c r="P127" s="281"/>
      <c r="Q127" s="281"/>
      <c r="R127" s="281"/>
      <c r="S127" s="281"/>
      <c r="T127" s="281"/>
      <c r="U127" s="281"/>
      <c r="V127" s="281"/>
      <c r="W127" s="281"/>
      <c r="X127" s="281"/>
      <c r="Y127" s="1260">
        <v>14.7</v>
      </c>
      <c r="Z127" s="1260"/>
      <c r="AA127" s="281">
        <v>17.18</v>
      </c>
      <c r="AB127" s="281"/>
      <c r="AC127" s="281"/>
      <c r="AD127" s="1260"/>
      <c r="AE127" s="1260"/>
      <c r="AF127" s="281"/>
      <c r="AG127" s="1260"/>
      <c r="AH127" s="1260"/>
      <c r="AI127" s="281">
        <v>1.2</v>
      </c>
      <c r="AJ127" s="281">
        <v>15.6366</v>
      </c>
      <c r="AK127" s="281">
        <v>40.985799999999998</v>
      </c>
      <c r="AL127" s="1261">
        <v>245.9151</v>
      </c>
      <c r="AM127" s="1261"/>
      <c r="AN127" s="1261"/>
    </row>
    <row r="128" spans="2:40" ht="27" hidden="1" customHeight="1">
      <c r="B128" s="278" t="s">
        <v>1017</v>
      </c>
      <c r="C128" s="279" t="s">
        <v>468</v>
      </c>
      <c r="D128" s="280">
        <v>20</v>
      </c>
      <c r="E128" s="280">
        <v>20</v>
      </c>
      <c r="F128" s="281">
        <v>126.83629999999999</v>
      </c>
      <c r="G128" s="281">
        <v>61.85</v>
      </c>
      <c r="H128" s="281">
        <v>50.665500000000002</v>
      </c>
      <c r="I128" s="281">
        <v>1.8</v>
      </c>
      <c r="J128" s="281"/>
      <c r="K128" s="281"/>
      <c r="L128" s="281"/>
      <c r="M128" s="281"/>
      <c r="N128" s="281"/>
      <c r="O128" s="281">
        <v>14</v>
      </c>
      <c r="P128" s="281"/>
      <c r="Q128" s="281"/>
      <c r="R128" s="281"/>
      <c r="S128" s="281"/>
      <c r="T128" s="281"/>
      <c r="U128" s="281"/>
      <c r="V128" s="281"/>
      <c r="W128" s="281">
        <v>8.6029999999999998</v>
      </c>
      <c r="X128" s="281"/>
      <c r="Y128" s="1260">
        <v>9.9</v>
      </c>
      <c r="Z128" s="1260"/>
      <c r="AA128" s="281">
        <v>15.9125</v>
      </c>
      <c r="AB128" s="281"/>
      <c r="AC128" s="281"/>
      <c r="AD128" s="1260"/>
      <c r="AE128" s="1260"/>
      <c r="AF128" s="281"/>
      <c r="AG128" s="1260"/>
      <c r="AH128" s="1260"/>
      <c r="AI128" s="281">
        <v>0.45</v>
      </c>
      <c r="AJ128" s="281">
        <v>14.3208</v>
      </c>
      <c r="AK128" s="281">
        <v>39.319299999999998</v>
      </c>
      <c r="AL128" s="1261">
        <v>235.91550000000001</v>
      </c>
      <c r="AM128" s="1261"/>
      <c r="AN128" s="1261"/>
    </row>
    <row r="129" spans="2:40" ht="26.25" hidden="1" customHeight="1">
      <c r="B129" s="278" t="s">
        <v>1019</v>
      </c>
      <c r="C129" s="279" t="s">
        <v>475</v>
      </c>
      <c r="D129" s="280">
        <v>20</v>
      </c>
      <c r="E129" s="280">
        <v>20</v>
      </c>
      <c r="F129" s="281">
        <v>126.4006</v>
      </c>
      <c r="G129" s="281">
        <v>63.96</v>
      </c>
      <c r="H129" s="281">
        <v>47.6</v>
      </c>
      <c r="I129" s="281">
        <v>2</v>
      </c>
      <c r="J129" s="281"/>
      <c r="K129" s="281"/>
      <c r="L129" s="281"/>
      <c r="M129" s="281"/>
      <c r="N129" s="281"/>
      <c r="O129" s="281">
        <v>10</v>
      </c>
      <c r="P129" s="281"/>
      <c r="Q129" s="281"/>
      <c r="R129" s="281"/>
      <c r="S129" s="281"/>
      <c r="T129" s="281"/>
      <c r="U129" s="281"/>
      <c r="V129" s="281"/>
      <c r="W129" s="281">
        <v>6.51</v>
      </c>
      <c r="X129" s="281"/>
      <c r="Y129" s="1260">
        <v>12.1</v>
      </c>
      <c r="Z129" s="1260"/>
      <c r="AA129" s="281">
        <v>16.489999999999998</v>
      </c>
      <c r="AB129" s="281"/>
      <c r="AC129" s="281"/>
      <c r="AD129" s="1260"/>
      <c r="AE129" s="1260"/>
      <c r="AF129" s="281"/>
      <c r="AG129" s="1260"/>
      <c r="AH129" s="1260"/>
      <c r="AI129" s="281">
        <v>0.5</v>
      </c>
      <c r="AJ129" s="281">
        <v>14.8406</v>
      </c>
      <c r="AK129" s="281">
        <v>39.184199999999997</v>
      </c>
      <c r="AL129" s="1261">
        <v>235.10509999999999</v>
      </c>
      <c r="AM129" s="1261"/>
      <c r="AN129" s="1261"/>
    </row>
    <row r="130" spans="2:40" ht="27" hidden="1" customHeight="1">
      <c r="B130" s="278" t="s">
        <v>1021</v>
      </c>
      <c r="C130" s="279" t="s">
        <v>470</v>
      </c>
      <c r="D130" s="280">
        <v>23</v>
      </c>
      <c r="E130" s="280">
        <v>21</v>
      </c>
      <c r="F130" s="281">
        <v>128.7749</v>
      </c>
      <c r="G130" s="281">
        <v>67.989999999999995</v>
      </c>
      <c r="H130" s="281">
        <v>45.018500000000003</v>
      </c>
      <c r="I130" s="281">
        <v>1.95</v>
      </c>
      <c r="J130" s="281"/>
      <c r="K130" s="281"/>
      <c r="L130" s="281"/>
      <c r="M130" s="281"/>
      <c r="N130" s="281">
        <v>0.13350000000000001</v>
      </c>
      <c r="O130" s="281">
        <v>10.5</v>
      </c>
      <c r="P130" s="281"/>
      <c r="Q130" s="281"/>
      <c r="R130" s="281"/>
      <c r="S130" s="281"/>
      <c r="T130" s="281"/>
      <c r="U130" s="281"/>
      <c r="V130" s="281"/>
      <c r="W130" s="281"/>
      <c r="X130" s="281"/>
      <c r="Y130" s="1260">
        <v>14.5</v>
      </c>
      <c r="Z130" s="1260"/>
      <c r="AA130" s="281">
        <v>17.484999999999999</v>
      </c>
      <c r="AB130" s="281"/>
      <c r="AC130" s="281"/>
      <c r="AD130" s="1260"/>
      <c r="AE130" s="1260"/>
      <c r="AF130" s="281"/>
      <c r="AG130" s="1260"/>
      <c r="AH130" s="1260"/>
      <c r="AI130" s="281">
        <v>0.45</v>
      </c>
      <c r="AJ130" s="281">
        <v>15.766400000000001</v>
      </c>
      <c r="AK130" s="281">
        <v>39.920200000000001</v>
      </c>
      <c r="AL130" s="1261">
        <v>239.5213</v>
      </c>
      <c r="AM130" s="1261"/>
      <c r="AN130" s="1261"/>
    </row>
    <row r="131" spans="2:40" ht="26.25" hidden="1" customHeight="1">
      <c r="B131" s="278" t="s">
        <v>1023</v>
      </c>
      <c r="C131" s="279" t="s">
        <v>471</v>
      </c>
      <c r="D131" s="280">
        <v>22</v>
      </c>
      <c r="E131" s="280">
        <v>22</v>
      </c>
      <c r="F131" s="281">
        <v>152.96420000000001</v>
      </c>
      <c r="G131" s="281">
        <v>68.41</v>
      </c>
      <c r="H131" s="281">
        <v>68.600700000000003</v>
      </c>
      <c r="I131" s="281">
        <v>2.2000000000000002</v>
      </c>
      <c r="J131" s="281"/>
      <c r="K131" s="281"/>
      <c r="L131" s="281"/>
      <c r="M131" s="281"/>
      <c r="N131" s="281">
        <v>0.29520000000000002</v>
      </c>
      <c r="O131" s="281">
        <v>11</v>
      </c>
      <c r="P131" s="281"/>
      <c r="Q131" s="281"/>
      <c r="R131" s="281"/>
      <c r="S131" s="281"/>
      <c r="T131" s="281"/>
      <c r="U131" s="281"/>
      <c r="V131" s="281"/>
      <c r="W131" s="281">
        <v>31.492999999999999</v>
      </c>
      <c r="X131" s="281"/>
      <c r="Y131" s="1260">
        <v>5</v>
      </c>
      <c r="Z131" s="1260"/>
      <c r="AA131" s="281">
        <v>17.6525</v>
      </c>
      <c r="AB131" s="281"/>
      <c r="AC131" s="281"/>
      <c r="AD131" s="1260"/>
      <c r="AE131" s="1260"/>
      <c r="AF131" s="281"/>
      <c r="AG131" s="1260"/>
      <c r="AH131" s="1260"/>
      <c r="AI131" s="281">
        <v>0.96</v>
      </c>
      <c r="AJ131" s="281">
        <v>15.9535</v>
      </c>
      <c r="AK131" s="281">
        <v>47.418900000000001</v>
      </c>
      <c r="AL131" s="1261">
        <v>284.51339999999999</v>
      </c>
      <c r="AM131" s="1261"/>
      <c r="AN131" s="1261"/>
    </row>
    <row r="132" spans="2:40" ht="26.25" hidden="1" customHeight="1">
      <c r="B132" s="278" t="s">
        <v>1025</v>
      </c>
      <c r="C132" s="279" t="s">
        <v>469</v>
      </c>
      <c r="D132" s="280">
        <v>21</v>
      </c>
      <c r="E132" s="280">
        <v>20</v>
      </c>
      <c r="F132" s="281">
        <v>126.1182</v>
      </c>
      <c r="G132" s="281">
        <v>64.510000000000005</v>
      </c>
      <c r="H132" s="281">
        <v>46.558300000000003</v>
      </c>
      <c r="I132" s="281">
        <v>2</v>
      </c>
      <c r="J132" s="281"/>
      <c r="K132" s="281"/>
      <c r="L132" s="281"/>
      <c r="M132" s="281"/>
      <c r="N132" s="281">
        <v>0.38080000000000003</v>
      </c>
      <c r="O132" s="281">
        <v>14</v>
      </c>
      <c r="P132" s="281"/>
      <c r="Q132" s="281"/>
      <c r="R132" s="281"/>
      <c r="S132" s="281"/>
      <c r="T132" s="281"/>
      <c r="U132" s="281"/>
      <c r="V132" s="281"/>
      <c r="W132" s="281"/>
      <c r="X132" s="281"/>
      <c r="Y132" s="1260">
        <v>13.1</v>
      </c>
      <c r="Z132" s="1260"/>
      <c r="AA132" s="281">
        <v>16.627500000000001</v>
      </c>
      <c r="AB132" s="281"/>
      <c r="AC132" s="281"/>
      <c r="AD132" s="1260"/>
      <c r="AE132" s="1260"/>
      <c r="AF132" s="281"/>
      <c r="AG132" s="1260"/>
      <c r="AH132" s="1260"/>
      <c r="AI132" s="281">
        <v>0.45</v>
      </c>
      <c r="AJ132" s="281">
        <v>15.049899999999999</v>
      </c>
      <c r="AK132" s="281">
        <v>39.096600000000002</v>
      </c>
      <c r="AL132" s="1261">
        <v>234.57990000000001</v>
      </c>
      <c r="AM132" s="1261"/>
      <c r="AN132" s="1261"/>
    </row>
    <row r="133" spans="2:40" ht="27" hidden="1" customHeight="1">
      <c r="B133" s="278" t="s">
        <v>1027</v>
      </c>
      <c r="C133" s="279" t="s">
        <v>465</v>
      </c>
      <c r="D133" s="280">
        <v>20</v>
      </c>
      <c r="E133" s="280">
        <v>19</v>
      </c>
      <c r="F133" s="281">
        <v>121.5351</v>
      </c>
      <c r="G133" s="281">
        <v>61.21</v>
      </c>
      <c r="H133" s="281">
        <v>46.137</v>
      </c>
      <c r="I133" s="281">
        <v>1.85</v>
      </c>
      <c r="J133" s="281"/>
      <c r="K133" s="281"/>
      <c r="L133" s="281"/>
      <c r="M133" s="281"/>
      <c r="N133" s="281"/>
      <c r="O133" s="281">
        <v>9.5</v>
      </c>
      <c r="P133" s="281"/>
      <c r="Q133" s="281"/>
      <c r="R133" s="281"/>
      <c r="S133" s="281"/>
      <c r="T133" s="281"/>
      <c r="U133" s="281"/>
      <c r="V133" s="281"/>
      <c r="W133" s="281">
        <v>5.8520000000000003</v>
      </c>
      <c r="X133" s="281"/>
      <c r="Y133" s="1260">
        <v>11.4</v>
      </c>
      <c r="Z133" s="1260"/>
      <c r="AA133" s="281">
        <v>15.765000000000001</v>
      </c>
      <c r="AB133" s="281"/>
      <c r="AC133" s="281"/>
      <c r="AD133" s="1260"/>
      <c r="AE133" s="1260"/>
      <c r="AF133" s="281"/>
      <c r="AG133" s="1260"/>
      <c r="AH133" s="1260"/>
      <c r="AI133" s="281">
        <v>1.77</v>
      </c>
      <c r="AJ133" s="281">
        <v>14.1881</v>
      </c>
      <c r="AK133" s="281">
        <v>37.675899999999999</v>
      </c>
      <c r="AL133" s="1261">
        <v>226.05529999999999</v>
      </c>
      <c r="AM133" s="1261"/>
      <c r="AN133" s="1261"/>
    </row>
    <row r="134" spans="2:40" ht="26.25" hidden="1" customHeight="1">
      <c r="B134" s="278" t="s">
        <v>1029</v>
      </c>
      <c r="C134" s="279" t="s">
        <v>415</v>
      </c>
      <c r="D134" s="280">
        <v>21</v>
      </c>
      <c r="E134" s="280">
        <v>21</v>
      </c>
      <c r="F134" s="281">
        <v>133.2088</v>
      </c>
      <c r="G134" s="281">
        <v>66.28</v>
      </c>
      <c r="H134" s="281">
        <v>51.414000000000001</v>
      </c>
      <c r="I134" s="281">
        <v>2</v>
      </c>
      <c r="J134" s="281"/>
      <c r="K134" s="281"/>
      <c r="L134" s="281"/>
      <c r="M134" s="281"/>
      <c r="N134" s="281">
        <v>0.67500000000000004</v>
      </c>
      <c r="O134" s="281">
        <v>14.7</v>
      </c>
      <c r="P134" s="281"/>
      <c r="Q134" s="281"/>
      <c r="R134" s="281"/>
      <c r="S134" s="281"/>
      <c r="T134" s="281"/>
      <c r="U134" s="281"/>
      <c r="V134" s="281"/>
      <c r="W134" s="281">
        <v>3.9689999999999999</v>
      </c>
      <c r="X134" s="281"/>
      <c r="Y134" s="1260">
        <v>12.5</v>
      </c>
      <c r="Z134" s="1260"/>
      <c r="AA134" s="281">
        <v>17.07</v>
      </c>
      <c r="AB134" s="281"/>
      <c r="AC134" s="281"/>
      <c r="AD134" s="1260"/>
      <c r="AE134" s="1260"/>
      <c r="AF134" s="281"/>
      <c r="AG134" s="1260"/>
      <c r="AH134" s="1260"/>
      <c r="AI134" s="281">
        <v>0.5</v>
      </c>
      <c r="AJ134" s="281">
        <v>15.514799999999999</v>
      </c>
      <c r="AK134" s="281">
        <v>41.294699999999999</v>
      </c>
      <c r="AL134" s="1261">
        <v>247.76840000000001</v>
      </c>
      <c r="AM134" s="1261"/>
      <c r="AN134" s="1261"/>
    </row>
    <row r="135" spans="2:40" ht="27" hidden="1" customHeight="1">
      <c r="B135" s="278" t="s">
        <v>1031</v>
      </c>
      <c r="C135" s="279" t="s">
        <v>414</v>
      </c>
      <c r="D135" s="280">
        <v>20</v>
      </c>
      <c r="E135" s="280">
        <v>20</v>
      </c>
      <c r="F135" s="281">
        <v>137.2097</v>
      </c>
      <c r="G135" s="281">
        <v>67.44</v>
      </c>
      <c r="H135" s="281">
        <v>53.943199999999997</v>
      </c>
      <c r="I135" s="281">
        <v>2</v>
      </c>
      <c r="J135" s="281"/>
      <c r="K135" s="281"/>
      <c r="L135" s="281"/>
      <c r="M135" s="281"/>
      <c r="N135" s="281">
        <v>0.8992</v>
      </c>
      <c r="O135" s="281">
        <v>14</v>
      </c>
      <c r="P135" s="281"/>
      <c r="Q135" s="281"/>
      <c r="R135" s="281"/>
      <c r="S135" s="281"/>
      <c r="T135" s="281"/>
      <c r="U135" s="281"/>
      <c r="V135" s="281"/>
      <c r="W135" s="281">
        <v>7.0839999999999996</v>
      </c>
      <c r="X135" s="281"/>
      <c r="Y135" s="1260">
        <v>12.1</v>
      </c>
      <c r="Z135" s="1260"/>
      <c r="AA135" s="281">
        <v>17.36</v>
      </c>
      <c r="AB135" s="281"/>
      <c r="AC135" s="281"/>
      <c r="AD135" s="1260"/>
      <c r="AE135" s="1260"/>
      <c r="AF135" s="281"/>
      <c r="AG135" s="1260"/>
      <c r="AH135" s="1260"/>
      <c r="AI135" s="281">
        <v>0.5</v>
      </c>
      <c r="AJ135" s="281">
        <v>15.826499999999999</v>
      </c>
      <c r="AK135" s="281">
        <v>42.534999999999997</v>
      </c>
      <c r="AL135" s="1261">
        <v>255.21</v>
      </c>
      <c r="AM135" s="1261"/>
      <c r="AN135" s="1261"/>
    </row>
    <row r="136" spans="2:40" ht="26.25" hidden="1" customHeight="1">
      <c r="B136" s="270" t="s">
        <v>1110</v>
      </c>
      <c r="C136" s="271" t="s">
        <v>1150</v>
      </c>
      <c r="D136" s="272"/>
      <c r="E136" s="272"/>
      <c r="F136" s="273"/>
      <c r="G136" s="273"/>
      <c r="H136" s="273"/>
      <c r="I136" s="273"/>
      <c r="J136" s="273"/>
      <c r="K136" s="273"/>
      <c r="L136" s="273"/>
      <c r="M136" s="273"/>
      <c r="N136" s="273"/>
      <c r="O136" s="273"/>
      <c r="P136" s="273"/>
      <c r="Q136" s="273"/>
      <c r="R136" s="273"/>
      <c r="S136" s="273"/>
      <c r="T136" s="273"/>
      <c r="U136" s="273"/>
      <c r="V136" s="273"/>
      <c r="W136" s="273"/>
      <c r="X136" s="273"/>
      <c r="Y136" s="1256"/>
      <c r="Z136" s="1256"/>
      <c r="AA136" s="273"/>
      <c r="AB136" s="273"/>
      <c r="AC136" s="273"/>
      <c r="AD136" s="1256"/>
      <c r="AE136" s="1256"/>
      <c r="AF136" s="273"/>
      <c r="AG136" s="1256"/>
      <c r="AH136" s="1256"/>
      <c r="AI136" s="273"/>
      <c r="AJ136" s="273"/>
      <c r="AK136" s="273"/>
      <c r="AL136" s="1257"/>
      <c r="AM136" s="1257"/>
      <c r="AN136" s="1257"/>
    </row>
    <row r="137" spans="2:40" ht="27" hidden="1" customHeight="1">
      <c r="B137" s="274" t="s">
        <v>1144</v>
      </c>
      <c r="C137" s="275" t="s">
        <v>1145</v>
      </c>
      <c r="D137" s="276"/>
      <c r="E137" s="276"/>
      <c r="F137" s="277"/>
      <c r="G137" s="277"/>
      <c r="H137" s="277"/>
      <c r="I137" s="277"/>
      <c r="J137" s="277"/>
      <c r="K137" s="277"/>
      <c r="L137" s="277"/>
      <c r="M137" s="277"/>
      <c r="N137" s="277"/>
      <c r="O137" s="277"/>
      <c r="P137" s="277"/>
      <c r="Q137" s="277"/>
      <c r="R137" s="277"/>
      <c r="S137" s="277"/>
      <c r="T137" s="277"/>
      <c r="U137" s="277"/>
      <c r="V137" s="277"/>
      <c r="W137" s="277"/>
      <c r="X137" s="277"/>
      <c r="Y137" s="1258"/>
      <c r="Z137" s="1258"/>
      <c r="AA137" s="277"/>
      <c r="AB137" s="277"/>
      <c r="AC137" s="277"/>
      <c r="AD137" s="1258"/>
      <c r="AE137" s="1258"/>
      <c r="AF137" s="277"/>
      <c r="AG137" s="1258"/>
      <c r="AH137" s="1258"/>
      <c r="AI137" s="277"/>
      <c r="AJ137" s="277"/>
      <c r="AK137" s="277"/>
      <c r="AL137" s="1259"/>
      <c r="AM137" s="1259"/>
      <c r="AN137" s="1259"/>
    </row>
    <row r="138" spans="2:40" ht="26.25" hidden="1" customHeight="1">
      <c r="B138" s="274" t="s">
        <v>1146</v>
      </c>
      <c r="C138" s="275" t="s">
        <v>1147</v>
      </c>
      <c r="D138" s="276"/>
      <c r="E138" s="276"/>
      <c r="F138" s="277"/>
      <c r="G138" s="277"/>
      <c r="H138" s="277"/>
      <c r="I138" s="277"/>
      <c r="J138" s="277"/>
      <c r="K138" s="277"/>
      <c r="L138" s="277"/>
      <c r="M138" s="277"/>
      <c r="N138" s="277"/>
      <c r="O138" s="277"/>
      <c r="P138" s="277"/>
      <c r="Q138" s="277"/>
      <c r="R138" s="277"/>
      <c r="S138" s="277"/>
      <c r="T138" s="277"/>
      <c r="U138" s="277"/>
      <c r="V138" s="277"/>
      <c r="W138" s="277"/>
      <c r="X138" s="277"/>
      <c r="Y138" s="1258"/>
      <c r="Z138" s="1258"/>
      <c r="AA138" s="277"/>
      <c r="AB138" s="277"/>
      <c r="AC138" s="277"/>
      <c r="AD138" s="1258"/>
      <c r="AE138" s="1258"/>
      <c r="AF138" s="277"/>
      <c r="AG138" s="1258"/>
      <c r="AH138" s="1258"/>
      <c r="AI138" s="277"/>
      <c r="AJ138" s="277"/>
      <c r="AK138" s="277"/>
      <c r="AL138" s="1259"/>
      <c r="AM138" s="1259"/>
      <c r="AN138" s="1259"/>
    </row>
    <row r="139" spans="2:40" ht="27" hidden="1" customHeight="1">
      <c r="B139" s="270" t="s">
        <v>42</v>
      </c>
      <c r="C139" s="271" t="s">
        <v>1151</v>
      </c>
      <c r="D139" s="272"/>
      <c r="E139" s="272">
        <v>81</v>
      </c>
      <c r="F139" s="273">
        <v>24.3</v>
      </c>
      <c r="G139" s="273"/>
      <c r="H139" s="273">
        <v>24.3</v>
      </c>
      <c r="I139" s="273"/>
      <c r="J139" s="273"/>
      <c r="K139" s="273"/>
      <c r="L139" s="273"/>
      <c r="M139" s="273"/>
      <c r="N139" s="273"/>
      <c r="O139" s="273"/>
      <c r="P139" s="273"/>
      <c r="Q139" s="273"/>
      <c r="R139" s="273"/>
      <c r="S139" s="273"/>
      <c r="T139" s="273"/>
      <c r="U139" s="273"/>
      <c r="V139" s="273"/>
      <c r="W139" s="273"/>
      <c r="X139" s="273"/>
      <c r="Y139" s="1256"/>
      <c r="Z139" s="1256"/>
      <c r="AA139" s="273"/>
      <c r="AB139" s="273"/>
      <c r="AC139" s="273"/>
      <c r="AD139" s="1256"/>
      <c r="AE139" s="1256"/>
      <c r="AF139" s="273"/>
      <c r="AG139" s="1256"/>
      <c r="AH139" s="1256"/>
      <c r="AI139" s="273">
        <v>24.3</v>
      </c>
      <c r="AJ139" s="273"/>
      <c r="AK139" s="273">
        <v>7.5330000000000004</v>
      </c>
      <c r="AL139" s="1257">
        <v>45.198</v>
      </c>
      <c r="AM139" s="1257"/>
      <c r="AN139" s="1257"/>
    </row>
    <row r="140" spans="2:40" ht="26.25" hidden="1" customHeight="1">
      <c r="B140" s="270"/>
      <c r="C140" s="271" t="s">
        <v>1152</v>
      </c>
      <c r="D140" s="272"/>
      <c r="E140" s="272"/>
      <c r="F140" s="273"/>
      <c r="G140" s="273"/>
      <c r="H140" s="273"/>
      <c r="I140" s="273"/>
      <c r="J140" s="273"/>
      <c r="K140" s="273"/>
      <c r="L140" s="273"/>
      <c r="M140" s="273"/>
      <c r="N140" s="273"/>
      <c r="O140" s="273"/>
      <c r="P140" s="273"/>
      <c r="Q140" s="273"/>
      <c r="R140" s="273"/>
      <c r="S140" s="273"/>
      <c r="T140" s="273"/>
      <c r="U140" s="273"/>
      <c r="V140" s="273"/>
      <c r="W140" s="273"/>
      <c r="X140" s="273"/>
      <c r="Y140" s="1256"/>
      <c r="Z140" s="1256"/>
      <c r="AA140" s="273"/>
      <c r="AB140" s="273"/>
      <c r="AC140" s="273"/>
      <c r="AD140" s="1256"/>
      <c r="AE140" s="1256"/>
      <c r="AF140" s="273"/>
      <c r="AG140" s="1256"/>
      <c r="AH140" s="1256"/>
      <c r="AI140" s="273"/>
      <c r="AJ140" s="273"/>
      <c r="AK140" s="273"/>
      <c r="AL140" s="1257"/>
      <c r="AM140" s="1257"/>
      <c r="AN140" s="1257"/>
    </row>
    <row r="141" spans="2:40" ht="26.25" hidden="1" customHeight="1">
      <c r="B141" s="270"/>
      <c r="C141" s="271" t="s">
        <v>1153</v>
      </c>
      <c r="D141" s="272"/>
      <c r="E141" s="272">
        <v>81</v>
      </c>
      <c r="F141" s="273">
        <v>24.3</v>
      </c>
      <c r="G141" s="273"/>
      <c r="H141" s="273">
        <v>24.3</v>
      </c>
      <c r="I141" s="273"/>
      <c r="J141" s="273"/>
      <c r="K141" s="273"/>
      <c r="L141" s="273"/>
      <c r="M141" s="273"/>
      <c r="N141" s="273"/>
      <c r="O141" s="273"/>
      <c r="P141" s="273"/>
      <c r="Q141" s="273"/>
      <c r="R141" s="273"/>
      <c r="S141" s="273"/>
      <c r="T141" s="273"/>
      <c r="U141" s="273"/>
      <c r="V141" s="273"/>
      <c r="W141" s="273"/>
      <c r="X141" s="273"/>
      <c r="Y141" s="1256"/>
      <c r="Z141" s="1256"/>
      <c r="AA141" s="273"/>
      <c r="AB141" s="273"/>
      <c r="AC141" s="273"/>
      <c r="AD141" s="1256"/>
      <c r="AE141" s="1256"/>
      <c r="AF141" s="273"/>
      <c r="AG141" s="1256"/>
      <c r="AH141" s="1256"/>
      <c r="AI141" s="273">
        <v>24.3</v>
      </c>
      <c r="AJ141" s="273"/>
      <c r="AK141" s="273">
        <v>7.5330000000000004</v>
      </c>
      <c r="AL141" s="1257">
        <v>45.198</v>
      </c>
      <c r="AM141" s="1257"/>
      <c r="AN141" s="1257"/>
    </row>
    <row r="142" spans="2:40" ht="27" hidden="1" customHeight="1">
      <c r="B142" s="278" t="s">
        <v>999</v>
      </c>
      <c r="C142" s="279" t="s">
        <v>843</v>
      </c>
      <c r="D142" s="280"/>
      <c r="E142" s="280">
        <v>5</v>
      </c>
      <c r="F142" s="281">
        <v>1.5</v>
      </c>
      <c r="G142" s="281"/>
      <c r="H142" s="281">
        <v>1.5</v>
      </c>
      <c r="I142" s="281"/>
      <c r="J142" s="281"/>
      <c r="K142" s="281"/>
      <c r="L142" s="281"/>
      <c r="M142" s="281"/>
      <c r="N142" s="281"/>
      <c r="O142" s="281"/>
      <c r="P142" s="281"/>
      <c r="Q142" s="281"/>
      <c r="R142" s="281"/>
      <c r="S142" s="281"/>
      <c r="T142" s="281"/>
      <c r="U142" s="281"/>
      <c r="V142" s="281"/>
      <c r="W142" s="281"/>
      <c r="X142" s="281"/>
      <c r="Y142" s="1260"/>
      <c r="Z142" s="1260"/>
      <c r="AA142" s="281"/>
      <c r="AB142" s="281"/>
      <c r="AC142" s="281"/>
      <c r="AD142" s="1260"/>
      <c r="AE142" s="1260"/>
      <c r="AF142" s="281"/>
      <c r="AG142" s="1260"/>
      <c r="AH142" s="1260"/>
      <c r="AI142" s="281">
        <v>1.5</v>
      </c>
      <c r="AJ142" s="281"/>
      <c r="AK142" s="281">
        <v>0.46500000000000002</v>
      </c>
      <c r="AL142" s="1261">
        <v>2.79</v>
      </c>
      <c r="AM142" s="1261"/>
      <c r="AN142" s="1261"/>
    </row>
    <row r="143" spans="2:40" ht="26.25" hidden="1" customHeight="1">
      <c r="B143" s="278" t="s">
        <v>1001</v>
      </c>
      <c r="C143" s="279" t="s">
        <v>446</v>
      </c>
      <c r="D143" s="280"/>
      <c r="E143" s="280">
        <v>7</v>
      </c>
      <c r="F143" s="281">
        <v>2.1</v>
      </c>
      <c r="G143" s="281"/>
      <c r="H143" s="281">
        <v>2.1</v>
      </c>
      <c r="I143" s="281"/>
      <c r="J143" s="281"/>
      <c r="K143" s="281"/>
      <c r="L143" s="281"/>
      <c r="M143" s="281"/>
      <c r="N143" s="281"/>
      <c r="O143" s="281"/>
      <c r="P143" s="281"/>
      <c r="Q143" s="281"/>
      <c r="R143" s="281"/>
      <c r="S143" s="281"/>
      <c r="T143" s="281"/>
      <c r="U143" s="281"/>
      <c r="V143" s="281"/>
      <c r="W143" s="281"/>
      <c r="X143" s="281"/>
      <c r="Y143" s="1260"/>
      <c r="Z143" s="1260"/>
      <c r="AA143" s="281"/>
      <c r="AB143" s="281"/>
      <c r="AC143" s="281"/>
      <c r="AD143" s="1260"/>
      <c r="AE143" s="1260"/>
      <c r="AF143" s="281"/>
      <c r="AG143" s="1260"/>
      <c r="AH143" s="1260"/>
      <c r="AI143" s="281">
        <v>2.1</v>
      </c>
      <c r="AJ143" s="281"/>
      <c r="AK143" s="281">
        <v>0.65100000000000002</v>
      </c>
      <c r="AL143" s="1261">
        <v>3.9060000000000001</v>
      </c>
      <c r="AM143" s="1261"/>
      <c r="AN143" s="1261"/>
    </row>
    <row r="144" spans="2:40" ht="27" hidden="1" customHeight="1">
      <c r="B144" s="278" t="s">
        <v>1003</v>
      </c>
      <c r="C144" s="279" t="s">
        <v>467</v>
      </c>
      <c r="D144" s="280"/>
      <c r="E144" s="280">
        <v>3</v>
      </c>
      <c r="F144" s="281">
        <v>0.9</v>
      </c>
      <c r="G144" s="281"/>
      <c r="H144" s="281">
        <v>0.9</v>
      </c>
      <c r="I144" s="281"/>
      <c r="J144" s="281"/>
      <c r="K144" s="281"/>
      <c r="L144" s="281"/>
      <c r="M144" s="281"/>
      <c r="N144" s="281"/>
      <c r="O144" s="281"/>
      <c r="P144" s="281"/>
      <c r="Q144" s="281"/>
      <c r="R144" s="281"/>
      <c r="S144" s="281"/>
      <c r="T144" s="281"/>
      <c r="U144" s="281"/>
      <c r="V144" s="281"/>
      <c r="W144" s="281"/>
      <c r="X144" s="281"/>
      <c r="Y144" s="1260"/>
      <c r="Z144" s="1260"/>
      <c r="AA144" s="281"/>
      <c r="AB144" s="281"/>
      <c r="AC144" s="281"/>
      <c r="AD144" s="1260"/>
      <c r="AE144" s="1260"/>
      <c r="AF144" s="281"/>
      <c r="AG144" s="1260"/>
      <c r="AH144" s="1260"/>
      <c r="AI144" s="281">
        <v>0.9</v>
      </c>
      <c r="AJ144" s="281"/>
      <c r="AK144" s="281">
        <v>0.27900000000000003</v>
      </c>
      <c r="AL144" s="1261">
        <v>1.6739999999999999</v>
      </c>
      <c r="AM144" s="1261"/>
      <c r="AN144" s="1261"/>
    </row>
    <row r="145" spans="2:40" ht="26.25" hidden="1" customHeight="1">
      <c r="B145" s="278" t="s">
        <v>1005</v>
      </c>
      <c r="C145" s="279" t="s">
        <v>472</v>
      </c>
      <c r="D145" s="280"/>
      <c r="E145" s="280">
        <v>6</v>
      </c>
      <c r="F145" s="281">
        <v>1.8</v>
      </c>
      <c r="G145" s="281"/>
      <c r="H145" s="281">
        <v>1.8</v>
      </c>
      <c r="I145" s="281"/>
      <c r="J145" s="281"/>
      <c r="K145" s="281"/>
      <c r="L145" s="281"/>
      <c r="M145" s="281"/>
      <c r="N145" s="281"/>
      <c r="O145" s="281"/>
      <c r="P145" s="281"/>
      <c r="Q145" s="281"/>
      <c r="R145" s="281"/>
      <c r="S145" s="281"/>
      <c r="T145" s="281"/>
      <c r="U145" s="281"/>
      <c r="V145" s="281"/>
      <c r="W145" s="281"/>
      <c r="X145" s="281"/>
      <c r="Y145" s="1260"/>
      <c r="Z145" s="1260"/>
      <c r="AA145" s="281"/>
      <c r="AB145" s="281"/>
      <c r="AC145" s="281"/>
      <c r="AD145" s="1260"/>
      <c r="AE145" s="1260"/>
      <c r="AF145" s="281"/>
      <c r="AG145" s="1260"/>
      <c r="AH145" s="1260"/>
      <c r="AI145" s="281">
        <v>1.8</v>
      </c>
      <c r="AJ145" s="281"/>
      <c r="AK145" s="281">
        <v>0.55800000000000005</v>
      </c>
      <c r="AL145" s="1261">
        <v>3.3479999999999999</v>
      </c>
      <c r="AM145" s="1261"/>
      <c r="AN145" s="1261"/>
    </row>
    <row r="146" spans="2:40" ht="27" hidden="1" customHeight="1">
      <c r="B146" s="278" t="s">
        <v>1007</v>
      </c>
      <c r="C146" s="279" t="s">
        <v>1149</v>
      </c>
      <c r="D146" s="280"/>
      <c r="E146" s="280">
        <v>5</v>
      </c>
      <c r="F146" s="281">
        <v>1.5</v>
      </c>
      <c r="G146" s="281"/>
      <c r="H146" s="281">
        <v>1.5</v>
      </c>
      <c r="I146" s="281"/>
      <c r="J146" s="281"/>
      <c r="K146" s="281"/>
      <c r="L146" s="281"/>
      <c r="M146" s="281"/>
      <c r="N146" s="281"/>
      <c r="O146" s="281"/>
      <c r="P146" s="281"/>
      <c r="Q146" s="281"/>
      <c r="R146" s="281"/>
      <c r="S146" s="281"/>
      <c r="T146" s="281"/>
      <c r="U146" s="281"/>
      <c r="V146" s="281"/>
      <c r="W146" s="281"/>
      <c r="X146" s="281"/>
      <c r="Y146" s="1260"/>
      <c r="Z146" s="1260"/>
      <c r="AA146" s="281"/>
      <c r="AB146" s="281"/>
      <c r="AC146" s="281"/>
      <c r="AD146" s="1260"/>
      <c r="AE146" s="1260"/>
      <c r="AF146" s="281"/>
      <c r="AG146" s="1260"/>
      <c r="AH146" s="1260"/>
      <c r="AI146" s="281">
        <v>1.5</v>
      </c>
      <c r="AJ146" s="281"/>
      <c r="AK146" s="281">
        <v>0.46500000000000002</v>
      </c>
      <c r="AL146" s="1261">
        <v>2.79</v>
      </c>
      <c r="AM146" s="1261"/>
      <c r="AN146" s="1261"/>
    </row>
    <row r="147" spans="2:40" ht="26.25" hidden="1" customHeight="1">
      <c r="B147" s="278" t="s">
        <v>1009</v>
      </c>
      <c r="C147" s="279" t="s">
        <v>468</v>
      </c>
      <c r="D147" s="280"/>
      <c r="E147" s="280">
        <v>5</v>
      </c>
      <c r="F147" s="281">
        <v>1.5</v>
      </c>
      <c r="G147" s="281"/>
      <c r="H147" s="281">
        <v>1.5</v>
      </c>
      <c r="I147" s="281"/>
      <c r="J147" s="281"/>
      <c r="K147" s="281"/>
      <c r="L147" s="281"/>
      <c r="M147" s="281"/>
      <c r="N147" s="281"/>
      <c r="O147" s="281"/>
      <c r="P147" s="281"/>
      <c r="Q147" s="281"/>
      <c r="R147" s="281"/>
      <c r="S147" s="281"/>
      <c r="T147" s="281"/>
      <c r="U147" s="281"/>
      <c r="V147" s="281"/>
      <c r="W147" s="281"/>
      <c r="X147" s="281"/>
      <c r="Y147" s="1260"/>
      <c r="Z147" s="1260"/>
      <c r="AA147" s="281"/>
      <c r="AB147" s="281"/>
      <c r="AC147" s="281"/>
      <c r="AD147" s="1260"/>
      <c r="AE147" s="1260"/>
      <c r="AF147" s="281"/>
      <c r="AG147" s="1260"/>
      <c r="AH147" s="1260"/>
      <c r="AI147" s="281">
        <v>1.5</v>
      </c>
      <c r="AJ147" s="281"/>
      <c r="AK147" s="281">
        <v>0.46500000000000002</v>
      </c>
      <c r="AL147" s="1261">
        <v>2.79</v>
      </c>
      <c r="AM147" s="1261"/>
      <c r="AN147" s="1261"/>
    </row>
    <row r="148" spans="2:40" ht="27" hidden="1" customHeight="1">
      <c r="B148" s="278" t="s">
        <v>1011</v>
      </c>
      <c r="C148" s="279" t="s">
        <v>475</v>
      </c>
      <c r="D148" s="280"/>
      <c r="E148" s="280">
        <v>7</v>
      </c>
      <c r="F148" s="281">
        <v>2.1</v>
      </c>
      <c r="G148" s="281"/>
      <c r="H148" s="281">
        <v>2.1</v>
      </c>
      <c r="I148" s="281"/>
      <c r="J148" s="281"/>
      <c r="K148" s="281"/>
      <c r="L148" s="281"/>
      <c r="M148" s="281"/>
      <c r="N148" s="281"/>
      <c r="O148" s="281"/>
      <c r="P148" s="281"/>
      <c r="Q148" s="281"/>
      <c r="R148" s="281"/>
      <c r="S148" s="281"/>
      <c r="T148" s="281"/>
      <c r="U148" s="281"/>
      <c r="V148" s="281"/>
      <c r="W148" s="281"/>
      <c r="X148" s="281"/>
      <c r="Y148" s="1260"/>
      <c r="Z148" s="1260"/>
      <c r="AA148" s="281"/>
      <c r="AB148" s="281"/>
      <c r="AC148" s="281"/>
      <c r="AD148" s="1260"/>
      <c r="AE148" s="1260"/>
      <c r="AF148" s="281"/>
      <c r="AG148" s="1260"/>
      <c r="AH148" s="1260"/>
      <c r="AI148" s="281">
        <v>2.1</v>
      </c>
      <c r="AJ148" s="281"/>
      <c r="AK148" s="281">
        <v>0.65100000000000002</v>
      </c>
      <c r="AL148" s="1261">
        <v>3.9060000000000001</v>
      </c>
      <c r="AM148" s="1261"/>
      <c r="AN148" s="1261"/>
    </row>
    <row r="149" spans="2:40" ht="26.25" hidden="1" customHeight="1">
      <c r="B149" s="278" t="s">
        <v>1013</v>
      </c>
      <c r="C149" s="279" t="s">
        <v>470</v>
      </c>
      <c r="D149" s="280"/>
      <c r="E149" s="280">
        <v>6</v>
      </c>
      <c r="F149" s="281">
        <v>1.8</v>
      </c>
      <c r="G149" s="281"/>
      <c r="H149" s="281">
        <v>1.8</v>
      </c>
      <c r="I149" s="281"/>
      <c r="J149" s="281"/>
      <c r="K149" s="281"/>
      <c r="L149" s="281"/>
      <c r="M149" s="281"/>
      <c r="N149" s="281"/>
      <c r="O149" s="281"/>
      <c r="P149" s="281"/>
      <c r="Q149" s="281"/>
      <c r="R149" s="281"/>
      <c r="S149" s="281"/>
      <c r="T149" s="281"/>
      <c r="U149" s="281"/>
      <c r="V149" s="281"/>
      <c r="W149" s="281"/>
      <c r="X149" s="281"/>
      <c r="Y149" s="1260"/>
      <c r="Z149" s="1260"/>
      <c r="AA149" s="281"/>
      <c r="AB149" s="281"/>
      <c r="AC149" s="281"/>
      <c r="AD149" s="1260"/>
      <c r="AE149" s="1260"/>
      <c r="AF149" s="281"/>
      <c r="AG149" s="1260"/>
      <c r="AH149" s="1260"/>
      <c r="AI149" s="281">
        <v>1.8</v>
      </c>
      <c r="AJ149" s="281"/>
      <c r="AK149" s="281">
        <v>0.55800000000000005</v>
      </c>
      <c r="AL149" s="1261">
        <v>3.3479999999999999</v>
      </c>
      <c r="AM149" s="1261"/>
      <c r="AN149" s="1261"/>
    </row>
    <row r="150" spans="2:40" ht="27" hidden="1" customHeight="1">
      <c r="B150" s="278" t="s">
        <v>1015</v>
      </c>
      <c r="C150" s="279" t="s">
        <v>471</v>
      </c>
      <c r="D150" s="280"/>
      <c r="E150" s="280">
        <v>12</v>
      </c>
      <c r="F150" s="281">
        <v>3.6</v>
      </c>
      <c r="G150" s="281"/>
      <c r="H150" s="281">
        <v>3.6</v>
      </c>
      <c r="I150" s="281"/>
      <c r="J150" s="281"/>
      <c r="K150" s="281"/>
      <c r="L150" s="281"/>
      <c r="M150" s="281"/>
      <c r="N150" s="281"/>
      <c r="O150" s="281"/>
      <c r="P150" s="281"/>
      <c r="Q150" s="281"/>
      <c r="R150" s="281"/>
      <c r="S150" s="281"/>
      <c r="T150" s="281"/>
      <c r="U150" s="281"/>
      <c r="V150" s="281"/>
      <c r="W150" s="281"/>
      <c r="X150" s="281"/>
      <c r="Y150" s="1260"/>
      <c r="Z150" s="1260"/>
      <c r="AA150" s="281"/>
      <c r="AB150" s="281"/>
      <c r="AC150" s="281"/>
      <c r="AD150" s="1260"/>
      <c r="AE150" s="1260"/>
      <c r="AF150" s="281"/>
      <c r="AG150" s="1260"/>
      <c r="AH150" s="1260"/>
      <c r="AI150" s="281">
        <v>3.6</v>
      </c>
      <c r="AJ150" s="281"/>
      <c r="AK150" s="281">
        <v>1.1160000000000001</v>
      </c>
      <c r="AL150" s="1261">
        <v>6.6959999999999997</v>
      </c>
      <c r="AM150" s="1261"/>
      <c r="AN150" s="1261"/>
    </row>
    <row r="151" spans="2:40" ht="26.25" hidden="1" customHeight="1">
      <c r="B151" s="278" t="s">
        <v>1017</v>
      </c>
      <c r="C151" s="279" t="s">
        <v>465</v>
      </c>
      <c r="D151" s="280"/>
      <c r="E151" s="280">
        <v>7</v>
      </c>
      <c r="F151" s="281">
        <v>2.1</v>
      </c>
      <c r="G151" s="281"/>
      <c r="H151" s="281">
        <v>2.1</v>
      </c>
      <c r="I151" s="281"/>
      <c r="J151" s="281"/>
      <c r="K151" s="281"/>
      <c r="L151" s="281"/>
      <c r="M151" s="281"/>
      <c r="N151" s="281"/>
      <c r="O151" s="281"/>
      <c r="P151" s="281"/>
      <c r="Q151" s="281"/>
      <c r="R151" s="281"/>
      <c r="S151" s="281"/>
      <c r="T151" s="281"/>
      <c r="U151" s="281"/>
      <c r="V151" s="281"/>
      <c r="W151" s="281"/>
      <c r="X151" s="281"/>
      <c r="Y151" s="1260"/>
      <c r="Z151" s="1260"/>
      <c r="AA151" s="281"/>
      <c r="AB151" s="281"/>
      <c r="AC151" s="281"/>
      <c r="AD151" s="1260"/>
      <c r="AE151" s="1260"/>
      <c r="AF151" s="281"/>
      <c r="AG151" s="1260"/>
      <c r="AH151" s="1260"/>
      <c r="AI151" s="281">
        <v>2.1</v>
      </c>
      <c r="AJ151" s="281"/>
      <c r="AK151" s="281">
        <v>0.65100000000000002</v>
      </c>
      <c r="AL151" s="1261">
        <v>3.9060000000000001</v>
      </c>
      <c r="AM151" s="1261"/>
      <c r="AN151" s="1261"/>
    </row>
    <row r="152" spans="2:40" ht="26.25" hidden="1" customHeight="1">
      <c r="B152" s="278" t="s">
        <v>1019</v>
      </c>
      <c r="C152" s="279" t="s">
        <v>415</v>
      </c>
      <c r="D152" s="280"/>
      <c r="E152" s="280">
        <v>9</v>
      </c>
      <c r="F152" s="281">
        <v>2.7</v>
      </c>
      <c r="G152" s="281"/>
      <c r="H152" s="281">
        <v>2.7</v>
      </c>
      <c r="I152" s="281"/>
      <c r="J152" s="281"/>
      <c r="K152" s="281"/>
      <c r="L152" s="281"/>
      <c r="M152" s="281"/>
      <c r="N152" s="281"/>
      <c r="O152" s="281"/>
      <c r="P152" s="281"/>
      <c r="Q152" s="281"/>
      <c r="R152" s="281"/>
      <c r="S152" s="281"/>
      <c r="T152" s="281"/>
      <c r="U152" s="281"/>
      <c r="V152" s="281"/>
      <c r="W152" s="281"/>
      <c r="X152" s="281"/>
      <c r="Y152" s="1260"/>
      <c r="Z152" s="1260"/>
      <c r="AA152" s="281"/>
      <c r="AB152" s="281"/>
      <c r="AC152" s="281"/>
      <c r="AD152" s="1260"/>
      <c r="AE152" s="1260"/>
      <c r="AF152" s="281"/>
      <c r="AG152" s="1260"/>
      <c r="AH152" s="1260"/>
      <c r="AI152" s="281">
        <v>2.7</v>
      </c>
      <c r="AJ152" s="281"/>
      <c r="AK152" s="281">
        <v>0.83699999999999997</v>
      </c>
      <c r="AL152" s="1261">
        <v>5.0220000000000002</v>
      </c>
      <c r="AM152" s="1261"/>
      <c r="AN152" s="1261"/>
    </row>
    <row r="153" spans="2:40" ht="27" hidden="1" customHeight="1">
      <c r="B153" s="278" t="s">
        <v>1021</v>
      </c>
      <c r="C153" s="279" t="s">
        <v>414</v>
      </c>
      <c r="D153" s="280"/>
      <c r="E153" s="280">
        <v>9</v>
      </c>
      <c r="F153" s="281">
        <v>2.7</v>
      </c>
      <c r="G153" s="281"/>
      <c r="H153" s="281">
        <v>2.7</v>
      </c>
      <c r="I153" s="281"/>
      <c r="J153" s="281"/>
      <c r="K153" s="281"/>
      <c r="L153" s="281"/>
      <c r="M153" s="281"/>
      <c r="N153" s="281"/>
      <c r="O153" s="281"/>
      <c r="P153" s="281"/>
      <c r="Q153" s="281"/>
      <c r="R153" s="281"/>
      <c r="S153" s="281"/>
      <c r="T153" s="281"/>
      <c r="U153" s="281"/>
      <c r="V153" s="281"/>
      <c r="W153" s="281"/>
      <c r="X153" s="281"/>
      <c r="Y153" s="1260"/>
      <c r="Z153" s="1260"/>
      <c r="AA153" s="281"/>
      <c r="AB153" s="281"/>
      <c r="AC153" s="281"/>
      <c r="AD153" s="1260"/>
      <c r="AE153" s="1260"/>
      <c r="AF153" s="281"/>
      <c r="AG153" s="1260"/>
      <c r="AH153" s="1260"/>
      <c r="AI153" s="281">
        <v>2.7</v>
      </c>
      <c r="AJ153" s="281"/>
      <c r="AK153" s="281">
        <v>0.83699999999999997</v>
      </c>
      <c r="AL153" s="1261">
        <v>5.0220000000000002</v>
      </c>
      <c r="AM153" s="1261"/>
      <c r="AN153" s="1261"/>
    </row>
    <row r="154" spans="2:40" ht="26.25" hidden="1" customHeight="1">
      <c r="B154" s="270" t="s">
        <v>173</v>
      </c>
      <c r="C154" s="271" t="s">
        <v>1154</v>
      </c>
      <c r="D154" s="272"/>
      <c r="E154" s="272">
        <v>81</v>
      </c>
      <c r="F154" s="273">
        <v>24.3</v>
      </c>
      <c r="G154" s="273"/>
      <c r="H154" s="273">
        <v>24.3</v>
      </c>
      <c r="I154" s="273"/>
      <c r="J154" s="273"/>
      <c r="K154" s="273"/>
      <c r="L154" s="273"/>
      <c r="M154" s="273"/>
      <c r="N154" s="273"/>
      <c r="O154" s="273"/>
      <c r="P154" s="273"/>
      <c r="Q154" s="273"/>
      <c r="R154" s="273"/>
      <c r="S154" s="273"/>
      <c r="T154" s="273"/>
      <c r="U154" s="273"/>
      <c r="V154" s="273"/>
      <c r="W154" s="273"/>
      <c r="X154" s="273"/>
      <c r="Y154" s="1256"/>
      <c r="Z154" s="1256"/>
      <c r="AA154" s="273"/>
      <c r="AB154" s="273"/>
      <c r="AC154" s="273"/>
      <c r="AD154" s="1256">
        <v>24.3</v>
      </c>
      <c r="AE154" s="1256"/>
      <c r="AF154" s="273"/>
      <c r="AG154" s="1256"/>
      <c r="AH154" s="1256"/>
      <c r="AI154" s="273"/>
      <c r="AJ154" s="273"/>
      <c r="AK154" s="273">
        <v>7.5330000000000004</v>
      </c>
      <c r="AL154" s="1257">
        <v>45.198</v>
      </c>
      <c r="AM154" s="1257"/>
      <c r="AN154" s="1257"/>
    </row>
    <row r="155" spans="2:40" ht="27" hidden="1" customHeight="1">
      <c r="B155" s="270"/>
      <c r="C155" s="271" t="s">
        <v>1155</v>
      </c>
      <c r="D155" s="272"/>
      <c r="E155" s="272"/>
      <c r="F155" s="273"/>
      <c r="G155" s="273"/>
      <c r="H155" s="273"/>
      <c r="I155" s="273"/>
      <c r="J155" s="273"/>
      <c r="K155" s="273"/>
      <c r="L155" s="273"/>
      <c r="M155" s="273"/>
      <c r="N155" s="273"/>
      <c r="O155" s="273"/>
      <c r="P155" s="273"/>
      <c r="Q155" s="273"/>
      <c r="R155" s="273"/>
      <c r="S155" s="273"/>
      <c r="T155" s="273"/>
      <c r="U155" s="273"/>
      <c r="V155" s="273"/>
      <c r="W155" s="273"/>
      <c r="X155" s="273"/>
      <c r="Y155" s="1256"/>
      <c r="Z155" s="1256"/>
      <c r="AA155" s="273"/>
      <c r="AB155" s="273"/>
      <c r="AC155" s="273"/>
      <c r="AD155" s="1256"/>
      <c r="AE155" s="1256"/>
      <c r="AF155" s="273"/>
      <c r="AG155" s="1256"/>
      <c r="AH155" s="1256"/>
      <c r="AI155" s="273"/>
      <c r="AJ155" s="273"/>
      <c r="AK155" s="273"/>
      <c r="AL155" s="1257"/>
      <c r="AM155" s="1257"/>
      <c r="AN155" s="1257"/>
    </row>
    <row r="156" spans="2:40" ht="26.25" hidden="1" customHeight="1">
      <c r="B156" s="270"/>
      <c r="C156" s="271" t="s">
        <v>1156</v>
      </c>
      <c r="D156" s="272"/>
      <c r="E156" s="272">
        <v>81</v>
      </c>
      <c r="F156" s="273">
        <v>24.3</v>
      </c>
      <c r="G156" s="273"/>
      <c r="H156" s="273">
        <v>24.3</v>
      </c>
      <c r="I156" s="273"/>
      <c r="J156" s="273"/>
      <c r="K156" s="273"/>
      <c r="L156" s="273"/>
      <c r="M156" s="273"/>
      <c r="N156" s="273"/>
      <c r="O156" s="273"/>
      <c r="P156" s="273"/>
      <c r="Q156" s="273"/>
      <c r="R156" s="273"/>
      <c r="S156" s="273"/>
      <c r="T156" s="273"/>
      <c r="U156" s="273"/>
      <c r="V156" s="273"/>
      <c r="W156" s="273"/>
      <c r="X156" s="273"/>
      <c r="Y156" s="1256"/>
      <c r="Z156" s="1256"/>
      <c r="AA156" s="273"/>
      <c r="AB156" s="273"/>
      <c r="AC156" s="273"/>
      <c r="AD156" s="1256">
        <v>24.3</v>
      </c>
      <c r="AE156" s="1256"/>
      <c r="AF156" s="273"/>
      <c r="AG156" s="1256"/>
      <c r="AH156" s="1256"/>
      <c r="AI156" s="273"/>
      <c r="AJ156" s="273"/>
      <c r="AK156" s="273">
        <v>7.5330000000000004</v>
      </c>
      <c r="AL156" s="1257">
        <v>45.198</v>
      </c>
      <c r="AM156" s="1257"/>
      <c r="AN156" s="1257"/>
    </row>
    <row r="157" spans="2:40" ht="27" hidden="1" customHeight="1">
      <c r="B157" s="278" t="s">
        <v>999</v>
      </c>
      <c r="C157" s="279" t="s">
        <v>843</v>
      </c>
      <c r="D157" s="280"/>
      <c r="E157" s="280">
        <v>11</v>
      </c>
      <c r="F157" s="281">
        <v>3.3</v>
      </c>
      <c r="G157" s="281"/>
      <c r="H157" s="281">
        <v>3.3</v>
      </c>
      <c r="I157" s="281"/>
      <c r="J157" s="281"/>
      <c r="K157" s="281"/>
      <c r="L157" s="281"/>
      <c r="M157" s="281"/>
      <c r="N157" s="281"/>
      <c r="O157" s="281"/>
      <c r="P157" s="281"/>
      <c r="Q157" s="281"/>
      <c r="R157" s="281"/>
      <c r="S157" s="281"/>
      <c r="T157" s="281"/>
      <c r="U157" s="281"/>
      <c r="V157" s="281"/>
      <c r="W157" s="281"/>
      <c r="X157" s="281"/>
      <c r="Y157" s="1260"/>
      <c r="Z157" s="1260"/>
      <c r="AA157" s="281"/>
      <c r="AB157" s="281"/>
      <c r="AC157" s="281"/>
      <c r="AD157" s="1260">
        <v>3.3</v>
      </c>
      <c r="AE157" s="1260"/>
      <c r="AF157" s="281"/>
      <c r="AG157" s="1260"/>
      <c r="AH157" s="1260"/>
      <c r="AI157" s="281"/>
      <c r="AJ157" s="281"/>
      <c r="AK157" s="281">
        <v>1.0229999999999999</v>
      </c>
      <c r="AL157" s="1261">
        <v>6.1379999999999999</v>
      </c>
      <c r="AM157" s="1261"/>
      <c r="AN157" s="1261"/>
    </row>
    <row r="158" spans="2:40" ht="26.25" hidden="1" customHeight="1">
      <c r="B158" s="278" t="s">
        <v>1001</v>
      </c>
      <c r="C158" s="279" t="s">
        <v>446</v>
      </c>
      <c r="D158" s="280"/>
      <c r="E158" s="280">
        <v>8</v>
      </c>
      <c r="F158" s="281">
        <v>2.4</v>
      </c>
      <c r="G158" s="281"/>
      <c r="H158" s="281">
        <v>2.4</v>
      </c>
      <c r="I158" s="281"/>
      <c r="J158" s="281"/>
      <c r="K158" s="281"/>
      <c r="L158" s="281"/>
      <c r="M158" s="281"/>
      <c r="N158" s="281"/>
      <c r="O158" s="281"/>
      <c r="P158" s="281"/>
      <c r="Q158" s="281"/>
      <c r="R158" s="281"/>
      <c r="S158" s="281"/>
      <c r="T158" s="281"/>
      <c r="U158" s="281"/>
      <c r="V158" s="281"/>
      <c r="W158" s="281"/>
      <c r="X158" s="281"/>
      <c r="Y158" s="1260"/>
      <c r="Z158" s="1260"/>
      <c r="AA158" s="281"/>
      <c r="AB158" s="281"/>
      <c r="AC158" s="281"/>
      <c r="AD158" s="1260">
        <v>2.4</v>
      </c>
      <c r="AE158" s="1260"/>
      <c r="AF158" s="281"/>
      <c r="AG158" s="1260"/>
      <c r="AH158" s="1260"/>
      <c r="AI158" s="281"/>
      <c r="AJ158" s="281"/>
      <c r="AK158" s="281">
        <v>0.74399999999999999</v>
      </c>
      <c r="AL158" s="1261">
        <v>4.4640000000000004</v>
      </c>
      <c r="AM158" s="1261"/>
      <c r="AN158" s="1261"/>
    </row>
    <row r="159" spans="2:40" ht="27" hidden="1" customHeight="1">
      <c r="B159" s="278" t="s">
        <v>1003</v>
      </c>
      <c r="C159" s="279" t="s">
        <v>472</v>
      </c>
      <c r="D159" s="280"/>
      <c r="E159" s="280">
        <v>9</v>
      </c>
      <c r="F159" s="281">
        <v>2.7</v>
      </c>
      <c r="G159" s="281"/>
      <c r="H159" s="281">
        <v>2.7</v>
      </c>
      <c r="I159" s="281"/>
      <c r="J159" s="281"/>
      <c r="K159" s="281"/>
      <c r="L159" s="281"/>
      <c r="M159" s="281"/>
      <c r="N159" s="281"/>
      <c r="O159" s="281"/>
      <c r="P159" s="281"/>
      <c r="Q159" s="281"/>
      <c r="R159" s="281"/>
      <c r="S159" s="281"/>
      <c r="T159" s="281"/>
      <c r="U159" s="281"/>
      <c r="V159" s="281"/>
      <c r="W159" s="281"/>
      <c r="X159" s="281"/>
      <c r="Y159" s="1260"/>
      <c r="Z159" s="1260"/>
      <c r="AA159" s="281"/>
      <c r="AB159" s="281"/>
      <c r="AC159" s="281"/>
      <c r="AD159" s="1260">
        <v>2.7</v>
      </c>
      <c r="AE159" s="1260"/>
      <c r="AF159" s="281"/>
      <c r="AG159" s="1260"/>
      <c r="AH159" s="1260"/>
      <c r="AI159" s="281"/>
      <c r="AJ159" s="281"/>
      <c r="AK159" s="281">
        <v>0.83699999999999997</v>
      </c>
      <c r="AL159" s="1261">
        <v>5.0220000000000002</v>
      </c>
      <c r="AM159" s="1261"/>
      <c r="AN159" s="1261"/>
    </row>
    <row r="160" spans="2:40" ht="26.25" hidden="1" customHeight="1">
      <c r="B160" s="278" t="s">
        <v>1005</v>
      </c>
      <c r="C160" s="279" t="s">
        <v>1149</v>
      </c>
      <c r="D160" s="280"/>
      <c r="E160" s="280">
        <v>7</v>
      </c>
      <c r="F160" s="281">
        <v>2.1</v>
      </c>
      <c r="G160" s="281"/>
      <c r="H160" s="281">
        <v>2.1</v>
      </c>
      <c r="I160" s="281"/>
      <c r="J160" s="281"/>
      <c r="K160" s="281"/>
      <c r="L160" s="281"/>
      <c r="M160" s="281"/>
      <c r="N160" s="281"/>
      <c r="O160" s="281"/>
      <c r="P160" s="281"/>
      <c r="Q160" s="281"/>
      <c r="R160" s="281"/>
      <c r="S160" s="281"/>
      <c r="T160" s="281"/>
      <c r="U160" s="281"/>
      <c r="V160" s="281"/>
      <c r="W160" s="281"/>
      <c r="X160" s="281"/>
      <c r="Y160" s="1260"/>
      <c r="Z160" s="1260"/>
      <c r="AA160" s="281"/>
      <c r="AB160" s="281"/>
      <c r="AC160" s="281"/>
      <c r="AD160" s="1260">
        <v>2.1</v>
      </c>
      <c r="AE160" s="1260"/>
      <c r="AF160" s="281"/>
      <c r="AG160" s="1260"/>
      <c r="AH160" s="1260"/>
      <c r="AI160" s="281"/>
      <c r="AJ160" s="281"/>
      <c r="AK160" s="281">
        <v>0.65100000000000002</v>
      </c>
      <c r="AL160" s="1261">
        <v>3.9060000000000001</v>
      </c>
      <c r="AM160" s="1261"/>
      <c r="AN160" s="1261"/>
    </row>
    <row r="161" spans="2:40" ht="26.25" hidden="1" customHeight="1">
      <c r="B161" s="278" t="s">
        <v>1007</v>
      </c>
      <c r="C161" s="279" t="s">
        <v>468</v>
      </c>
      <c r="D161" s="280"/>
      <c r="E161" s="280">
        <v>4</v>
      </c>
      <c r="F161" s="281">
        <v>1.2</v>
      </c>
      <c r="G161" s="281"/>
      <c r="H161" s="281">
        <v>1.2</v>
      </c>
      <c r="I161" s="281"/>
      <c r="J161" s="281"/>
      <c r="K161" s="281"/>
      <c r="L161" s="281"/>
      <c r="M161" s="281"/>
      <c r="N161" s="281"/>
      <c r="O161" s="281"/>
      <c r="P161" s="281"/>
      <c r="Q161" s="281"/>
      <c r="R161" s="281"/>
      <c r="S161" s="281"/>
      <c r="T161" s="281"/>
      <c r="U161" s="281"/>
      <c r="V161" s="281"/>
      <c r="W161" s="281"/>
      <c r="X161" s="281"/>
      <c r="Y161" s="1260"/>
      <c r="Z161" s="1260"/>
      <c r="AA161" s="281"/>
      <c r="AB161" s="281"/>
      <c r="AC161" s="281"/>
      <c r="AD161" s="1260">
        <v>1.2</v>
      </c>
      <c r="AE161" s="1260"/>
      <c r="AF161" s="281"/>
      <c r="AG161" s="1260"/>
      <c r="AH161" s="1260"/>
      <c r="AI161" s="281"/>
      <c r="AJ161" s="281"/>
      <c r="AK161" s="281">
        <v>0.372</v>
      </c>
      <c r="AL161" s="1261">
        <v>2.2320000000000002</v>
      </c>
      <c r="AM161" s="1261"/>
      <c r="AN161" s="1261"/>
    </row>
    <row r="162" spans="2:40" ht="27" hidden="1" customHeight="1">
      <c r="B162" s="278" t="s">
        <v>1009</v>
      </c>
      <c r="C162" s="279" t="s">
        <v>475</v>
      </c>
      <c r="D162" s="280"/>
      <c r="E162" s="280">
        <v>8</v>
      </c>
      <c r="F162" s="281">
        <v>2.4</v>
      </c>
      <c r="G162" s="281"/>
      <c r="H162" s="281">
        <v>2.4</v>
      </c>
      <c r="I162" s="281"/>
      <c r="J162" s="281"/>
      <c r="K162" s="281"/>
      <c r="L162" s="281"/>
      <c r="M162" s="281"/>
      <c r="N162" s="281"/>
      <c r="O162" s="281"/>
      <c r="P162" s="281"/>
      <c r="Q162" s="281"/>
      <c r="R162" s="281"/>
      <c r="S162" s="281"/>
      <c r="T162" s="281"/>
      <c r="U162" s="281"/>
      <c r="V162" s="281"/>
      <c r="W162" s="281"/>
      <c r="X162" s="281"/>
      <c r="Y162" s="1260"/>
      <c r="Z162" s="1260"/>
      <c r="AA162" s="281"/>
      <c r="AB162" s="281"/>
      <c r="AC162" s="281"/>
      <c r="AD162" s="1260">
        <v>2.4</v>
      </c>
      <c r="AE162" s="1260"/>
      <c r="AF162" s="281"/>
      <c r="AG162" s="1260"/>
      <c r="AH162" s="1260"/>
      <c r="AI162" s="281"/>
      <c r="AJ162" s="281"/>
      <c r="AK162" s="281">
        <v>0.74399999999999999</v>
      </c>
      <c r="AL162" s="1261">
        <v>4.4640000000000004</v>
      </c>
      <c r="AM162" s="1261"/>
      <c r="AN162" s="1261"/>
    </row>
    <row r="163" spans="2:40" ht="26.25" hidden="1" customHeight="1">
      <c r="B163" s="278" t="s">
        <v>1011</v>
      </c>
      <c r="C163" s="279" t="s">
        <v>470</v>
      </c>
      <c r="D163" s="280"/>
      <c r="E163" s="280">
        <v>10</v>
      </c>
      <c r="F163" s="281">
        <v>3</v>
      </c>
      <c r="G163" s="281"/>
      <c r="H163" s="281">
        <v>3</v>
      </c>
      <c r="I163" s="281"/>
      <c r="J163" s="281"/>
      <c r="K163" s="281"/>
      <c r="L163" s="281"/>
      <c r="M163" s="281"/>
      <c r="N163" s="281"/>
      <c r="O163" s="281"/>
      <c r="P163" s="281"/>
      <c r="Q163" s="281"/>
      <c r="R163" s="281"/>
      <c r="S163" s="281"/>
      <c r="T163" s="281"/>
      <c r="U163" s="281"/>
      <c r="V163" s="281"/>
      <c r="W163" s="281"/>
      <c r="X163" s="281"/>
      <c r="Y163" s="1260"/>
      <c r="Z163" s="1260"/>
      <c r="AA163" s="281"/>
      <c r="AB163" s="281"/>
      <c r="AC163" s="281"/>
      <c r="AD163" s="1260">
        <v>3</v>
      </c>
      <c r="AE163" s="1260"/>
      <c r="AF163" s="281"/>
      <c r="AG163" s="1260"/>
      <c r="AH163" s="1260"/>
      <c r="AI163" s="281"/>
      <c r="AJ163" s="281"/>
      <c r="AK163" s="281">
        <v>0.93</v>
      </c>
      <c r="AL163" s="1261">
        <v>5.58</v>
      </c>
      <c r="AM163" s="1261"/>
      <c r="AN163" s="1261"/>
    </row>
    <row r="164" spans="2:40" ht="27" hidden="1" customHeight="1">
      <c r="B164" s="278" t="s">
        <v>1013</v>
      </c>
      <c r="C164" s="279" t="s">
        <v>471</v>
      </c>
      <c r="D164" s="280"/>
      <c r="E164" s="280">
        <v>10</v>
      </c>
      <c r="F164" s="281">
        <v>3</v>
      </c>
      <c r="G164" s="281"/>
      <c r="H164" s="281">
        <v>3</v>
      </c>
      <c r="I164" s="281"/>
      <c r="J164" s="281"/>
      <c r="K164" s="281"/>
      <c r="L164" s="281"/>
      <c r="M164" s="281"/>
      <c r="N164" s="281"/>
      <c r="O164" s="281"/>
      <c r="P164" s="281"/>
      <c r="Q164" s="281"/>
      <c r="R164" s="281"/>
      <c r="S164" s="281"/>
      <c r="T164" s="281"/>
      <c r="U164" s="281"/>
      <c r="V164" s="281"/>
      <c r="W164" s="281"/>
      <c r="X164" s="281"/>
      <c r="Y164" s="1260"/>
      <c r="Z164" s="1260"/>
      <c r="AA164" s="281"/>
      <c r="AB164" s="281"/>
      <c r="AC164" s="281"/>
      <c r="AD164" s="1260">
        <v>3</v>
      </c>
      <c r="AE164" s="1260"/>
      <c r="AF164" s="281"/>
      <c r="AG164" s="1260"/>
      <c r="AH164" s="1260"/>
      <c r="AI164" s="281"/>
      <c r="AJ164" s="281"/>
      <c r="AK164" s="281">
        <v>0.93</v>
      </c>
      <c r="AL164" s="1261">
        <v>5.58</v>
      </c>
      <c r="AM164" s="1261"/>
      <c r="AN164" s="1261"/>
    </row>
    <row r="165" spans="2:40" ht="26.25" hidden="1" customHeight="1">
      <c r="B165" s="278" t="s">
        <v>1015</v>
      </c>
      <c r="C165" s="279" t="s">
        <v>465</v>
      </c>
      <c r="D165" s="280"/>
      <c r="E165" s="280">
        <v>7</v>
      </c>
      <c r="F165" s="281">
        <v>2.1</v>
      </c>
      <c r="G165" s="281"/>
      <c r="H165" s="281">
        <v>2.1</v>
      </c>
      <c r="I165" s="281"/>
      <c r="J165" s="281"/>
      <c r="K165" s="281"/>
      <c r="L165" s="281"/>
      <c r="M165" s="281"/>
      <c r="N165" s="281"/>
      <c r="O165" s="281"/>
      <c r="P165" s="281"/>
      <c r="Q165" s="281"/>
      <c r="R165" s="281"/>
      <c r="S165" s="281"/>
      <c r="T165" s="281"/>
      <c r="U165" s="281"/>
      <c r="V165" s="281"/>
      <c r="W165" s="281"/>
      <c r="X165" s="281"/>
      <c r="Y165" s="1260"/>
      <c r="Z165" s="1260"/>
      <c r="AA165" s="281"/>
      <c r="AB165" s="281"/>
      <c r="AC165" s="281"/>
      <c r="AD165" s="1260">
        <v>2.1</v>
      </c>
      <c r="AE165" s="1260"/>
      <c r="AF165" s="281"/>
      <c r="AG165" s="1260"/>
      <c r="AH165" s="1260"/>
      <c r="AI165" s="281"/>
      <c r="AJ165" s="281"/>
      <c r="AK165" s="281">
        <v>0.65100000000000002</v>
      </c>
      <c r="AL165" s="1261">
        <v>3.9060000000000001</v>
      </c>
      <c r="AM165" s="1261"/>
      <c r="AN165" s="1261"/>
    </row>
    <row r="166" spans="2:40" ht="27" hidden="1" customHeight="1">
      <c r="B166" s="278" t="s">
        <v>1017</v>
      </c>
      <c r="C166" s="279" t="s">
        <v>415</v>
      </c>
      <c r="D166" s="280"/>
      <c r="E166" s="280">
        <v>7</v>
      </c>
      <c r="F166" s="281">
        <v>2.1</v>
      </c>
      <c r="G166" s="281"/>
      <c r="H166" s="281">
        <v>2.1</v>
      </c>
      <c r="I166" s="281"/>
      <c r="J166" s="281"/>
      <c r="K166" s="281"/>
      <c r="L166" s="281"/>
      <c r="M166" s="281"/>
      <c r="N166" s="281"/>
      <c r="O166" s="281"/>
      <c r="P166" s="281"/>
      <c r="Q166" s="281"/>
      <c r="R166" s="281"/>
      <c r="S166" s="281"/>
      <c r="T166" s="281"/>
      <c r="U166" s="281"/>
      <c r="V166" s="281"/>
      <c r="W166" s="281"/>
      <c r="X166" s="281"/>
      <c r="Y166" s="1260"/>
      <c r="Z166" s="1260"/>
      <c r="AA166" s="281"/>
      <c r="AB166" s="281"/>
      <c r="AC166" s="281"/>
      <c r="AD166" s="1260">
        <v>2.1</v>
      </c>
      <c r="AE166" s="1260"/>
      <c r="AF166" s="281"/>
      <c r="AG166" s="1260"/>
      <c r="AH166" s="1260"/>
      <c r="AI166" s="281"/>
      <c r="AJ166" s="281"/>
      <c r="AK166" s="281">
        <v>0.65100000000000002</v>
      </c>
      <c r="AL166" s="1261">
        <v>3.9060000000000001</v>
      </c>
      <c r="AM166" s="1261"/>
      <c r="AN166" s="1261"/>
    </row>
    <row r="167" spans="2:40" ht="107.25" customHeight="1">
      <c r="B167" s="1264" t="s">
        <v>1157</v>
      </c>
      <c r="C167" s="1264"/>
      <c r="D167" s="1264"/>
      <c r="E167" s="1264"/>
      <c r="F167" s="1264"/>
      <c r="G167" s="1264"/>
      <c r="H167" s="1264"/>
      <c r="I167" s="1264"/>
      <c r="J167" s="1264"/>
      <c r="K167" s="1264"/>
      <c r="L167" s="1264"/>
      <c r="M167" s="1264"/>
      <c r="N167" s="1264"/>
      <c r="O167" s="1264"/>
      <c r="P167" s="1264"/>
      <c r="Q167" s="1264"/>
      <c r="R167" s="1264"/>
      <c r="S167" s="1264"/>
      <c r="T167" s="1264"/>
      <c r="U167" s="1264"/>
      <c r="V167" s="1264"/>
      <c r="W167" s="1264"/>
      <c r="X167" s="1264"/>
      <c r="Y167" s="1264"/>
    </row>
    <row r="168" spans="2:40" ht="12" customHeight="1"/>
    <row r="169" spans="2:40" ht="10.5" customHeight="1">
      <c r="AF169" s="1262" t="s">
        <v>1158</v>
      </c>
      <c r="AG169" s="1262"/>
      <c r="AH169" s="1262"/>
      <c r="AI169" s="1262"/>
      <c r="AJ169" s="1262"/>
      <c r="AK169" s="1262"/>
      <c r="AL169" s="1262"/>
    </row>
    <row r="170" spans="2:40" ht="12" customHeight="1">
      <c r="AE170" s="1243" t="s">
        <v>1159</v>
      </c>
      <c r="AF170" s="1243"/>
      <c r="AG170" s="1243"/>
      <c r="AH170" s="1243"/>
      <c r="AI170" s="1243"/>
      <c r="AJ170" s="1243"/>
      <c r="AK170" s="1243"/>
      <c r="AL170" s="1243"/>
    </row>
    <row r="171" spans="2:40" ht="53.25" customHeight="1"/>
    <row r="172" spans="2:40" ht="12" customHeight="1">
      <c r="AF172" s="1243" t="s">
        <v>1160</v>
      </c>
      <c r="AG172" s="1243"/>
      <c r="AH172" s="1243"/>
      <c r="AI172" s="1243"/>
      <c r="AJ172" s="1243"/>
      <c r="AK172" s="1243"/>
      <c r="AL172" s="1243"/>
    </row>
    <row r="173" spans="2:40" ht="16.5" customHeight="1">
      <c r="AK173" s="1263" t="s">
        <v>1161</v>
      </c>
      <c r="AL173" s="1263"/>
      <c r="AM173" s="1263"/>
      <c r="AN173" s="282" t="s">
        <v>305</v>
      </c>
    </row>
    <row r="177" ht="12.75" hidden="1" customHeight="1"/>
    <row r="178" ht="12.75" hidden="1" customHeight="1"/>
    <row r="179" ht="12.75" hidden="1" customHeight="1"/>
    <row r="180" ht="12.75" hidden="1" customHeight="1"/>
    <row r="181" ht="15.6" customHeight="1"/>
    <row r="182" ht="15.6" customHeight="1"/>
  </sheetData>
  <mergeCells count="668">
    <mergeCell ref="AF169:AL169"/>
    <mergeCell ref="AE170:AL170"/>
    <mergeCell ref="AF172:AL172"/>
    <mergeCell ref="AK173:AM173"/>
    <mergeCell ref="Y166:Z166"/>
    <mergeCell ref="AD166:AE166"/>
    <mergeCell ref="AG166:AH166"/>
    <mergeCell ref="AL166:AN166"/>
    <mergeCell ref="B167:Y167"/>
    <mergeCell ref="Y164:Z164"/>
    <mergeCell ref="AD164:AE164"/>
    <mergeCell ref="AG164:AH164"/>
    <mergeCell ref="AL164:AN164"/>
    <mergeCell ref="Y165:Z165"/>
    <mergeCell ref="AD165:AE165"/>
    <mergeCell ref="AG165:AH165"/>
    <mergeCell ref="AL165:AN165"/>
    <mergeCell ref="Y162:Z162"/>
    <mergeCell ref="AD162:AE162"/>
    <mergeCell ref="AG162:AH162"/>
    <mergeCell ref="AL162:AN162"/>
    <mergeCell ref="Y163:Z163"/>
    <mergeCell ref="AD163:AE163"/>
    <mergeCell ref="AG163:AH163"/>
    <mergeCell ref="AL163:AN163"/>
    <mergeCell ref="Y160:Z160"/>
    <mergeCell ref="AD160:AE160"/>
    <mergeCell ref="AG160:AH160"/>
    <mergeCell ref="AL160:AN160"/>
    <mergeCell ref="Y161:Z161"/>
    <mergeCell ref="AD161:AE161"/>
    <mergeCell ref="AG161:AH161"/>
    <mergeCell ref="AL161:AN161"/>
    <mergeCell ref="Y158:Z158"/>
    <mergeCell ref="AD158:AE158"/>
    <mergeCell ref="AG158:AH158"/>
    <mergeCell ref="AL158:AN158"/>
    <mergeCell ref="Y159:Z159"/>
    <mergeCell ref="AD159:AE159"/>
    <mergeCell ref="AG159:AH159"/>
    <mergeCell ref="AL159:AN159"/>
    <mergeCell ref="Y156:Z156"/>
    <mergeCell ref="AD156:AE156"/>
    <mergeCell ref="AG156:AH156"/>
    <mergeCell ref="AL156:AN156"/>
    <mergeCell ref="Y157:Z157"/>
    <mergeCell ref="AD157:AE157"/>
    <mergeCell ref="AG157:AH157"/>
    <mergeCell ref="AL157:AN157"/>
    <mergeCell ref="Y154:Z154"/>
    <mergeCell ref="AD154:AE154"/>
    <mergeCell ref="AG154:AH154"/>
    <mergeCell ref="AL154:AN154"/>
    <mergeCell ref="Y155:Z155"/>
    <mergeCell ref="AD155:AE155"/>
    <mergeCell ref="AG155:AH155"/>
    <mergeCell ref="AL155:AN155"/>
    <mergeCell ref="Y152:Z152"/>
    <mergeCell ref="AD152:AE152"/>
    <mergeCell ref="AG152:AH152"/>
    <mergeCell ref="AL152:AN152"/>
    <mergeCell ref="Y153:Z153"/>
    <mergeCell ref="AD153:AE153"/>
    <mergeCell ref="AG153:AH153"/>
    <mergeCell ref="AL153:AN153"/>
    <mergeCell ref="Y150:Z150"/>
    <mergeCell ref="AD150:AE150"/>
    <mergeCell ref="AG150:AH150"/>
    <mergeCell ref="AL150:AN150"/>
    <mergeCell ref="Y151:Z151"/>
    <mergeCell ref="AD151:AE151"/>
    <mergeCell ref="AG151:AH151"/>
    <mergeCell ref="AL151:AN151"/>
    <mergeCell ref="Y148:Z148"/>
    <mergeCell ref="AD148:AE148"/>
    <mergeCell ref="AG148:AH148"/>
    <mergeCell ref="AL148:AN148"/>
    <mergeCell ref="Y149:Z149"/>
    <mergeCell ref="AD149:AE149"/>
    <mergeCell ref="AG149:AH149"/>
    <mergeCell ref="AL149:AN149"/>
    <mergeCell ref="Y146:Z146"/>
    <mergeCell ref="AD146:AE146"/>
    <mergeCell ref="AG146:AH146"/>
    <mergeCell ref="AL146:AN146"/>
    <mergeCell ref="Y147:Z147"/>
    <mergeCell ref="AD147:AE147"/>
    <mergeCell ref="AG147:AH147"/>
    <mergeCell ref="AL147:AN147"/>
    <mergeCell ref="Y144:Z144"/>
    <mergeCell ref="AD144:AE144"/>
    <mergeCell ref="AG144:AH144"/>
    <mergeCell ref="AL144:AN144"/>
    <mergeCell ref="Y145:Z145"/>
    <mergeCell ref="AD145:AE145"/>
    <mergeCell ref="AG145:AH145"/>
    <mergeCell ref="AL145:AN145"/>
    <mergeCell ref="Y142:Z142"/>
    <mergeCell ref="AD142:AE142"/>
    <mergeCell ref="AG142:AH142"/>
    <mergeCell ref="AL142:AN142"/>
    <mergeCell ref="Y143:Z143"/>
    <mergeCell ref="AD143:AE143"/>
    <mergeCell ref="AG143:AH143"/>
    <mergeCell ref="AL143:AN143"/>
    <mergeCell ref="Y140:Z140"/>
    <mergeCell ref="AD140:AE140"/>
    <mergeCell ref="AG140:AH140"/>
    <mergeCell ref="AL140:AN140"/>
    <mergeCell ref="Y141:Z141"/>
    <mergeCell ref="AD141:AE141"/>
    <mergeCell ref="AG141:AH141"/>
    <mergeCell ref="AL141:AN141"/>
    <mergeCell ref="Y138:Z138"/>
    <mergeCell ref="AD138:AE138"/>
    <mergeCell ref="AG138:AH138"/>
    <mergeCell ref="AL138:AN138"/>
    <mergeCell ref="Y139:Z139"/>
    <mergeCell ref="AD139:AE139"/>
    <mergeCell ref="AG139:AH139"/>
    <mergeCell ref="AL139:AN139"/>
    <mergeCell ref="Y136:Z136"/>
    <mergeCell ref="AD136:AE136"/>
    <mergeCell ref="AG136:AH136"/>
    <mergeCell ref="AL136:AN136"/>
    <mergeCell ref="Y137:Z137"/>
    <mergeCell ref="AD137:AE137"/>
    <mergeCell ref="AG137:AH137"/>
    <mergeCell ref="AL137:AN137"/>
    <mergeCell ref="Y134:Z134"/>
    <mergeCell ref="AD134:AE134"/>
    <mergeCell ref="AG134:AH134"/>
    <mergeCell ref="AL134:AN134"/>
    <mergeCell ref="Y135:Z135"/>
    <mergeCell ref="AD135:AE135"/>
    <mergeCell ref="AG135:AH135"/>
    <mergeCell ref="AL135:AN135"/>
    <mergeCell ref="Y132:Z132"/>
    <mergeCell ref="AD132:AE132"/>
    <mergeCell ref="AG132:AH132"/>
    <mergeCell ref="AL132:AN132"/>
    <mergeCell ref="Y133:Z133"/>
    <mergeCell ref="AD133:AE133"/>
    <mergeCell ref="AG133:AH133"/>
    <mergeCell ref="AL133:AN133"/>
    <mergeCell ref="Y130:Z130"/>
    <mergeCell ref="AD130:AE130"/>
    <mergeCell ref="AG130:AH130"/>
    <mergeCell ref="AL130:AN130"/>
    <mergeCell ref="Y131:Z131"/>
    <mergeCell ref="AD131:AE131"/>
    <mergeCell ref="AG131:AH131"/>
    <mergeCell ref="AL131:AN131"/>
    <mergeCell ref="Y128:Z128"/>
    <mergeCell ref="AD128:AE128"/>
    <mergeCell ref="AG128:AH128"/>
    <mergeCell ref="AL128:AN128"/>
    <mergeCell ref="Y129:Z129"/>
    <mergeCell ref="AD129:AE129"/>
    <mergeCell ref="AG129:AH129"/>
    <mergeCell ref="AL129:AN129"/>
    <mergeCell ref="Y126:Z126"/>
    <mergeCell ref="AD126:AE126"/>
    <mergeCell ref="AG126:AH126"/>
    <mergeCell ref="AL126:AN126"/>
    <mergeCell ref="Y127:Z127"/>
    <mergeCell ref="AD127:AE127"/>
    <mergeCell ref="AG127:AH127"/>
    <mergeCell ref="AL127:AN127"/>
    <mergeCell ref="Y124:Z124"/>
    <mergeCell ref="AD124:AE124"/>
    <mergeCell ref="AG124:AH124"/>
    <mergeCell ref="AL124:AN124"/>
    <mergeCell ref="Y125:Z125"/>
    <mergeCell ref="AD125:AE125"/>
    <mergeCell ref="AG125:AH125"/>
    <mergeCell ref="AL125:AN125"/>
    <mergeCell ref="Y122:Z122"/>
    <mergeCell ref="AD122:AE122"/>
    <mergeCell ref="AG122:AH122"/>
    <mergeCell ref="AL122:AN122"/>
    <mergeCell ref="Y123:Z123"/>
    <mergeCell ref="AD123:AE123"/>
    <mergeCell ref="AG123:AH123"/>
    <mergeCell ref="AL123:AN123"/>
    <mergeCell ref="Y120:Z120"/>
    <mergeCell ref="AD120:AE120"/>
    <mergeCell ref="AG120:AH120"/>
    <mergeCell ref="AL120:AN120"/>
    <mergeCell ref="Y121:Z121"/>
    <mergeCell ref="AD121:AE121"/>
    <mergeCell ref="AG121:AH121"/>
    <mergeCell ref="AL121:AN121"/>
    <mergeCell ref="Y118:Z118"/>
    <mergeCell ref="AD118:AE118"/>
    <mergeCell ref="AG118:AH118"/>
    <mergeCell ref="AL118:AN118"/>
    <mergeCell ref="Y119:Z119"/>
    <mergeCell ref="AD119:AE119"/>
    <mergeCell ref="AG119:AH119"/>
    <mergeCell ref="AL119:AN119"/>
    <mergeCell ref="Y116:Z116"/>
    <mergeCell ref="AD116:AE116"/>
    <mergeCell ref="AG116:AH116"/>
    <mergeCell ref="AL116:AN116"/>
    <mergeCell ref="Y117:Z117"/>
    <mergeCell ref="AD117:AE117"/>
    <mergeCell ref="AG117:AH117"/>
    <mergeCell ref="AL117:AN117"/>
    <mergeCell ref="Y114:Z114"/>
    <mergeCell ref="AD114:AE114"/>
    <mergeCell ref="AG114:AH114"/>
    <mergeCell ref="AL114:AN114"/>
    <mergeCell ref="Y115:Z115"/>
    <mergeCell ref="AD115:AE115"/>
    <mergeCell ref="AG115:AH115"/>
    <mergeCell ref="AL115:AN115"/>
    <mergeCell ref="Y112:Z112"/>
    <mergeCell ref="AD112:AE112"/>
    <mergeCell ref="AG112:AH112"/>
    <mergeCell ref="AL112:AN112"/>
    <mergeCell ref="Y113:Z113"/>
    <mergeCell ref="AD113:AE113"/>
    <mergeCell ref="AG113:AH113"/>
    <mergeCell ref="AL113:AN113"/>
    <mergeCell ref="Y110:Z110"/>
    <mergeCell ref="AD110:AE110"/>
    <mergeCell ref="AG110:AH110"/>
    <mergeCell ref="AL110:AN110"/>
    <mergeCell ref="Y111:Z111"/>
    <mergeCell ref="AD111:AE111"/>
    <mergeCell ref="AG111:AH111"/>
    <mergeCell ref="AL111:AN111"/>
    <mergeCell ref="Y108:Z108"/>
    <mergeCell ref="AD108:AE108"/>
    <mergeCell ref="AG108:AH108"/>
    <mergeCell ref="AL108:AN108"/>
    <mergeCell ref="Y109:Z109"/>
    <mergeCell ref="AD109:AE109"/>
    <mergeCell ref="AG109:AH109"/>
    <mergeCell ref="AL109:AN109"/>
    <mergeCell ref="Y106:Z106"/>
    <mergeCell ref="AD106:AE106"/>
    <mergeCell ref="AG106:AH106"/>
    <mergeCell ref="AL106:AN106"/>
    <mergeCell ref="Y107:Z107"/>
    <mergeCell ref="AD107:AE107"/>
    <mergeCell ref="AG107:AH107"/>
    <mergeCell ref="AL107:AN107"/>
    <mergeCell ref="Y104:Z104"/>
    <mergeCell ref="AD104:AE104"/>
    <mergeCell ref="AG104:AH104"/>
    <mergeCell ref="AL104:AN104"/>
    <mergeCell ref="Y105:Z105"/>
    <mergeCell ref="AD105:AE105"/>
    <mergeCell ref="AG105:AH105"/>
    <mergeCell ref="AL105:AN105"/>
    <mergeCell ref="Y102:Z102"/>
    <mergeCell ref="AD102:AE102"/>
    <mergeCell ref="AG102:AH102"/>
    <mergeCell ref="AL102:AN102"/>
    <mergeCell ref="Y103:Z103"/>
    <mergeCell ref="AD103:AE103"/>
    <mergeCell ref="AG103:AH103"/>
    <mergeCell ref="AL103:AN103"/>
    <mergeCell ref="Y100:Z100"/>
    <mergeCell ref="AD100:AE100"/>
    <mergeCell ref="AG100:AH100"/>
    <mergeCell ref="AL100:AN100"/>
    <mergeCell ref="Y101:Z101"/>
    <mergeCell ref="AD101:AE101"/>
    <mergeCell ref="AG101:AH101"/>
    <mergeCell ref="AL101:AN101"/>
    <mergeCell ref="Y98:Z98"/>
    <mergeCell ref="AD98:AE98"/>
    <mergeCell ref="AG98:AH98"/>
    <mergeCell ref="AL98:AN98"/>
    <mergeCell ref="Y99:Z99"/>
    <mergeCell ref="AD99:AE99"/>
    <mergeCell ref="AG99:AH99"/>
    <mergeCell ref="AL99:AN99"/>
    <mergeCell ref="Y96:Z96"/>
    <mergeCell ref="AD96:AE96"/>
    <mergeCell ref="AG96:AH96"/>
    <mergeCell ref="AL96:AN96"/>
    <mergeCell ref="Y97:Z97"/>
    <mergeCell ref="AD97:AE97"/>
    <mergeCell ref="AG97:AH97"/>
    <mergeCell ref="AL97:AN97"/>
    <mergeCell ref="Y94:Z94"/>
    <mergeCell ref="AD94:AE94"/>
    <mergeCell ref="AG94:AH94"/>
    <mergeCell ref="AL94:AN94"/>
    <mergeCell ref="Y95:Z95"/>
    <mergeCell ref="AD95:AE95"/>
    <mergeCell ref="AG95:AH95"/>
    <mergeCell ref="AL95:AN95"/>
    <mergeCell ref="Y92:Z92"/>
    <mergeCell ref="AD92:AE92"/>
    <mergeCell ref="AG92:AH92"/>
    <mergeCell ref="AL92:AN92"/>
    <mergeCell ref="Y93:Z93"/>
    <mergeCell ref="AD93:AE93"/>
    <mergeCell ref="AG93:AH93"/>
    <mergeCell ref="AL93:AN93"/>
    <mergeCell ref="Y90:Z90"/>
    <mergeCell ref="AD90:AE90"/>
    <mergeCell ref="AG90:AH90"/>
    <mergeCell ref="AL90:AN90"/>
    <mergeCell ref="Y91:Z91"/>
    <mergeCell ref="AD91:AE91"/>
    <mergeCell ref="AG91:AH91"/>
    <mergeCell ref="AL91:AN91"/>
    <mergeCell ref="Y88:Z88"/>
    <mergeCell ref="AD88:AE88"/>
    <mergeCell ref="AG88:AH88"/>
    <mergeCell ref="AL88:AN88"/>
    <mergeCell ref="Y89:Z89"/>
    <mergeCell ref="AD89:AE89"/>
    <mergeCell ref="AG89:AH89"/>
    <mergeCell ref="AL89:AN89"/>
    <mergeCell ref="Y86:Z86"/>
    <mergeCell ref="AD86:AE86"/>
    <mergeCell ref="AG86:AH86"/>
    <mergeCell ref="AL86:AN86"/>
    <mergeCell ref="Y87:Z87"/>
    <mergeCell ref="AD87:AE87"/>
    <mergeCell ref="AG87:AH87"/>
    <mergeCell ref="AL87:AN87"/>
    <mergeCell ref="Y84:Z84"/>
    <mergeCell ref="AD84:AE84"/>
    <mergeCell ref="AG84:AH84"/>
    <mergeCell ref="AL84:AN84"/>
    <mergeCell ref="Y85:Z85"/>
    <mergeCell ref="AD85:AE85"/>
    <mergeCell ref="AG85:AH85"/>
    <mergeCell ref="AL85:AN85"/>
    <mergeCell ref="Y82:Z82"/>
    <mergeCell ref="AD82:AE82"/>
    <mergeCell ref="AG82:AH82"/>
    <mergeCell ref="AL82:AN82"/>
    <mergeCell ref="Y83:Z83"/>
    <mergeCell ref="AD83:AE83"/>
    <mergeCell ref="AG83:AH83"/>
    <mergeCell ref="AL83:AN83"/>
    <mergeCell ref="Y80:Z80"/>
    <mergeCell ref="AD80:AE80"/>
    <mergeCell ref="AG80:AH80"/>
    <mergeCell ref="AL80:AN80"/>
    <mergeCell ref="Y81:Z81"/>
    <mergeCell ref="AD81:AE81"/>
    <mergeCell ref="AG81:AH81"/>
    <mergeCell ref="AL81:AN81"/>
    <mergeCell ref="Y78:Z78"/>
    <mergeCell ref="AD78:AE78"/>
    <mergeCell ref="AG78:AH78"/>
    <mergeCell ref="AL78:AN78"/>
    <mergeCell ref="Y79:Z79"/>
    <mergeCell ref="AD79:AE79"/>
    <mergeCell ref="AG79:AH79"/>
    <mergeCell ref="AL79:AN79"/>
    <mergeCell ref="Y76:Z76"/>
    <mergeCell ref="AD76:AE76"/>
    <mergeCell ref="AG76:AH76"/>
    <mergeCell ref="AL76:AN76"/>
    <mergeCell ref="Y77:Z77"/>
    <mergeCell ref="AD77:AE77"/>
    <mergeCell ref="AG77:AH77"/>
    <mergeCell ref="AL77:AN77"/>
    <mergeCell ref="Y74:Z74"/>
    <mergeCell ref="AD74:AE74"/>
    <mergeCell ref="AG74:AH74"/>
    <mergeCell ref="AL74:AN74"/>
    <mergeCell ref="Y75:Z75"/>
    <mergeCell ref="AD75:AE75"/>
    <mergeCell ref="AG75:AH75"/>
    <mergeCell ref="AL75:AN75"/>
    <mergeCell ref="Y72:Z72"/>
    <mergeCell ref="AD72:AE72"/>
    <mergeCell ref="AG72:AH72"/>
    <mergeCell ref="AL72:AN72"/>
    <mergeCell ref="Y73:Z73"/>
    <mergeCell ref="AD73:AE73"/>
    <mergeCell ref="AG73:AH73"/>
    <mergeCell ref="AL73:AN73"/>
    <mergeCell ref="Y70:Z70"/>
    <mergeCell ref="AD70:AE70"/>
    <mergeCell ref="AG70:AH70"/>
    <mergeCell ref="AL70:AN70"/>
    <mergeCell ref="Y71:Z71"/>
    <mergeCell ref="AD71:AE71"/>
    <mergeCell ref="AG71:AH71"/>
    <mergeCell ref="AL71:AN71"/>
    <mergeCell ref="Y68:Z68"/>
    <mergeCell ref="AD68:AE68"/>
    <mergeCell ref="AG68:AH68"/>
    <mergeCell ref="AL68:AN68"/>
    <mergeCell ref="Y69:Z69"/>
    <mergeCell ref="AD69:AE69"/>
    <mergeCell ref="AG69:AH69"/>
    <mergeCell ref="AL69:AN69"/>
    <mergeCell ref="Y66:Z66"/>
    <mergeCell ref="AD66:AE66"/>
    <mergeCell ref="AG66:AH66"/>
    <mergeCell ref="AL66:AN66"/>
    <mergeCell ref="Y67:Z67"/>
    <mergeCell ref="AD67:AE67"/>
    <mergeCell ref="AG67:AH67"/>
    <mergeCell ref="AL67:AN67"/>
    <mergeCell ref="Y64:Z64"/>
    <mergeCell ref="AD64:AE64"/>
    <mergeCell ref="AG64:AH64"/>
    <mergeCell ref="AL64:AN64"/>
    <mergeCell ref="Y65:Z65"/>
    <mergeCell ref="AD65:AE65"/>
    <mergeCell ref="AG65:AH65"/>
    <mergeCell ref="AL65:AN65"/>
    <mergeCell ref="Y62:Z62"/>
    <mergeCell ref="AD62:AE62"/>
    <mergeCell ref="AG62:AH62"/>
    <mergeCell ref="AL62:AN62"/>
    <mergeCell ref="Y63:Z63"/>
    <mergeCell ref="AD63:AE63"/>
    <mergeCell ref="AG63:AH63"/>
    <mergeCell ref="AL63:AN63"/>
    <mergeCell ref="Y60:Z60"/>
    <mergeCell ref="AD60:AE60"/>
    <mergeCell ref="AG60:AH60"/>
    <mergeCell ref="AL60:AN60"/>
    <mergeCell ref="Y61:Z61"/>
    <mergeCell ref="AD61:AE61"/>
    <mergeCell ref="AG61:AH61"/>
    <mergeCell ref="AL61:AN61"/>
    <mergeCell ref="Y58:Z58"/>
    <mergeCell ref="AD58:AE58"/>
    <mergeCell ref="AG58:AH58"/>
    <mergeCell ref="AL58:AN58"/>
    <mergeCell ref="Y59:Z59"/>
    <mergeCell ref="AD59:AE59"/>
    <mergeCell ref="AG59:AH59"/>
    <mergeCell ref="AL59:AN59"/>
    <mergeCell ref="Y56:Z56"/>
    <mergeCell ref="AD56:AE56"/>
    <mergeCell ref="AG56:AH56"/>
    <mergeCell ref="AL56:AN56"/>
    <mergeCell ref="Y57:Z57"/>
    <mergeCell ref="AD57:AE57"/>
    <mergeCell ref="AG57:AH57"/>
    <mergeCell ref="AL57:AN57"/>
    <mergeCell ref="Y54:Z54"/>
    <mergeCell ref="AD54:AE54"/>
    <mergeCell ref="AG54:AH54"/>
    <mergeCell ref="AL54:AN54"/>
    <mergeCell ref="Y55:Z55"/>
    <mergeCell ref="AD55:AE55"/>
    <mergeCell ref="AG55:AH55"/>
    <mergeCell ref="AL55:AN55"/>
    <mergeCell ref="Y52:Z52"/>
    <mergeCell ref="AD52:AE52"/>
    <mergeCell ref="AG52:AH52"/>
    <mergeCell ref="AL52:AN52"/>
    <mergeCell ref="Y53:Z53"/>
    <mergeCell ref="AD53:AE53"/>
    <mergeCell ref="AG53:AH53"/>
    <mergeCell ref="AL53:AN53"/>
    <mergeCell ref="Y50:Z50"/>
    <mergeCell ref="AD50:AE50"/>
    <mergeCell ref="AG50:AH50"/>
    <mergeCell ref="AL50:AN50"/>
    <mergeCell ref="Y51:Z51"/>
    <mergeCell ref="AD51:AE51"/>
    <mergeCell ref="AG51:AH51"/>
    <mergeCell ref="AL51:AN51"/>
    <mergeCell ref="Y48:Z48"/>
    <mergeCell ref="AD48:AE48"/>
    <mergeCell ref="AG48:AH48"/>
    <mergeCell ref="AL48:AN48"/>
    <mergeCell ref="Y49:Z49"/>
    <mergeCell ref="AD49:AE49"/>
    <mergeCell ref="AG49:AH49"/>
    <mergeCell ref="AL49:AN49"/>
    <mergeCell ref="Y46:Z46"/>
    <mergeCell ref="AD46:AE46"/>
    <mergeCell ref="AG46:AH46"/>
    <mergeCell ref="AL46:AN46"/>
    <mergeCell ref="Y47:Z47"/>
    <mergeCell ref="AD47:AE47"/>
    <mergeCell ref="AG47:AH47"/>
    <mergeCell ref="AL47:AN47"/>
    <mergeCell ref="Y44:Z44"/>
    <mergeCell ref="AD44:AE44"/>
    <mergeCell ref="AG44:AH44"/>
    <mergeCell ref="AL44:AN44"/>
    <mergeCell ref="Y45:Z45"/>
    <mergeCell ref="AD45:AE45"/>
    <mergeCell ref="AG45:AH45"/>
    <mergeCell ref="AL45:AN45"/>
    <mergeCell ref="Y42:Z42"/>
    <mergeCell ref="AD42:AE42"/>
    <mergeCell ref="AG42:AH42"/>
    <mergeCell ref="AL42:AN42"/>
    <mergeCell ref="Y43:Z43"/>
    <mergeCell ref="AD43:AE43"/>
    <mergeCell ref="AG43:AH43"/>
    <mergeCell ref="AL43:AN43"/>
    <mergeCell ref="Y40:Z40"/>
    <mergeCell ref="AD40:AE40"/>
    <mergeCell ref="AG40:AH40"/>
    <mergeCell ref="AL40:AN40"/>
    <mergeCell ref="Y41:Z41"/>
    <mergeCell ref="AD41:AE41"/>
    <mergeCell ref="AG41:AH41"/>
    <mergeCell ref="AL41:AN41"/>
    <mergeCell ref="Y38:Z38"/>
    <mergeCell ref="AD38:AE38"/>
    <mergeCell ref="AG38:AH38"/>
    <mergeCell ref="AL38:AN38"/>
    <mergeCell ref="Y39:Z39"/>
    <mergeCell ref="AD39:AE39"/>
    <mergeCell ref="AG39:AH39"/>
    <mergeCell ref="AL39:AN39"/>
    <mergeCell ref="Y36:Z36"/>
    <mergeCell ref="AD36:AE36"/>
    <mergeCell ref="AG36:AH36"/>
    <mergeCell ref="AL36:AN36"/>
    <mergeCell ref="Y37:Z37"/>
    <mergeCell ref="AD37:AE37"/>
    <mergeCell ref="AG37:AH37"/>
    <mergeCell ref="AL37:AN37"/>
    <mergeCell ref="Y34:Z34"/>
    <mergeCell ref="AD34:AE34"/>
    <mergeCell ref="AG34:AH34"/>
    <mergeCell ref="AL34:AN34"/>
    <mergeCell ref="Y35:Z35"/>
    <mergeCell ref="AD35:AE35"/>
    <mergeCell ref="AG35:AH35"/>
    <mergeCell ref="AL35:AN35"/>
    <mergeCell ref="Y32:Z32"/>
    <mergeCell ref="AD32:AE32"/>
    <mergeCell ref="AG32:AH32"/>
    <mergeCell ref="AL32:AN32"/>
    <mergeCell ref="Y33:Z33"/>
    <mergeCell ref="AD33:AE33"/>
    <mergeCell ref="AG33:AH33"/>
    <mergeCell ref="AL33:AN33"/>
    <mergeCell ref="Y30:Z30"/>
    <mergeCell ref="AD30:AE30"/>
    <mergeCell ref="AG30:AH30"/>
    <mergeCell ref="AL30:AN30"/>
    <mergeCell ref="Y31:Z31"/>
    <mergeCell ref="AD31:AE31"/>
    <mergeCell ref="AG31:AH31"/>
    <mergeCell ref="AL31:AN31"/>
    <mergeCell ref="Y28:Z28"/>
    <mergeCell ref="AD28:AE28"/>
    <mergeCell ref="AG28:AH28"/>
    <mergeCell ref="AL28:AN28"/>
    <mergeCell ref="Y29:Z29"/>
    <mergeCell ref="AD29:AE29"/>
    <mergeCell ref="AG29:AH29"/>
    <mergeCell ref="AL29:AN29"/>
    <mergeCell ref="Y26:Z26"/>
    <mergeCell ref="AD26:AE26"/>
    <mergeCell ref="AG26:AH26"/>
    <mergeCell ref="AL26:AN26"/>
    <mergeCell ref="Y27:Z27"/>
    <mergeCell ref="AD27:AE27"/>
    <mergeCell ref="AG27:AH27"/>
    <mergeCell ref="AL27:AN27"/>
    <mergeCell ref="Y24:Z24"/>
    <mergeCell ref="AD24:AE24"/>
    <mergeCell ref="AG24:AH24"/>
    <mergeCell ref="AL24:AN24"/>
    <mergeCell ref="Y25:Z25"/>
    <mergeCell ref="AD25:AE25"/>
    <mergeCell ref="AG25:AH25"/>
    <mergeCell ref="AL25:AN25"/>
    <mergeCell ref="Y22:Z22"/>
    <mergeCell ref="AD22:AE22"/>
    <mergeCell ref="AG22:AH22"/>
    <mergeCell ref="AL22:AN22"/>
    <mergeCell ref="Y23:Z23"/>
    <mergeCell ref="AD23:AE23"/>
    <mergeCell ref="AG23:AH23"/>
    <mergeCell ref="AL23:AN23"/>
    <mergeCell ref="Y20:Z20"/>
    <mergeCell ref="AD20:AE20"/>
    <mergeCell ref="AG20:AH20"/>
    <mergeCell ref="AL20:AN20"/>
    <mergeCell ref="Y21:Z21"/>
    <mergeCell ref="AD21:AE21"/>
    <mergeCell ref="AG21:AH21"/>
    <mergeCell ref="AL21:AN21"/>
    <mergeCell ref="Y18:Z18"/>
    <mergeCell ref="AD18:AE18"/>
    <mergeCell ref="AG18:AH18"/>
    <mergeCell ref="AL18:AN18"/>
    <mergeCell ref="Y19:Z19"/>
    <mergeCell ref="AD19:AE19"/>
    <mergeCell ref="AG19:AH19"/>
    <mergeCell ref="AL19:AN19"/>
    <mergeCell ref="Y16:Z16"/>
    <mergeCell ref="AD16:AE16"/>
    <mergeCell ref="AG16:AH16"/>
    <mergeCell ref="AL16:AN16"/>
    <mergeCell ref="Y17:Z17"/>
    <mergeCell ref="AD17:AE17"/>
    <mergeCell ref="AG17:AH17"/>
    <mergeCell ref="AL17:AN17"/>
    <mergeCell ref="Y14:Z14"/>
    <mergeCell ref="AD14:AE14"/>
    <mergeCell ref="AG14:AH14"/>
    <mergeCell ref="AL14:AN14"/>
    <mergeCell ref="Y15:Z15"/>
    <mergeCell ref="AD15:AE15"/>
    <mergeCell ref="AG15:AH15"/>
    <mergeCell ref="AL15:AN15"/>
    <mergeCell ref="Y12:Z12"/>
    <mergeCell ref="AD12:AE12"/>
    <mergeCell ref="AG12:AH12"/>
    <mergeCell ref="AL12:AN12"/>
    <mergeCell ref="Y13:Z13"/>
    <mergeCell ref="AD13:AE13"/>
    <mergeCell ref="AG13:AH13"/>
    <mergeCell ref="AL13:AN13"/>
    <mergeCell ref="W10:W11"/>
    <mergeCell ref="X10:X11"/>
    <mergeCell ref="AD10:AE11"/>
    <mergeCell ref="AF10:AF11"/>
    <mergeCell ref="AG10:AH11"/>
    <mergeCell ref="AL7:AN11"/>
    <mergeCell ref="H8:H11"/>
    <mergeCell ref="I8:AI8"/>
    <mergeCell ref="AJ8:AJ11"/>
    <mergeCell ref="AK8:AK11"/>
    <mergeCell ref="I9:I11"/>
    <mergeCell ref="J9:J11"/>
    <mergeCell ref="K9:N9"/>
    <mergeCell ref="O9:O11"/>
    <mergeCell ref="P9:T9"/>
    <mergeCell ref="U9:X9"/>
    <mergeCell ref="Y9:Z11"/>
    <mergeCell ref="AA9:AA11"/>
    <mergeCell ref="AB9:AB11"/>
    <mergeCell ref="B1:AF1"/>
    <mergeCell ref="AH1:AN1"/>
    <mergeCell ref="B3:AN3"/>
    <mergeCell ref="B4:AN4"/>
    <mergeCell ref="AI6:AN6"/>
    <mergeCell ref="V10:V11"/>
    <mergeCell ref="B7:B11"/>
    <mergeCell ref="C7:C11"/>
    <mergeCell ref="D7:D11"/>
    <mergeCell ref="E7:E11"/>
    <mergeCell ref="F7:AK7"/>
    <mergeCell ref="AC9:AC11"/>
    <mergeCell ref="AD9:AH9"/>
    <mergeCell ref="AI9:AI11"/>
    <mergeCell ref="K10:K11"/>
    <mergeCell ref="L10:L11"/>
    <mergeCell ref="M10:M11"/>
    <mergeCell ref="N10:N11"/>
    <mergeCell ref="P10:Q10"/>
    <mergeCell ref="R10:S10"/>
    <mergeCell ref="T10:T11"/>
    <mergeCell ref="U10:U11"/>
    <mergeCell ref="F8:F11"/>
    <mergeCell ref="G8:G11"/>
  </mergeCells>
  <phoneticPr fontId="30" type="noConversion"/>
  <pageMargins left="0.24" right="0.18" top="0.48" bottom="1" header="0.5" footer="0.5"/>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8"/>
  <sheetViews>
    <sheetView topLeftCell="A3" workbookViewId="0">
      <selection activeCell="K8" sqref="K8"/>
    </sheetView>
  </sheetViews>
  <sheetFormatPr defaultColWidth="9" defaultRowHeight="15.75"/>
  <cols>
    <col min="1" max="1" width="9" style="44"/>
    <col min="2" max="2" width="18.625" style="44" customWidth="1"/>
    <col min="3" max="4" width="9.125" style="44" bestFit="1" customWidth="1"/>
    <col min="5" max="5" width="13.625" style="45" bestFit="1" customWidth="1"/>
    <col min="6" max="7" width="9.125" style="44" bestFit="1" customWidth="1"/>
    <col min="8" max="8" width="13.625" style="45" bestFit="1" customWidth="1"/>
    <col min="9" max="10" width="9.125" style="44" bestFit="1" customWidth="1"/>
    <col min="11" max="11" width="12.625" style="45" bestFit="1" customWidth="1"/>
    <col min="12" max="16384" width="9" style="44"/>
  </cols>
  <sheetData>
    <row r="1" spans="1:11" hidden="1"/>
    <row r="2" spans="1:11" hidden="1"/>
    <row r="4" spans="1:11" ht="30" customHeight="1">
      <c r="A4" s="1266" t="s">
        <v>665</v>
      </c>
      <c r="B4" s="1266"/>
      <c r="C4" s="1266"/>
      <c r="D4" s="1266"/>
      <c r="E4" s="1266"/>
      <c r="F4" s="1266"/>
      <c r="G4" s="1266"/>
      <c r="H4" s="1266"/>
      <c r="I4" s="1266"/>
      <c r="J4" s="1266"/>
      <c r="K4" s="1266"/>
    </row>
    <row r="6" spans="1:11" ht="24.75" customHeight="1">
      <c r="A6" s="48"/>
      <c r="B6" s="48"/>
      <c r="C6" s="1265" t="s">
        <v>662</v>
      </c>
      <c r="D6" s="1265"/>
      <c r="E6" s="1265"/>
      <c r="F6" s="1265" t="s">
        <v>663</v>
      </c>
      <c r="G6" s="1265"/>
      <c r="H6" s="1265"/>
      <c r="I6" s="1265" t="s">
        <v>664</v>
      </c>
      <c r="J6" s="1265"/>
      <c r="K6" s="1265"/>
    </row>
    <row r="7" spans="1:11" ht="21.75" customHeight="1">
      <c r="A7" s="48"/>
      <c r="B7" s="48"/>
      <c r="C7" s="49" t="s">
        <v>220</v>
      </c>
      <c r="D7" s="49" t="s">
        <v>666</v>
      </c>
      <c r="E7" s="49" t="s">
        <v>667</v>
      </c>
      <c r="F7" s="49" t="s">
        <v>220</v>
      </c>
      <c r="G7" s="49" t="s">
        <v>666</v>
      </c>
      <c r="H7" s="49" t="s">
        <v>667</v>
      </c>
      <c r="I7" s="49" t="s">
        <v>220</v>
      </c>
      <c r="J7" s="49" t="s">
        <v>666</v>
      </c>
      <c r="K7" s="49" t="s">
        <v>667</v>
      </c>
    </row>
    <row r="8" spans="1:11" s="60" customFormat="1" ht="34.5" customHeight="1">
      <c r="A8" s="58"/>
      <c r="B8" s="58" t="s">
        <v>188</v>
      </c>
      <c r="C8" s="59">
        <f>+C9+C12+C15+C16</f>
        <v>3239.0675000000001</v>
      </c>
      <c r="D8" s="59"/>
      <c r="E8" s="57">
        <f>+E9+E12+E15+E16</f>
        <v>57914526.900000006</v>
      </c>
      <c r="F8" s="59">
        <f>+F9+F12+F15+F16</f>
        <v>2988.9607738</v>
      </c>
      <c r="G8" s="59"/>
      <c r="H8" s="57">
        <f>+H9+H12+H15+H16</f>
        <v>53442618.635543995</v>
      </c>
      <c r="I8" s="59">
        <f>+I9+I12+I15+I16</f>
        <v>250.10672620000042</v>
      </c>
      <c r="J8" s="59"/>
      <c r="K8" s="57">
        <f>+K9+K12+K15+K16</f>
        <v>4471908.2644560076</v>
      </c>
    </row>
    <row r="9" spans="1:11" s="47" customFormat="1" ht="24" customHeight="1">
      <c r="A9" s="50">
        <v>1</v>
      </c>
      <c r="B9" s="50" t="s">
        <v>307</v>
      </c>
      <c r="C9" s="51">
        <f>SUM(C10:C11)</f>
        <v>446.42</v>
      </c>
      <c r="D9" s="51"/>
      <c r="E9" s="52">
        <f t="shared" ref="E9:K9" si="0">SUM(E10:E11)</f>
        <v>7981989.5999999996</v>
      </c>
      <c r="F9" s="51">
        <f t="shared" si="0"/>
        <v>454.41</v>
      </c>
      <c r="G9" s="51"/>
      <c r="H9" s="52">
        <f t="shared" si="0"/>
        <v>8124850.7999999998</v>
      </c>
      <c r="I9" s="51">
        <f t="shared" si="0"/>
        <v>-7.9900000000000091</v>
      </c>
      <c r="J9" s="51"/>
      <c r="K9" s="52">
        <f t="shared" si="0"/>
        <v>-142861.20000000016</v>
      </c>
    </row>
    <row r="10" spans="1:11" ht="24" customHeight="1">
      <c r="A10" s="48"/>
      <c r="B10" s="48" t="s">
        <v>668</v>
      </c>
      <c r="C10" s="53">
        <v>430.94</v>
      </c>
      <c r="D10" s="53">
        <v>1490</v>
      </c>
      <c r="E10" s="54">
        <f>+C10*D10*12</f>
        <v>7705207.1999999993</v>
      </c>
      <c r="F10" s="53">
        <v>438.93</v>
      </c>
      <c r="G10" s="53">
        <v>1490</v>
      </c>
      <c r="H10" s="54">
        <f>+F10*G10*12</f>
        <v>7848068.3999999994</v>
      </c>
      <c r="I10" s="53">
        <f>+C10-F10</f>
        <v>-7.9900000000000091</v>
      </c>
      <c r="J10" s="53">
        <v>1490</v>
      </c>
      <c r="K10" s="54">
        <f>+I10*J10*12</f>
        <v>-142861.20000000016</v>
      </c>
    </row>
    <row r="11" spans="1:11" ht="24" customHeight="1">
      <c r="A11" s="48"/>
      <c r="B11" s="48" t="s">
        <v>669</v>
      </c>
      <c r="C11" s="53">
        <f>4*3.87</f>
        <v>15.48</v>
      </c>
      <c r="D11" s="53">
        <v>1490</v>
      </c>
      <c r="E11" s="54">
        <f t="shared" ref="E11:E18" si="1">+C11*D11*12</f>
        <v>276782.40000000002</v>
      </c>
      <c r="F11" s="53">
        <f>4*3.87</f>
        <v>15.48</v>
      </c>
      <c r="G11" s="53">
        <v>1490</v>
      </c>
      <c r="H11" s="54">
        <f t="shared" ref="H11:H18" si="2">+F11*G11*12</f>
        <v>276782.40000000002</v>
      </c>
      <c r="I11" s="53">
        <f>+C11-F11</f>
        <v>0</v>
      </c>
      <c r="J11" s="53">
        <v>1490</v>
      </c>
      <c r="K11" s="54">
        <f t="shared" ref="K11:K17" si="3">+I11*J11*12</f>
        <v>0</v>
      </c>
    </row>
    <row r="12" spans="1:11" s="47" customFormat="1" ht="24" customHeight="1">
      <c r="A12" s="50">
        <v>2</v>
      </c>
      <c r="B12" s="50" t="s">
        <v>660</v>
      </c>
      <c r="C12" s="55">
        <f>SUM(C13:C14)</f>
        <v>232.57</v>
      </c>
      <c r="D12" s="55"/>
      <c r="E12" s="56">
        <f t="shared" ref="E12:K12" si="4">SUM(E13:E14)</f>
        <v>4158351.6</v>
      </c>
      <c r="F12" s="55">
        <f t="shared" si="4"/>
        <v>213.03</v>
      </c>
      <c r="G12" s="55"/>
      <c r="H12" s="56">
        <f t="shared" si="4"/>
        <v>3808976.4000000004</v>
      </c>
      <c r="I12" s="55">
        <f t="shared" si="4"/>
        <v>19.539999999999992</v>
      </c>
      <c r="J12" s="55"/>
      <c r="K12" s="56">
        <f t="shared" si="4"/>
        <v>349375.19999999984</v>
      </c>
    </row>
    <row r="13" spans="1:11" ht="24" customHeight="1">
      <c r="A13" s="48"/>
      <c r="B13" s="48" t="s">
        <v>668</v>
      </c>
      <c r="C13" s="53">
        <f>209.35</f>
        <v>209.35</v>
      </c>
      <c r="D13" s="53">
        <v>1490</v>
      </c>
      <c r="E13" s="54">
        <f t="shared" si="1"/>
        <v>3743178</v>
      </c>
      <c r="F13" s="53">
        <v>213.03</v>
      </c>
      <c r="G13" s="53">
        <v>1490</v>
      </c>
      <c r="H13" s="54">
        <f t="shared" si="2"/>
        <v>3808976.4000000004</v>
      </c>
      <c r="I13" s="53">
        <f t="shared" ref="I13:I18" si="5">+C13-F13</f>
        <v>-3.6800000000000068</v>
      </c>
      <c r="J13" s="53">
        <v>1490</v>
      </c>
      <c r="K13" s="54">
        <f t="shared" si="3"/>
        <v>-65798.400000000111</v>
      </c>
    </row>
    <row r="14" spans="1:11" ht="24" customHeight="1">
      <c r="A14" s="48"/>
      <c r="B14" s="48" t="s">
        <v>669</v>
      </c>
      <c r="C14" s="53">
        <f>6*3.87</f>
        <v>23.22</v>
      </c>
      <c r="D14" s="53">
        <v>1490</v>
      </c>
      <c r="E14" s="54">
        <f t="shared" si="1"/>
        <v>415173.6</v>
      </c>
      <c r="F14" s="53"/>
      <c r="G14" s="53">
        <v>1490</v>
      </c>
      <c r="H14" s="54">
        <f t="shared" si="2"/>
        <v>0</v>
      </c>
      <c r="I14" s="53">
        <f t="shared" si="5"/>
        <v>23.22</v>
      </c>
      <c r="J14" s="53">
        <v>1490</v>
      </c>
      <c r="K14" s="54">
        <f t="shared" si="3"/>
        <v>415173.6</v>
      </c>
    </row>
    <row r="15" spans="1:11" s="47" customFormat="1" ht="24" customHeight="1">
      <c r="A15" s="50">
        <v>3</v>
      </c>
      <c r="B15" s="50" t="s">
        <v>216</v>
      </c>
      <c r="C15" s="55">
        <v>122.36</v>
      </c>
      <c r="D15" s="55">
        <v>1490</v>
      </c>
      <c r="E15" s="56">
        <f t="shared" si="1"/>
        <v>2187796.7999999998</v>
      </c>
      <c r="F15" s="55">
        <v>106.09</v>
      </c>
      <c r="G15" s="55">
        <v>1490</v>
      </c>
      <c r="H15" s="56">
        <f t="shared" si="2"/>
        <v>1896889.2000000002</v>
      </c>
      <c r="I15" s="55">
        <f t="shared" si="5"/>
        <v>16.269999999999996</v>
      </c>
      <c r="J15" s="55">
        <v>1490</v>
      </c>
      <c r="K15" s="56">
        <f t="shared" si="3"/>
        <v>290907.59999999998</v>
      </c>
    </row>
    <row r="16" spans="1:11" s="47" customFormat="1" ht="24" customHeight="1">
      <c r="A16" s="50">
        <v>4</v>
      </c>
      <c r="B16" s="50" t="s">
        <v>661</v>
      </c>
      <c r="C16" s="55">
        <f>SUM(C17:C18)</f>
        <v>2437.7175000000002</v>
      </c>
      <c r="D16" s="55">
        <v>1490</v>
      </c>
      <c r="E16" s="56">
        <f t="shared" si="1"/>
        <v>43586388.900000006</v>
      </c>
      <c r="F16" s="55">
        <f>SUM(F17:F18)</f>
        <v>2215.4307737999998</v>
      </c>
      <c r="G16" s="55">
        <v>1490</v>
      </c>
      <c r="H16" s="56">
        <f>+F16*G16*12</f>
        <v>39611902.235543996</v>
      </c>
      <c r="I16" s="55">
        <f>+C16-F16</f>
        <v>222.28672620000043</v>
      </c>
      <c r="J16" s="55">
        <v>1490</v>
      </c>
      <c r="K16" s="56">
        <f t="shared" si="3"/>
        <v>3974486.664456008</v>
      </c>
    </row>
    <row r="17" spans="1:11" ht="24" customHeight="1">
      <c r="A17" s="48"/>
      <c r="B17" s="48" t="s">
        <v>668</v>
      </c>
      <c r="C17" s="53">
        <v>2255.98</v>
      </c>
      <c r="D17" s="53">
        <v>1490</v>
      </c>
      <c r="E17" s="54">
        <f t="shared" si="1"/>
        <v>40336922.400000006</v>
      </c>
      <c r="F17" s="53">
        <v>2186.85</v>
      </c>
      <c r="G17" s="53">
        <v>1490</v>
      </c>
      <c r="H17" s="54">
        <f t="shared" si="2"/>
        <v>39100878</v>
      </c>
      <c r="I17" s="53">
        <f t="shared" si="5"/>
        <v>69.130000000000109</v>
      </c>
      <c r="J17" s="53">
        <v>1490</v>
      </c>
      <c r="K17" s="54">
        <f t="shared" si="3"/>
        <v>1236044.4000000018</v>
      </c>
    </row>
    <row r="18" spans="1:11" ht="24" customHeight="1">
      <c r="A18" s="48"/>
      <c r="B18" s="48" t="s">
        <v>669</v>
      </c>
      <c r="C18" s="53">
        <f>35*5.1925</f>
        <v>181.73749999999998</v>
      </c>
      <c r="D18" s="53">
        <v>1490</v>
      </c>
      <c r="E18" s="54">
        <f t="shared" si="1"/>
        <v>3249466.5</v>
      </c>
      <c r="F18" s="53">
        <v>28.580773800000003</v>
      </c>
      <c r="G18" s="53">
        <v>1490</v>
      </c>
      <c r="H18" s="54">
        <f t="shared" si="2"/>
        <v>511024.23554400005</v>
      </c>
      <c r="I18" s="53">
        <f t="shared" si="5"/>
        <v>153.15672619999998</v>
      </c>
      <c r="J18" s="53">
        <v>1490</v>
      </c>
      <c r="K18" s="54"/>
    </row>
  </sheetData>
  <mergeCells count="4">
    <mergeCell ref="C6:E6"/>
    <mergeCell ref="F6:H6"/>
    <mergeCell ref="I6:K6"/>
    <mergeCell ref="A4:K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72"/>
  <sheetViews>
    <sheetView workbookViewId="0">
      <selection activeCell="D7" sqref="D7"/>
    </sheetView>
  </sheetViews>
  <sheetFormatPr defaultRowHeight="15"/>
  <cols>
    <col min="1" max="1" width="2.625" customWidth="1"/>
    <col min="2" max="2" width="17.125" customWidth="1"/>
    <col min="3" max="4" width="8.125" customWidth="1"/>
    <col min="5" max="5" width="5.125" customWidth="1"/>
    <col min="6" max="6" width="7.125" customWidth="1"/>
    <col min="7" max="7" width="4.375" customWidth="1"/>
    <col min="8" max="8" width="10.625" customWidth="1"/>
    <col min="9" max="9" width="5.625" customWidth="1"/>
    <col min="10" max="10" width="3.5" customWidth="1"/>
    <col min="11" max="11" width="5.625" customWidth="1"/>
    <col min="12" max="12" width="4.125" customWidth="1"/>
    <col min="13" max="13" width="3.125" customWidth="1"/>
    <col min="14" max="14" width="7.5" customWidth="1"/>
    <col min="15" max="15" width="8.5" customWidth="1"/>
    <col min="16" max="16" width="8.625" customWidth="1"/>
    <col min="17" max="17" width="10.875" customWidth="1"/>
    <col min="18" max="18" width="11.875" customWidth="1"/>
    <col min="19" max="19" width="8.625" customWidth="1"/>
    <col min="20" max="20" width="7.875" customWidth="1"/>
    <col min="21" max="21" width="7.375" customWidth="1"/>
    <col min="22" max="22" width="8.125" customWidth="1"/>
    <col min="23" max="23" width="9.125" customWidth="1"/>
    <col min="24" max="24" width="4.375" customWidth="1"/>
    <col min="25" max="25" width="11.875" customWidth="1"/>
    <col min="26" max="26" width="12.5" customWidth="1"/>
    <col min="27" max="27" width="12.625" bestFit="1" customWidth="1"/>
    <col min="257" max="257" width="2.625" customWidth="1"/>
    <col min="258" max="258" width="11.375" customWidth="1"/>
    <col min="259" max="261" width="5.125" customWidth="1"/>
    <col min="262" max="262" width="4.125" customWidth="1"/>
    <col min="263" max="263" width="4.375" customWidth="1"/>
    <col min="264" max="264" width="6.125" customWidth="1"/>
    <col min="265" max="265" width="5.625" customWidth="1"/>
    <col min="266" max="266" width="3.5" customWidth="1"/>
    <col min="267" max="267" width="5.625" customWidth="1"/>
    <col min="268" max="268" width="4.125" customWidth="1"/>
    <col min="269" max="269" width="3.125" customWidth="1"/>
    <col min="270" max="270" width="3.5" customWidth="1"/>
    <col min="271" max="271" width="8.5" customWidth="1"/>
    <col min="272" max="272" width="6.625" customWidth="1"/>
    <col min="273" max="273" width="8.875" customWidth="1"/>
    <col min="274" max="275" width="8.625" customWidth="1"/>
    <col min="276" max="276" width="7.875" customWidth="1"/>
    <col min="277" max="277" width="7.375" customWidth="1"/>
    <col min="278" max="278" width="8.125" customWidth="1"/>
    <col min="279" max="279" width="9.125" customWidth="1"/>
    <col min="280" max="280" width="4.375" customWidth="1"/>
    <col min="281" max="281" width="11.875" customWidth="1"/>
    <col min="282" max="282" width="12.5" customWidth="1"/>
    <col min="283" max="283" width="12.625" bestFit="1" customWidth="1"/>
    <col min="513" max="513" width="2.625" customWidth="1"/>
    <col min="514" max="514" width="11.375" customWidth="1"/>
    <col min="515" max="517" width="5.125" customWidth="1"/>
    <col min="518" max="518" width="4.125" customWidth="1"/>
    <col min="519" max="519" width="4.375" customWidth="1"/>
    <col min="520" max="520" width="6.125" customWidth="1"/>
    <col min="521" max="521" width="5.625" customWidth="1"/>
    <col min="522" max="522" width="3.5" customWidth="1"/>
    <col min="523" max="523" width="5.625" customWidth="1"/>
    <col min="524" max="524" width="4.125" customWidth="1"/>
    <col min="525" max="525" width="3.125" customWidth="1"/>
    <col min="526" max="526" width="3.5" customWidth="1"/>
    <col min="527" max="527" width="8.5" customWidth="1"/>
    <col min="528" max="528" width="6.625" customWidth="1"/>
    <col min="529" max="529" width="8.875" customWidth="1"/>
    <col min="530" max="531" width="8.625" customWidth="1"/>
    <col min="532" max="532" width="7.875" customWidth="1"/>
    <col min="533" max="533" width="7.375" customWidth="1"/>
    <col min="534" max="534" width="8.125" customWidth="1"/>
    <col min="535" max="535" width="9.125" customWidth="1"/>
    <col min="536" max="536" width="4.375" customWidth="1"/>
    <col min="537" max="537" width="11.875" customWidth="1"/>
    <col min="538" max="538" width="12.5" customWidth="1"/>
    <col min="539" max="539" width="12.625" bestFit="1" customWidth="1"/>
    <col min="769" max="769" width="2.625" customWidth="1"/>
    <col min="770" max="770" width="11.375" customWidth="1"/>
    <col min="771" max="773" width="5.125" customWidth="1"/>
    <col min="774" max="774" width="4.125" customWidth="1"/>
    <col min="775" max="775" width="4.375" customWidth="1"/>
    <col min="776" max="776" width="6.125" customWidth="1"/>
    <col min="777" max="777" width="5.625" customWidth="1"/>
    <col min="778" max="778" width="3.5" customWidth="1"/>
    <col min="779" max="779" width="5.625" customWidth="1"/>
    <col min="780" max="780" width="4.125" customWidth="1"/>
    <col min="781" max="781" width="3.125" customWidth="1"/>
    <col min="782" max="782" width="3.5" customWidth="1"/>
    <col min="783" max="783" width="8.5" customWidth="1"/>
    <col min="784" max="784" width="6.625" customWidth="1"/>
    <col min="785" max="785" width="8.875" customWidth="1"/>
    <col min="786" max="787" width="8.625" customWidth="1"/>
    <col min="788" max="788" width="7.875" customWidth="1"/>
    <col min="789" max="789" width="7.375" customWidth="1"/>
    <col min="790" max="790" width="8.125" customWidth="1"/>
    <col min="791" max="791" width="9.125" customWidth="1"/>
    <col min="792" max="792" width="4.375" customWidth="1"/>
    <col min="793" max="793" width="11.875" customWidth="1"/>
    <col min="794" max="794" width="12.5" customWidth="1"/>
    <col min="795" max="795" width="12.625" bestFit="1" customWidth="1"/>
    <col min="1025" max="1025" width="2.625" customWidth="1"/>
    <col min="1026" max="1026" width="11.375" customWidth="1"/>
    <col min="1027" max="1029" width="5.125" customWidth="1"/>
    <col min="1030" max="1030" width="4.125" customWidth="1"/>
    <col min="1031" max="1031" width="4.375" customWidth="1"/>
    <col min="1032" max="1032" width="6.125" customWidth="1"/>
    <col min="1033" max="1033" width="5.625" customWidth="1"/>
    <col min="1034" max="1034" width="3.5" customWidth="1"/>
    <col min="1035" max="1035" width="5.625" customWidth="1"/>
    <col min="1036" max="1036" width="4.125" customWidth="1"/>
    <col min="1037" max="1037" width="3.125" customWidth="1"/>
    <col min="1038" max="1038" width="3.5" customWidth="1"/>
    <col min="1039" max="1039" width="8.5" customWidth="1"/>
    <col min="1040" max="1040" width="6.625" customWidth="1"/>
    <col min="1041" max="1041" width="8.875" customWidth="1"/>
    <col min="1042" max="1043" width="8.625" customWidth="1"/>
    <col min="1044" max="1044" width="7.875" customWidth="1"/>
    <col min="1045" max="1045" width="7.375" customWidth="1"/>
    <col min="1046" max="1046" width="8.125" customWidth="1"/>
    <col min="1047" max="1047" width="9.125" customWidth="1"/>
    <col min="1048" max="1048" width="4.375" customWidth="1"/>
    <col min="1049" max="1049" width="11.875" customWidth="1"/>
    <col min="1050" max="1050" width="12.5" customWidth="1"/>
    <col min="1051" max="1051" width="12.625" bestFit="1" customWidth="1"/>
    <col min="1281" max="1281" width="2.625" customWidth="1"/>
    <col min="1282" max="1282" width="11.375" customWidth="1"/>
    <col min="1283" max="1285" width="5.125" customWidth="1"/>
    <col min="1286" max="1286" width="4.125" customWidth="1"/>
    <col min="1287" max="1287" width="4.375" customWidth="1"/>
    <col min="1288" max="1288" width="6.125" customWidth="1"/>
    <col min="1289" max="1289" width="5.625" customWidth="1"/>
    <col min="1290" max="1290" width="3.5" customWidth="1"/>
    <col min="1291" max="1291" width="5.625" customWidth="1"/>
    <col min="1292" max="1292" width="4.125" customWidth="1"/>
    <col min="1293" max="1293" width="3.125" customWidth="1"/>
    <col min="1294" max="1294" width="3.5" customWidth="1"/>
    <col min="1295" max="1295" width="8.5" customWidth="1"/>
    <col min="1296" max="1296" width="6.625" customWidth="1"/>
    <col min="1297" max="1297" width="8.875" customWidth="1"/>
    <col min="1298" max="1299" width="8.625" customWidth="1"/>
    <col min="1300" max="1300" width="7.875" customWidth="1"/>
    <col min="1301" max="1301" width="7.375" customWidth="1"/>
    <col min="1302" max="1302" width="8.125" customWidth="1"/>
    <col min="1303" max="1303" width="9.125" customWidth="1"/>
    <col min="1304" max="1304" width="4.375" customWidth="1"/>
    <col min="1305" max="1305" width="11.875" customWidth="1"/>
    <col min="1306" max="1306" width="12.5" customWidth="1"/>
    <col min="1307" max="1307" width="12.625" bestFit="1" customWidth="1"/>
    <col min="1537" max="1537" width="2.625" customWidth="1"/>
    <col min="1538" max="1538" width="11.375" customWidth="1"/>
    <col min="1539" max="1541" width="5.125" customWidth="1"/>
    <col min="1542" max="1542" width="4.125" customWidth="1"/>
    <col min="1543" max="1543" width="4.375" customWidth="1"/>
    <col min="1544" max="1544" width="6.125" customWidth="1"/>
    <col min="1545" max="1545" width="5.625" customWidth="1"/>
    <col min="1546" max="1546" width="3.5" customWidth="1"/>
    <col min="1547" max="1547" width="5.625" customWidth="1"/>
    <col min="1548" max="1548" width="4.125" customWidth="1"/>
    <col min="1549" max="1549" width="3.125" customWidth="1"/>
    <col min="1550" max="1550" width="3.5" customWidth="1"/>
    <col min="1551" max="1551" width="8.5" customWidth="1"/>
    <col min="1552" max="1552" width="6.625" customWidth="1"/>
    <col min="1553" max="1553" width="8.875" customWidth="1"/>
    <col min="1554" max="1555" width="8.625" customWidth="1"/>
    <col min="1556" max="1556" width="7.875" customWidth="1"/>
    <col min="1557" max="1557" width="7.375" customWidth="1"/>
    <col min="1558" max="1558" width="8.125" customWidth="1"/>
    <col min="1559" max="1559" width="9.125" customWidth="1"/>
    <col min="1560" max="1560" width="4.375" customWidth="1"/>
    <col min="1561" max="1561" width="11.875" customWidth="1"/>
    <col min="1562" max="1562" width="12.5" customWidth="1"/>
    <col min="1563" max="1563" width="12.625" bestFit="1" customWidth="1"/>
    <col min="1793" max="1793" width="2.625" customWidth="1"/>
    <col min="1794" max="1794" width="11.375" customWidth="1"/>
    <col min="1795" max="1797" width="5.125" customWidth="1"/>
    <col min="1798" max="1798" width="4.125" customWidth="1"/>
    <col min="1799" max="1799" width="4.375" customWidth="1"/>
    <col min="1800" max="1800" width="6.125" customWidth="1"/>
    <col min="1801" max="1801" width="5.625" customWidth="1"/>
    <col min="1802" max="1802" width="3.5" customWidth="1"/>
    <col min="1803" max="1803" width="5.625" customWidth="1"/>
    <col min="1804" max="1804" width="4.125" customWidth="1"/>
    <col min="1805" max="1805" width="3.125" customWidth="1"/>
    <col min="1806" max="1806" width="3.5" customWidth="1"/>
    <col min="1807" max="1807" width="8.5" customWidth="1"/>
    <col min="1808" max="1808" width="6.625" customWidth="1"/>
    <col min="1809" max="1809" width="8.875" customWidth="1"/>
    <col min="1810" max="1811" width="8.625" customWidth="1"/>
    <col min="1812" max="1812" width="7.875" customWidth="1"/>
    <col min="1813" max="1813" width="7.375" customWidth="1"/>
    <col min="1814" max="1814" width="8.125" customWidth="1"/>
    <col min="1815" max="1815" width="9.125" customWidth="1"/>
    <col min="1816" max="1816" width="4.375" customWidth="1"/>
    <col min="1817" max="1817" width="11.875" customWidth="1"/>
    <col min="1818" max="1818" width="12.5" customWidth="1"/>
    <col min="1819" max="1819" width="12.625" bestFit="1" customWidth="1"/>
    <col min="2049" max="2049" width="2.625" customWidth="1"/>
    <col min="2050" max="2050" width="11.375" customWidth="1"/>
    <col min="2051" max="2053" width="5.125" customWidth="1"/>
    <col min="2054" max="2054" width="4.125" customWidth="1"/>
    <col min="2055" max="2055" width="4.375" customWidth="1"/>
    <col min="2056" max="2056" width="6.125" customWidth="1"/>
    <col min="2057" max="2057" width="5.625" customWidth="1"/>
    <col min="2058" max="2058" width="3.5" customWidth="1"/>
    <col min="2059" max="2059" width="5.625" customWidth="1"/>
    <col min="2060" max="2060" width="4.125" customWidth="1"/>
    <col min="2061" max="2061" width="3.125" customWidth="1"/>
    <col min="2062" max="2062" width="3.5" customWidth="1"/>
    <col min="2063" max="2063" width="8.5" customWidth="1"/>
    <col min="2064" max="2064" width="6.625" customWidth="1"/>
    <col min="2065" max="2065" width="8.875" customWidth="1"/>
    <col min="2066" max="2067" width="8.625" customWidth="1"/>
    <col min="2068" max="2068" width="7.875" customWidth="1"/>
    <col min="2069" max="2069" width="7.375" customWidth="1"/>
    <col min="2070" max="2070" width="8.125" customWidth="1"/>
    <col min="2071" max="2071" width="9.125" customWidth="1"/>
    <col min="2072" max="2072" width="4.375" customWidth="1"/>
    <col min="2073" max="2073" width="11.875" customWidth="1"/>
    <col min="2074" max="2074" width="12.5" customWidth="1"/>
    <col min="2075" max="2075" width="12.625" bestFit="1" customWidth="1"/>
    <col min="2305" max="2305" width="2.625" customWidth="1"/>
    <col min="2306" max="2306" width="11.375" customWidth="1"/>
    <col min="2307" max="2309" width="5.125" customWidth="1"/>
    <col min="2310" max="2310" width="4.125" customWidth="1"/>
    <col min="2311" max="2311" width="4.375" customWidth="1"/>
    <col min="2312" max="2312" width="6.125" customWidth="1"/>
    <col min="2313" max="2313" width="5.625" customWidth="1"/>
    <col min="2314" max="2314" width="3.5" customWidth="1"/>
    <col min="2315" max="2315" width="5.625" customWidth="1"/>
    <col min="2316" max="2316" width="4.125" customWidth="1"/>
    <col min="2317" max="2317" width="3.125" customWidth="1"/>
    <col min="2318" max="2318" width="3.5" customWidth="1"/>
    <col min="2319" max="2319" width="8.5" customWidth="1"/>
    <col min="2320" max="2320" width="6.625" customWidth="1"/>
    <col min="2321" max="2321" width="8.875" customWidth="1"/>
    <col min="2322" max="2323" width="8.625" customWidth="1"/>
    <col min="2324" max="2324" width="7.875" customWidth="1"/>
    <col min="2325" max="2325" width="7.375" customWidth="1"/>
    <col min="2326" max="2326" width="8.125" customWidth="1"/>
    <col min="2327" max="2327" width="9.125" customWidth="1"/>
    <col min="2328" max="2328" width="4.375" customWidth="1"/>
    <col min="2329" max="2329" width="11.875" customWidth="1"/>
    <col min="2330" max="2330" width="12.5" customWidth="1"/>
    <col min="2331" max="2331" width="12.625" bestFit="1" customWidth="1"/>
    <col min="2561" max="2561" width="2.625" customWidth="1"/>
    <col min="2562" max="2562" width="11.375" customWidth="1"/>
    <col min="2563" max="2565" width="5.125" customWidth="1"/>
    <col min="2566" max="2566" width="4.125" customWidth="1"/>
    <col min="2567" max="2567" width="4.375" customWidth="1"/>
    <col min="2568" max="2568" width="6.125" customWidth="1"/>
    <col min="2569" max="2569" width="5.625" customWidth="1"/>
    <col min="2570" max="2570" width="3.5" customWidth="1"/>
    <col min="2571" max="2571" width="5.625" customWidth="1"/>
    <col min="2572" max="2572" width="4.125" customWidth="1"/>
    <col min="2573" max="2573" width="3.125" customWidth="1"/>
    <col min="2574" max="2574" width="3.5" customWidth="1"/>
    <col min="2575" max="2575" width="8.5" customWidth="1"/>
    <col min="2576" max="2576" width="6.625" customWidth="1"/>
    <col min="2577" max="2577" width="8.875" customWidth="1"/>
    <col min="2578" max="2579" width="8.625" customWidth="1"/>
    <col min="2580" max="2580" width="7.875" customWidth="1"/>
    <col min="2581" max="2581" width="7.375" customWidth="1"/>
    <col min="2582" max="2582" width="8.125" customWidth="1"/>
    <col min="2583" max="2583" width="9.125" customWidth="1"/>
    <col min="2584" max="2584" width="4.375" customWidth="1"/>
    <col min="2585" max="2585" width="11.875" customWidth="1"/>
    <col min="2586" max="2586" width="12.5" customWidth="1"/>
    <col min="2587" max="2587" width="12.625" bestFit="1" customWidth="1"/>
    <col min="2817" max="2817" width="2.625" customWidth="1"/>
    <col min="2818" max="2818" width="11.375" customWidth="1"/>
    <col min="2819" max="2821" width="5.125" customWidth="1"/>
    <col min="2822" max="2822" width="4.125" customWidth="1"/>
    <col min="2823" max="2823" width="4.375" customWidth="1"/>
    <col min="2824" max="2824" width="6.125" customWidth="1"/>
    <col min="2825" max="2825" width="5.625" customWidth="1"/>
    <col min="2826" max="2826" width="3.5" customWidth="1"/>
    <col min="2827" max="2827" width="5.625" customWidth="1"/>
    <col min="2828" max="2828" width="4.125" customWidth="1"/>
    <col min="2829" max="2829" width="3.125" customWidth="1"/>
    <col min="2830" max="2830" width="3.5" customWidth="1"/>
    <col min="2831" max="2831" width="8.5" customWidth="1"/>
    <col min="2832" max="2832" width="6.625" customWidth="1"/>
    <col min="2833" max="2833" width="8.875" customWidth="1"/>
    <col min="2834" max="2835" width="8.625" customWidth="1"/>
    <col min="2836" max="2836" width="7.875" customWidth="1"/>
    <col min="2837" max="2837" width="7.375" customWidth="1"/>
    <col min="2838" max="2838" width="8.125" customWidth="1"/>
    <col min="2839" max="2839" width="9.125" customWidth="1"/>
    <col min="2840" max="2840" width="4.375" customWidth="1"/>
    <col min="2841" max="2841" width="11.875" customWidth="1"/>
    <col min="2842" max="2842" width="12.5" customWidth="1"/>
    <col min="2843" max="2843" width="12.625" bestFit="1" customWidth="1"/>
    <col min="3073" max="3073" width="2.625" customWidth="1"/>
    <col min="3074" max="3074" width="11.375" customWidth="1"/>
    <col min="3075" max="3077" width="5.125" customWidth="1"/>
    <col min="3078" max="3078" width="4.125" customWidth="1"/>
    <col min="3079" max="3079" width="4.375" customWidth="1"/>
    <col min="3080" max="3080" width="6.125" customWidth="1"/>
    <col min="3081" max="3081" width="5.625" customWidth="1"/>
    <col min="3082" max="3082" width="3.5" customWidth="1"/>
    <col min="3083" max="3083" width="5.625" customWidth="1"/>
    <col min="3084" max="3084" width="4.125" customWidth="1"/>
    <col min="3085" max="3085" width="3.125" customWidth="1"/>
    <col min="3086" max="3086" width="3.5" customWidth="1"/>
    <col min="3087" max="3087" width="8.5" customWidth="1"/>
    <col min="3088" max="3088" width="6.625" customWidth="1"/>
    <col min="3089" max="3089" width="8.875" customWidth="1"/>
    <col min="3090" max="3091" width="8.625" customWidth="1"/>
    <col min="3092" max="3092" width="7.875" customWidth="1"/>
    <col min="3093" max="3093" width="7.375" customWidth="1"/>
    <col min="3094" max="3094" width="8.125" customWidth="1"/>
    <col min="3095" max="3095" width="9.125" customWidth="1"/>
    <col min="3096" max="3096" width="4.375" customWidth="1"/>
    <col min="3097" max="3097" width="11.875" customWidth="1"/>
    <col min="3098" max="3098" width="12.5" customWidth="1"/>
    <col min="3099" max="3099" width="12.625" bestFit="1" customWidth="1"/>
    <col min="3329" max="3329" width="2.625" customWidth="1"/>
    <col min="3330" max="3330" width="11.375" customWidth="1"/>
    <col min="3331" max="3333" width="5.125" customWidth="1"/>
    <col min="3334" max="3334" width="4.125" customWidth="1"/>
    <col min="3335" max="3335" width="4.375" customWidth="1"/>
    <col min="3336" max="3336" width="6.125" customWidth="1"/>
    <col min="3337" max="3337" width="5.625" customWidth="1"/>
    <col min="3338" max="3338" width="3.5" customWidth="1"/>
    <col min="3339" max="3339" width="5.625" customWidth="1"/>
    <col min="3340" max="3340" width="4.125" customWidth="1"/>
    <col min="3341" max="3341" width="3.125" customWidth="1"/>
    <col min="3342" max="3342" width="3.5" customWidth="1"/>
    <col min="3343" max="3343" width="8.5" customWidth="1"/>
    <col min="3344" max="3344" width="6.625" customWidth="1"/>
    <col min="3345" max="3345" width="8.875" customWidth="1"/>
    <col min="3346" max="3347" width="8.625" customWidth="1"/>
    <col min="3348" max="3348" width="7.875" customWidth="1"/>
    <col min="3349" max="3349" width="7.375" customWidth="1"/>
    <col min="3350" max="3350" width="8.125" customWidth="1"/>
    <col min="3351" max="3351" width="9.125" customWidth="1"/>
    <col min="3352" max="3352" width="4.375" customWidth="1"/>
    <col min="3353" max="3353" width="11.875" customWidth="1"/>
    <col min="3354" max="3354" width="12.5" customWidth="1"/>
    <col min="3355" max="3355" width="12.625" bestFit="1" customWidth="1"/>
    <col min="3585" max="3585" width="2.625" customWidth="1"/>
    <col min="3586" max="3586" width="11.375" customWidth="1"/>
    <col min="3587" max="3589" width="5.125" customWidth="1"/>
    <col min="3590" max="3590" width="4.125" customWidth="1"/>
    <col min="3591" max="3591" width="4.375" customWidth="1"/>
    <col min="3592" max="3592" width="6.125" customWidth="1"/>
    <col min="3593" max="3593" width="5.625" customWidth="1"/>
    <col min="3594" max="3594" width="3.5" customWidth="1"/>
    <col min="3595" max="3595" width="5.625" customWidth="1"/>
    <col min="3596" max="3596" width="4.125" customWidth="1"/>
    <col min="3597" max="3597" width="3.125" customWidth="1"/>
    <col min="3598" max="3598" width="3.5" customWidth="1"/>
    <col min="3599" max="3599" width="8.5" customWidth="1"/>
    <col min="3600" max="3600" width="6.625" customWidth="1"/>
    <col min="3601" max="3601" width="8.875" customWidth="1"/>
    <col min="3602" max="3603" width="8.625" customWidth="1"/>
    <col min="3604" max="3604" width="7.875" customWidth="1"/>
    <col min="3605" max="3605" width="7.375" customWidth="1"/>
    <col min="3606" max="3606" width="8.125" customWidth="1"/>
    <col min="3607" max="3607" width="9.125" customWidth="1"/>
    <col min="3608" max="3608" width="4.375" customWidth="1"/>
    <col min="3609" max="3609" width="11.875" customWidth="1"/>
    <col min="3610" max="3610" width="12.5" customWidth="1"/>
    <col min="3611" max="3611" width="12.625" bestFit="1" customWidth="1"/>
    <col min="3841" max="3841" width="2.625" customWidth="1"/>
    <col min="3842" max="3842" width="11.375" customWidth="1"/>
    <col min="3843" max="3845" width="5.125" customWidth="1"/>
    <col min="3846" max="3846" width="4.125" customWidth="1"/>
    <col min="3847" max="3847" width="4.375" customWidth="1"/>
    <col min="3848" max="3848" width="6.125" customWidth="1"/>
    <col min="3849" max="3849" width="5.625" customWidth="1"/>
    <col min="3850" max="3850" width="3.5" customWidth="1"/>
    <col min="3851" max="3851" width="5.625" customWidth="1"/>
    <col min="3852" max="3852" width="4.125" customWidth="1"/>
    <col min="3853" max="3853" width="3.125" customWidth="1"/>
    <col min="3854" max="3854" width="3.5" customWidth="1"/>
    <col min="3855" max="3855" width="8.5" customWidth="1"/>
    <col min="3856" max="3856" width="6.625" customWidth="1"/>
    <col min="3857" max="3857" width="8.875" customWidth="1"/>
    <col min="3858" max="3859" width="8.625" customWidth="1"/>
    <col min="3860" max="3860" width="7.875" customWidth="1"/>
    <col min="3861" max="3861" width="7.375" customWidth="1"/>
    <col min="3862" max="3862" width="8.125" customWidth="1"/>
    <col min="3863" max="3863" width="9.125" customWidth="1"/>
    <col min="3864" max="3864" width="4.375" customWidth="1"/>
    <col min="3865" max="3865" width="11.875" customWidth="1"/>
    <col min="3866" max="3866" width="12.5" customWidth="1"/>
    <col min="3867" max="3867" width="12.625" bestFit="1" customWidth="1"/>
    <col min="4097" max="4097" width="2.625" customWidth="1"/>
    <col min="4098" max="4098" width="11.375" customWidth="1"/>
    <col min="4099" max="4101" width="5.125" customWidth="1"/>
    <col min="4102" max="4102" width="4.125" customWidth="1"/>
    <col min="4103" max="4103" width="4.375" customWidth="1"/>
    <col min="4104" max="4104" width="6.125" customWidth="1"/>
    <col min="4105" max="4105" width="5.625" customWidth="1"/>
    <col min="4106" max="4106" width="3.5" customWidth="1"/>
    <col min="4107" max="4107" width="5.625" customWidth="1"/>
    <col min="4108" max="4108" width="4.125" customWidth="1"/>
    <col min="4109" max="4109" width="3.125" customWidth="1"/>
    <col min="4110" max="4110" width="3.5" customWidth="1"/>
    <col min="4111" max="4111" width="8.5" customWidth="1"/>
    <col min="4112" max="4112" width="6.625" customWidth="1"/>
    <col min="4113" max="4113" width="8.875" customWidth="1"/>
    <col min="4114" max="4115" width="8.625" customWidth="1"/>
    <col min="4116" max="4116" width="7.875" customWidth="1"/>
    <col min="4117" max="4117" width="7.375" customWidth="1"/>
    <col min="4118" max="4118" width="8.125" customWidth="1"/>
    <col min="4119" max="4119" width="9.125" customWidth="1"/>
    <col min="4120" max="4120" width="4.375" customWidth="1"/>
    <col min="4121" max="4121" width="11.875" customWidth="1"/>
    <col min="4122" max="4122" width="12.5" customWidth="1"/>
    <col min="4123" max="4123" width="12.625" bestFit="1" customWidth="1"/>
    <col min="4353" max="4353" width="2.625" customWidth="1"/>
    <col min="4354" max="4354" width="11.375" customWidth="1"/>
    <col min="4355" max="4357" width="5.125" customWidth="1"/>
    <col min="4358" max="4358" width="4.125" customWidth="1"/>
    <col min="4359" max="4359" width="4.375" customWidth="1"/>
    <col min="4360" max="4360" width="6.125" customWidth="1"/>
    <col min="4361" max="4361" width="5.625" customWidth="1"/>
    <col min="4362" max="4362" width="3.5" customWidth="1"/>
    <col min="4363" max="4363" width="5.625" customWidth="1"/>
    <col min="4364" max="4364" width="4.125" customWidth="1"/>
    <col min="4365" max="4365" width="3.125" customWidth="1"/>
    <col min="4366" max="4366" width="3.5" customWidth="1"/>
    <col min="4367" max="4367" width="8.5" customWidth="1"/>
    <col min="4368" max="4368" width="6.625" customWidth="1"/>
    <col min="4369" max="4369" width="8.875" customWidth="1"/>
    <col min="4370" max="4371" width="8.625" customWidth="1"/>
    <col min="4372" max="4372" width="7.875" customWidth="1"/>
    <col min="4373" max="4373" width="7.375" customWidth="1"/>
    <col min="4374" max="4374" width="8.125" customWidth="1"/>
    <col min="4375" max="4375" width="9.125" customWidth="1"/>
    <col min="4376" max="4376" width="4.375" customWidth="1"/>
    <col min="4377" max="4377" width="11.875" customWidth="1"/>
    <col min="4378" max="4378" width="12.5" customWidth="1"/>
    <col min="4379" max="4379" width="12.625" bestFit="1" customWidth="1"/>
    <col min="4609" max="4609" width="2.625" customWidth="1"/>
    <col min="4610" max="4610" width="11.375" customWidth="1"/>
    <col min="4611" max="4613" width="5.125" customWidth="1"/>
    <col min="4614" max="4614" width="4.125" customWidth="1"/>
    <col min="4615" max="4615" width="4.375" customWidth="1"/>
    <col min="4616" max="4616" width="6.125" customWidth="1"/>
    <col min="4617" max="4617" width="5.625" customWidth="1"/>
    <col min="4618" max="4618" width="3.5" customWidth="1"/>
    <col min="4619" max="4619" width="5.625" customWidth="1"/>
    <col min="4620" max="4620" width="4.125" customWidth="1"/>
    <col min="4621" max="4621" width="3.125" customWidth="1"/>
    <col min="4622" max="4622" width="3.5" customWidth="1"/>
    <col min="4623" max="4623" width="8.5" customWidth="1"/>
    <col min="4624" max="4624" width="6.625" customWidth="1"/>
    <col min="4625" max="4625" width="8.875" customWidth="1"/>
    <col min="4626" max="4627" width="8.625" customWidth="1"/>
    <col min="4628" max="4628" width="7.875" customWidth="1"/>
    <col min="4629" max="4629" width="7.375" customWidth="1"/>
    <col min="4630" max="4630" width="8.125" customWidth="1"/>
    <col min="4631" max="4631" width="9.125" customWidth="1"/>
    <col min="4632" max="4632" width="4.375" customWidth="1"/>
    <col min="4633" max="4633" width="11.875" customWidth="1"/>
    <col min="4634" max="4634" width="12.5" customWidth="1"/>
    <col min="4635" max="4635" width="12.625" bestFit="1" customWidth="1"/>
    <col min="4865" max="4865" width="2.625" customWidth="1"/>
    <col min="4866" max="4866" width="11.375" customWidth="1"/>
    <col min="4867" max="4869" width="5.125" customWidth="1"/>
    <col min="4870" max="4870" width="4.125" customWidth="1"/>
    <col min="4871" max="4871" width="4.375" customWidth="1"/>
    <col min="4872" max="4872" width="6.125" customWidth="1"/>
    <col min="4873" max="4873" width="5.625" customWidth="1"/>
    <col min="4874" max="4874" width="3.5" customWidth="1"/>
    <col min="4875" max="4875" width="5.625" customWidth="1"/>
    <col min="4876" max="4876" width="4.125" customWidth="1"/>
    <col min="4877" max="4877" width="3.125" customWidth="1"/>
    <col min="4878" max="4878" width="3.5" customWidth="1"/>
    <col min="4879" max="4879" width="8.5" customWidth="1"/>
    <col min="4880" max="4880" width="6.625" customWidth="1"/>
    <col min="4881" max="4881" width="8.875" customWidth="1"/>
    <col min="4882" max="4883" width="8.625" customWidth="1"/>
    <col min="4884" max="4884" width="7.875" customWidth="1"/>
    <col min="4885" max="4885" width="7.375" customWidth="1"/>
    <col min="4886" max="4886" width="8.125" customWidth="1"/>
    <col min="4887" max="4887" width="9.125" customWidth="1"/>
    <col min="4888" max="4888" width="4.375" customWidth="1"/>
    <col min="4889" max="4889" width="11.875" customWidth="1"/>
    <col min="4890" max="4890" width="12.5" customWidth="1"/>
    <col min="4891" max="4891" width="12.625" bestFit="1" customWidth="1"/>
    <col min="5121" max="5121" width="2.625" customWidth="1"/>
    <col min="5122" max="5122" width="11.375" customWidth="1"/>
    <col min="5123" max="5125" width="5.125" customWidth="1"/>
    <col min="5126" max="5126" width="4.125" customWidth="1"/>
    <col min="5127" max="5127" width="4.375" customWidth="1"/>
    <col min="5128" max="5128" width="6.125" customWidth="1"/>
    <col min="5129" max="5129" width="5.625" customWidth="1"/>
    <col min="5130" max="5130" width="3.5" customWidth="1"/>
    <col min="5131" max="5131" width="5.625" customWidth="1"/>
    <col min="5132" max="5132" width="4.125" customWidth="1"/>
    <col min="5133" max="5133" width="3.125" customWidth="1"/>
    <col min="5134" max="5134" width="3.5" customWidth="1"/>
    <col min="5135" max="5135" width="8.5" customWidth="1"/>
    <col min="5136" max="5136" width="6.625" customWidth="1"/>
    <col min="5137" max="5137" width="8.875" customWidth="1"/>
    <col min="5138" max="5139" width="8.625" customWidth="1"/>
    <col min="5140" max="5140" width="7.875" customWidth="1"/>
    <col min="5141" max="5141" width="7.375" customWidth="1"/>
    <col min="5142" max="5142" width="8.125" customWidth="1"/>
    <col min="5143" max="5143" width="9.125" customWidth="1"/>
    <col min="5144" max="5144" width="4.375" customWidth="1"/>
    <col min="5145" max="5145" width="11.875" customWidth="1"/>
    <col min="5146" max="5146" width="12.5" customWidth="1"/>
    <col min="5147" max="5147" width="12.625" bestFit="1" customWidth="1"/>
    <col min="5377" max="5377" width="2.625" customWidth="1"/>
    <col min="5378" max="5378" width="11.375" customWidth="1"/>
    <col min="5379" max="5381" width="5.125" customWidth="1"/>
    <col min="5382" max="5382" width="4.125" customWidth="1"/>
    <col min="5383" max="5383" width="4.375" customWidth="1"/>
    <col min="5384" max="5384" width="6.125" customWidth="1"/>
    <col min="5385" max="5385" width="5.625" customWidth="1"/>
    <col min="5386" max="5386" width="3.5" customWidth="1"/>
    <col min="5387" max="5387" width="5.625" customWidth="1"/>
    <col min="5388" max="5388" width="4.125" customWidth="1"/>
    <col min="5389" max="5389" width="3.125" customWidth="1"/>
    <col min="5390" max="5390" width="3.5" customWidth="1"/>
    <col min="5391" max="5391" width="8.5" customWidth="1"/>
    <col min="5392" max="5392" width="6.625" customWidth="1"/>
    <col min="5393" max="5393" width="8.875" customWidth="1"/>
    <col min="5394" max="5395" width="8.625" customWidth="1"/>
    <col min="5396" max="5396" width="7.875" customWidth="1"/>
    <col min="5397" max="5397" width="7.375" customWidth="1"/>
    <col min="5398" max="5398" width="8.125" customWidth="1"/>
    <col min="5399" max="5399" width="9.125" customWidth="1"/>
    <col min="5400" max="5400" width="4.375" customWidth="1"/>
    <col min="5401" max="5401" width="11.875" customWidth="1"/>
    <col min="5402" max="5402" width="12.5" customWidth="1"/>
    <col min="5403" max="5403" width="12.625" bestFit="1" customWidth="1"/>
    <col min="5633" max="5633" width="2.625" customWidth="1"/>
    <col min="5634" max="5634" width="11.375" customWidth="1"/>
    <col min="5635" max="5637" width="5.125" customWidth="1"/>
    <col min="5638" max="5638" width="4.125" customWidth="1"/>
    <col min="5639" max="5639" width="4.375" customWidth="1"/>
    <col min="5640" max="5640" width="6.125" customWidth="1"/>
    <col min="5641" max="5641" width="5.625" customWidth="1"/>
    <col min="5642" max="5642" width="3.5" customWidth="1"/>
    <col min="5643" max="5643" width="5.625" customWidth="1"/>
    <col min="5644" max="5644" width="4.125" customWidth="1"/>
    <col min="5645" max="5645" width="3.125" customWidth="1"/>
    <col min="5646" max="5646" width="3.5" customWidth="1"/>
    <col min="5647" max="5647" width="8.5" customWidth="1"/>
    <col min="5648" max="5648" width="6.625" customWidth="1"/>
    <col min="5649" max="5649" width="8.875" customWidth="1"/>
    <col min="5650" max="5651" width="8.625" customWidth="1"/>
    <col min="5652" max="5652" width="7.875" customWidth="1"/>
    <col min="5653" max="5653" width="7.375" customWidth="1"/>
    <col min="5654" max="5654" width="8.125" customWidth="1"/>
    <col min="5655" max="5655" width="9.125" customWidth="1"/>
    <col min="5656" max="5656" width="4.375" customWidth="1"/>
    <col min="5657" max="5657" width="11.875" customWidth="1"/>
    <col min="5658" max="5658" width="12.5" customWidth="1"/>
    <col min="5659" max="5659" width="12.625" bestFit="1" customWidth="1"/>
    <col min="5889" max="5889" width="2.625" customWidth="1"/>
    <col min="5890" max="5890" width="11.375" customWidth="1"/>
    <col min="5891" max="5893" width="5.125" customWidth="1"/>
    <col min="5894" max="5894" width="4.125" customWidth="1"/>
    <col min="5895" max="5895" width="4.375" customWidth="1"/>
    <col min="5896" max="5896" width="6.125" customWidth="1"/>
    <col min="5897" max="5897" width="5.625" customWidth="1"/>
    <col min="5898" max="5898" width="3.5" customWidth="1"/>
    <col min="5899" max="5899" width="5.625" customWidth="1"/>
    <col min="5900" max="5900" width="4.125" customWidth="1"/>
    <col min="5901" max="5901" width="3.125" customWidth="1"/>
    <col min="5902" max="5902" width="3.5" customWidth="1"/>
    <col min="5903" max="5903" width="8.5" customWidth="1"/>
    <col min="5904" max="5904" width="6.625" customWidth="1"/>
    <col min="5905" max="5905" width="8.875" customWidth="1"/>
    <col min="5906" max="5907" width="8.625" customWidth="1"/>
    <col min="5908" max="5908" width="7.875" customWidth="1"/>
    <col min="5909" max="5909" width="7.375" customWidth="1"/>
    <col min="5910" max="5910" width="8.125" customWidth="1"/>
    <col min="5911" max="5911" width="9.125" customWidth="1"/>
    <col min="5912" max="5912" width="4.375" customWidth="1"/>
    <col min="5913" max="5913" width="11.875" customWidth="1"/>
    <col min="5914" max="5914" width="12.5" customWidth="1"/>
    <col min="5915" max="5915" width="12.625" bestFit="1" customWidth="1"/>
    <col min="6145" max="6145" width="2.625" customWidth="1"/>
    <col min="6146" max="6146" width="11.375" customWidth="1"/>
    <col min="6147" max="6149" width="5.125" customWidth="1"/>
    <col min="6150" max="6150" width="4.125" customWidth="1"/>
    <col min="6151" max="6151" width="4.375" customWidth="1"/>
    <col min="6152" max="6152" width="6.125" customWidth="1"/>
    <col min="6153" max="6153" width="5.625" customWidth="1"/>
    <col min="6154" max="6154" width="3.5" customWidth="1"/>
    <col min="6155" max="6155" width="5.625" customWidth="1"/>
    <col min="6156" max="6156" width="4.125" customWidth="1"/>
    <col min="6157" max="6157" width="3.125" customWidth="1"/>
    <col min="6158" max="6158" width="3.5" customWidth="1"/>
    <col min="6159" max="6159" width="8.5" customWidth="1"/>
    <col min="6160" max="6160" width="6.625" customWidth="1"/>
    <col min="6161" max="6161" width="8.875" customWidth="1"/>
    <col min="6162" max="6163" width="8.625" customWidth="1"/>
    <col min="6164" max="6164" width="7.875" customWidth="1"/>
    <col min="6165" max="6165" width="7.375" customWidth="1"/>
    <col min="6166" max="6166" width="8.125" customWidth="1"/>
    <col min="6167" max="6167" width="9.125" customWidth="1"/>
    <col min="6168" max="6168" width="4.375" customWidth="1"/>
    <col min="6169" max="6169" width="11.875" customWidth="1"/>
    <col min="6170" max="6170" width="12.5" customWidth="1"/>
    <col min="6171" max="6171" width="12.625" bestFit="1" customWidth="1"/>
    <col min="6401" max="6401" width="2.625" customWidth="1"/>
    <col min="6402" max="6402" width="11.375" customWidth="1"/>
    <col min="6403" max="6405" width="5.125" customWidth="1"/>
    <col min="6406" max="6406" width="4.125" customWidth="1"/>
    <col min="6407" max="6407" width="4.375" customWidth="1"/>
    <col min="6408" max="6408" width="6.125" customWidth="1"/>
    <col min="6409" max="6409" width="5.625" customWidth="1"/>
    <col min="6410" max="6410" width="3.5" customWidth="1"/>
    <col min="6411" max="6411" width="5.625" customWidth="1"/>
    <col min="6412" max="6412" width="4.125" customWidth="1"/>
    <col min="6413" max="6413" width="3.125" customWidth="1"/>
    <col min="6414" max="6414" width="3.5" customWidth="1"/>
    <col min="6415" max="6415" width="8.5" customWidth="1"/>
    <col min="6416" max="6416" width="6.625" customWidth="1"/>
    <col min="6417" max="6417" width="8.875" customWidth="1"/>
    <col min="6418" max="6419" width="8.625" customWidth="1"/>
    <col min="6420" max="6420" width="7.875" customWidth="1"/>
    <col min="6421" max="6421" width="7.375" customWidth="1"/>
    <col min="6422" max="6422" width="8.125" customWidth="1"/>
    <col min="6423" max="6423" width="9.125" customWidth="1"/>
    <col min="6424" max="6424" width="4.375" customWidth="1"/>
    <col min="6425" max="6425" width="11.875" customWidth="1"/>
    <col min="6426" max="6426" width="12.5" customWidth="1"/>
    <col min="6427" max="6427" width="12.625" bestFit="1" customWidth="1"/>
    <col min="6657" max="6657" width="2.625" customWidth="1"/>
    <col min="6658" max="6658" width="11.375" customWidth="1"/>
    <col min="6659" max="6661" width="5.125" customWidth="1"/>
    <col min="6662" max="6662" width="4.125" customWidth="1"/>
    <col min="6663" max="6663" width="4.375" customWidth="1"/>
    <col min="6664" max="6664" width="6.125" customWidth="1"/>
    <col min="6665" max="6665" width="5.625" customWidth="1"/>
    <col min="6666" max="6666" width="3.5" customWidth="1"/>
    <col min="6667" max="6667" width="5.625" customWidth="1"/>
    <col min="6668" max="6668" width="4.125" customWidth="1"/>
    <col min="6669" max="6669" width="3.125" customWidth="1"/>
    <col min="6670" max="6670" width="3.5" customWidth="1"/>
    <col min="6671" max="6671" width="8.5" customWidth="1"/>
    <col min="6672" max="6672" width="6.625" customWidth="1"/>
    <col min="6673" max="6673" width="8.875" customWidth="1"/>
    <col min="6674" max="6675" width="8.625" customWidth="1"/>
    <col min="6676" max="6676" width="7.875" customWidth="1"/>
    <col min="6677" max="6677" width="7.375" customWidth="1"/>
    <col min="6678" max="6678" width="8.125" customWidth="1"/>
    <col min="6679" max="6679" width="9.125" customWidth="1"/>
    <col min="6680" max="6680" width="4.375" customWidth="1"/>
    <col min="6681" max="6681" width="11.875" customWidth="1"/>
    <col min="6682" max="6682" width="12.5" customWidth="1"/>
    <col min="6683" max="6683" width="12.625" bestFit="1" customWidth="1"/>
    <col min="6913" max="6913" width="2.625" customWidth="1"/>
    <col min="6914" max="6914" width="11.375" customWidth="1"/>
    <col min="6915" max="6917" width="5.125" customWidth="1"/>
    <col min="6918" max="6918" width="4.125" customWidth="1"/>
    <col min="6919" max="6919" width="4.375" customWidth="1"/>
    <col min="6920" max="6920" width="6.125" customWidth="1"/>
    <col min="6921" max="6921" width="5.625" customWidth="1"/>
    <col min="6922" max="6922" width="3.5" customWidth="1"/>
    <col min="6923" max="6923" width="5.625" customWidth="1"/>
    <col min="6924" max="6924" width="4.125" customWidth="1"/>
    <col min="6925" max="6925" width="3.125" customWidth="1"/>
    <col min="6926" max="6926" width="3.5" customWidth="1"/>
    <col min="6927" max="6927" width="8.5" customWidth="1"/>
    <col min="6928" max="6928" width="6.625" customWidth="1"/>
    <col min="6929" max="6929" width="8.875" customWidth="1"/>
    <col min="6930" max="6931" width="8.625" customWidth="1"/>
    <col min="6932" max="6932" width="7.875" customWidth="1"/>
    <col min="6933" max="6933" width="7.375" customWidth="1"/>
    <col min="6934" max="6934" width="8.125" customWidth="1"/>
    <col min="6935" max="6935" width="9.125" customWidth="1"/>
    <col min="6936" max="6936" width="4.375" customWidth="1"/>
    <col min="6937" max="6937" width="11.875" customWidth="1"/>
    <col min="6938" max="6938" width="12.5" customWidth="1"/>
    <col min="6939" max="6939" width="12.625" bestFit="1" customWidth="1"/>
    <col min="7169" max="7169" width="2.625" customWidth="1"/>
    <col min="7170" max="7170" width="11.375" customWidth="1"/>
    <col min="7171" max="7173" width="5.125" customWidth="1"/>
    <col min="7174" max="7174" width="4.125" customWidth="1"/>
    <col min="7175" max="7175" width="4.375" customWidth="1"/>
    <col min="7176" max="7176" width="6.125" customWidth="1"/>
    <col min="7177" max="7177" width="5.625" customWidth="1"/>
    <col min="7178" max="7178" width="3.5" customWidth="1"/>
    <col min="7179" max="7179" width="5.625" customWidth="1"/>
    <col min="7180" max="7180" width="4.125" customWidth="1"/>
    <col min="7181" max="7181" width="3.125" customWidth="1"/>
    <col min="7182" max="7182" width="3.5" customWidth="1"/>
    <col min="7183" max="7183" width="8.5" customWidth="1"/>
    <col min="7184" max="7184" width="6.625" customWidth="1"/>
    <col min="7185" max="7185" width="8.875" customWidth="1"/>
    <col min="7186" max="7187" width="8.625" customWidth="1"/>
    <col min="7188" max="7188" width="7.875" customWidth="1"/>
    <col min="7189" max="7189" width="7.375" customWidth="1"/>
    <col min="7190" max="7190" width="8.125" customWidth="1"/>
    <col min="7191" max="7191" width="9.125" customWidth="1"/>
    <col min="7192" max="7192" width="4.375" customWidth="1"/>
    <col min="7193" max="7193" width="11.875" customWidth="1"/>
    <col min="7194" max="7194" width="12.5" customWidth="1"/>
    <col min="7195" max="7195" width="12.625" bestFit="1" customWidth="1"/>
    <col min="7425" max="7425" width="2.625" customWidth="1"/>
    <col min="7426" max="7426" width="11.375" customWidth="1"/>
    <col min="7427" max="7429" width="5.125" customWidth="1"/>
    <col min="7430" max="7430" width="4.125" customWidth="1"/>
    <col min="7431" max="7431" width="4.375" customWidth="1"/>
    <col min="7432" max="7432" width="6.125" customWidth="1"/>
    <col min="7433" max="7433" width="5.625" customWidth="1"/>
    <col min="7434" max="7434" width="3.5" customWidth="1"/>
    <col min="7435" max="7435" width="5.625" customWidth="1"/>
    <col min="7436" max="7436" width="4.125" customWidth="1"/>
    <col min="7437" max="7437" width="3.125" customWidth="1"/>
    <col min="7438" max="7438" width="3.5" customWidth="1"/>
    <col min="7439" max="7439" width="8.5" customWidth="1"/>
    <col min="7440" max="7440" width="6.625" customWidth="1"/>
    <col min="7441" max="7441" width="8.875" customWidth="1"/>
    <col min="7442" max="7443" width="8.625" customWidth="1"/>
    <col min="7444" max="7444" width="7.875" customWidth="1"/>
    <col min="7445" max="7445" width="7.375" customWidth="1"/>
    <col min="7446" max="7446" width="8.125" customWidth="1"/>
    <col min="7447" max="7447" width="9.125" customWidth="1"/>
    <col min="7448" max="7448" width="4.375" customWidth="1"/>
    <col min="7449" max="7449" width="11.875" customWidth="1"/>
    <col min="7450" max="7450" width="12.5" customWidth="1"/>
    <col min="7451" max="7451" width="12.625" bestFit="1" customWidth="1"/>
    <col min="7681" max="7681" width="2.625" customWidth="1"/>
    <col min="7682" max="7682" width="11.375" customWidth="1"/>
    <col min="7683" max="7685" width="5.125" customWidth="1"/>
    <col min="7686" max="7686" width="4.125" customWidth="1"/>
    <col min="7687" max="7687" width="4.375" customWidth="1"/>
    <col min="7688" max="7688" width="6.125" customWidth="1"/>
    <col min="7689" max="7689" width="5.625" customWidth="1"/>
    <col min="7690" max="7690" width="3.5" customWidth="1"/>
    <col min="7691" max="7691" width="5.625" customWidth="1"/>
    <col min="7692" max="7692" width="4.125" customWidth="1"/>
    <col min="7693" max="7693" width="3.125" customWidth="1"/>
    <col min="7694" max="7694" width="3.5" customWidth="1"/>
    <col min="7695" max="7695" width="8.5" customWidth="1"/>
    <col min="7696" max="7696" width="6.625" customWidth="1"/>
    <col min="7697" max="7697" width="8.875" customWidth="1"/>
    <col min="7698" max="7699" width="8.625" customWidth="1"/>
    <col min="7700" max="7700" width="7.875" customWidth="1"/>
    <col min="7701" max="7701" width="7.375" customWidth="1"/>
    <col min="7702" max="7702" width="8.125" customWidth="1"/>
    <col min="7703" max="7703" width="9.125" customWidth="1"/>
    <col min="7704" max="7704" width="4.375" customWidth="1"/>
    <col min="7705" max="7705" width="11.875" customWidth="1"/>
    <col min="7706" max="7706" width="12.5" customWidth="1"/>
    <col min="7707" max="7707" width="12.625" bestFit="1" customWidth="1"/>
    <col min="7937" max="7937" width="2.625" customWidth="1"/>
    <col min="7938" max="7938" width="11.375" customWidth="1"/>
    <col min="7939" max="7941" width="5.125" customWidth="1"/>
    <col min="7942" max="7942" width="4.125" customWidth="1"/>
    <col min="7943" max="7943" width="4.375" customWidth="1"/>
    <col min="7944" max="7944" width="6.125" customWidth="1"/>
    <col min="7945" max="7945" width="5.625" customWidth="1"/>
    <col min="7946" max="7946" width="3.5" customWidth="1"/>
    <col min="7947" max="7947" width="5.625" customWidth="1"/>
    <col min="7948" max="7948" width="4.125" customWidth="1"/>
    <col min="7949" max="7949" width="3.125" customWidth="1"/>
    <col min="7950" max="7950" width="3.5" customWidth="1"/>
    <col min="7951" max="7951" width="8.5" customWidth="1"/>
    <col min="7952" max="7952" width="6.625" customWidth="1"/>
    <col min="7953" max="7953" width="8.875" customWidth="1"/>
    <col min="7954" max="7955" width="8.625" customWidth="1"/>
    <col min="7956" max="7956" width="7.875" customWidth="1"/>
    <col min="7957" max="7957" width="7.375" customWidth="1"/>
    <col min="7958" max="7958" width="8.125" customWidth="1"/>
    <col min="7959" max="7959" width="9.125" customWidth="1"/>
    <col min="7960" max="7960" width="4.375" customWidth="1"/>
    <col min="7961" max="7961" width="11.875" customWidth="1"/>
    <col min="7962" max="7962" width="12.5" customWidth="1"/>
    <col min="7963" max="7963" width="12.625" bestFit="1" customWidth="1"/>
    <col min="8193" max="8193" width="2.625" customWidth="1"/>
    <col min="8194" max="8194" width="11.375" customWidth="1"/>
    <col min="8195" max="8197" width="5.125" customWidth="1"/>
    <col min="8198" max="8198" width="4.125" customWidth="1"/>
    <col min="8199" max="8199" width="4.375" customWidth="1"/>
    <col min="8200" max="8200" width="6.125" customWidth="1"/>
    <col min="8201" max="8201" width="5.625" customWidth="1"/>
    <col min="8202" max="8202" width="3.5" customWidth="1"/>
    <col min="8203" max="8203" width="5.625" customWidth="1"/>
    <col min="8204" max="8204" width="4.125" customWidth="1"/>
    <col min="8205" max="8205" width="3.125" customWidth="1"/>
    <col min="8206" max="8206" width="3.5" customWidth="1"/>
    <col min="8207" max="8207" width="8.5" customWidth="1"/>
    <col min="8208" max="8208" width="6.625" customWidth="1"/>
    <col min="8209" max="8209" width="8.875" customWidth="1"/>
    <col min="8210" max="8211" width="8.625" customWidth="1"/>
    <col min="8212" max="8212" width="7.875" customWidth="1"/>
    <col min="8213" max="8213" width="7.375" customWidth="1"/>
    <col min="8214" max="8214" width="8.125" customWidth="1"/>
    <col min="8215" max="8215" width="9.125" customWidth="1"/>
    <col min="8216" max="8216" width="4.375" customWidth="1"/>
    <col min="8217" max="8217" width="11.875" customWidth="1"/>
    <col min="8218" max="8218" width="12.5" customWidth="1"/>
    <col min="8219" max="8219" width="12.625" bestFit="1" customWidth="1"/>
    <col min="8449" max="8449" width="2.625" customWidth="1"/>
    <col min="8450" max="8450" width="11.375" customWidth="1"/>
    <col min="8451" max="8453" width="5.125" customWidth="1"/>
    <col min="8454" max="8454" width="4.125" customWidth="1"/>
    <col min="8455" max="8455" width="4.375" customWidth="1"/>
    <col min="8456" max="8456" width="6.125" customWidth="1"/>
    <col min="8457" max="8457" width="5.625" customWidth="1"/>
    <col min="8458" max="8458" width="3.5" customWidth="1"/>
    <col min="8459" max="8459" width="5.625" customWidth="1"/>
    <col min="8460" max="8460" width="4.125" customWidth="1"/>
    <col min="8461" max="8461" width="3.125" customWidth="1"/>
    <col min="8462" max="8462" width="3.5" customWidth="1"/>
    <col min="8463" max="8463" width="8.5" customWidth="1"/>
    <col min="8464" max="8464" width="6.625" customWidth="1"/>
    <col min="8465" max="8465" width="8.875" customWidth="1"/>
    <col min="8466" max="8467" width="8.625" customWidth="1"/>
    <col min="8468" max="8468" width="7.875" customWidth="1"/>
    <col min="8469" max="8469" width="7.375" customWidth="1"/>
    <col min="8470" max="8470" width="8.125" customWidth="1"/>
    <col min="8471" max="8471" width="9.125" customWidth="1"/>
    <col min="8472" max="8472" width="4.375" customWidth="1"/>
    <col min="8473" max="8473" width="11.875" customWidth="1"/>
    <col min="8474" max="8474" width="12.5" customWidth="1"/>
    <col min="8475" max="8475" width="12.625" bestFit="1" customWidth="1"/>
    <col min="8705" max="8705" width="2.625" customWidth="1"/>
    <col min="8706" max="8706" width="11.375" customWidth="1"/>
    <col min="8707" max="8709" width="5.125" customWidth="1"/>
    <col min="8710" max="8710" width="4.125" customWidth="1"/>
    <col min="8711" max="8711" width="4.375" customWidth="1"/>
    <col min="8712" max="8712" width="6.125" customWidth="1"/>
    <col min="8713" max="8713" width="5.625" customWidth="1"/>
    <col min="8714" max="8714" width="3.5" customWidth="1"/>
    <col min="8715" max="8715" width="5.625" customWidth="1"/>
    <col min="8716" max="8716" width="4.125" customWidth="1"/>
    <col min="8717" max="8717" width="3.125" customWidth="1"/>
    <col min="8718" max="8718" width="3.5" customWidth="1"/>
    <col min="8719" max="8719" width="8.5" customWidth="1"/>
    <col min="8720" max="8720" width="6.625" customWidth="1"/>
    <col min="8721" max="8721" width="8.875" customWidth="1"/>
    <col min="8722" max="8723" width="8.625" customWidth="1"/>
    <col min="8724" max="8724" width="7.875" customWidth="1"/>
    <col min="8725" max="8725" width="7.375" customWidth="1"/>
    <col min="8726" max="8726" width="8.125" customWidth="1"/>
    <col min="8727" max="8727" width="9.125" customWidth="1"/>
    <col min="8728" max="8728" width="4.375" customWidth="1"/>
    <col min="8729" max="8729" width="11.875" customWidth="1"/>
    <col min="8730" max="8730" width="12.5" customWidth="1"/>
    <col min="8731" max="8731" width="12.625" bestFit="1" customWidth="1"/>
    <col min="8961" max="8961" width="2.625" customWidth="1"/>
    <col min="8962" max="8962" width="11.375" customWidth="1"/>
    <col min="8963" max="8965" width="5.125" customWidth="1"/>
    <col min="8966" max="8966" width="4.125" customWidth="1"/>
    <col min="8967" max="8967" width="4.375" customWidth="1"/>
    <col min="8968" max="8968" width="6.125" customWidth="1"/>
    <col min="8969" max="8969" width="5.625" customWidth="1"/>
    <col min="8970" max="8970" width="3.5" customWidth="1"/>
    <col min="8971" max="8971" width="5.625" customWidth="1"/>
    <col min="8972" max="8972" width="4.125" customWidth="1"/>
    <col min="8973" max="8973" width="3.125" customWidth="1"/>
    <col min="8974" max="8974" width="3.5" customWidth="1"/>
    <col min="8975" max="8975" width="8.5" customWidth="1"/>
    <col min="8976" max="8976" width="6.625" customWidth="1"/>
    <col min="8977" max="8977" width="8.875" customWidth="1"/>
    <col min="8978" max="8979" width="8.625" customWidth="1"/>
    <col min="8980" max="8980" width="7.875" customWidth="1"/>
    <col min="8981" max="8981" width="7.375" customWidth="1"/>
    <col min="8982" max="8982" width="8.125" customWidth="1"/>
    <col min="8983" max="8983" width="9.125" customWidth="1"/>
    <col min="8984" max="8984" width="4.375" customWidth="1"/>
    <col min="8985" max="8985" width="11.875" customWidth="1"/>
    <col min="8986" max="8986" width="12.5" customWidth="1"/>
    <col min="8987" max="8987" width="12.625" bestFit="1" customWidth="1"/>
    <col min="9217" max="9217" width="2.625" customWidth="1"/>
    <col min="9218" max="9218" width="11.375" customWidth="1"/>
    <col min="9219" max="9221" width="5.125" customWidth="1"/>
    <col min="9222" max="9222" width="4.125" customWidth="1"/>
    <col min="9223" max="9223" width="4.375" customWidth="1"/>
    <col min="9224" max="9224" width="6.125" customWidth="1"/>
    <col min="9225" max="9225" width="5.625" customWidth="1"/>
    <col min="9226" max="9226" width="3.5" customWidth="1"/>
    <col min="9227" max="9227" width="5.625" customWidth="1"/>
    <col min="9228" max="9228" width="4.125" customWidth="1"/>
    <col min="9229" max="9229" width="3.125" customWidth="1"/>
    <col min="9230" max="9230" width="3.5" customWidth="1"/>
    <col min="9231" max="9231" width="8.5" customWidth="1"/>
    <col min="9232" max="9232" width="6.625" customWidth="1"/>
    <col min="9233" max="9233" width="8.875" customWidth="1"/>
    <col min="9234" max="9235" width="8.625" customWidth="1"/>
    <col min="9236" max="9236" width="7.875" customWidth="1"/>
    <col min="9237" max="9237" width="7.375" customWidth="1"/>
    <col min="9238" max="9238" width="8.125" customWidth="1"/>
    <col min="9239" max="9239" width="9.125" customWidth="1"/>
    <col min="9240" max="9240" width="4.375" customWidth="1"/>
    <col min="9241" max="9241" width="11.875" customWidth="1"/>
    <col min="9242" max="9242" width="12.5" customWidth="1"/>
    <col min="9243" max="9243" width="12.625" bestFit="1" customWidth="1"/>
    <col min="9473" max="9473" width="2.625" customWidth="1"/>
    <col min="9474" max="9474" width="11.375" customWidth="1"/>
    <col min="9475" max="9477" width="5.125" customWidth="1"/>
    <col min="9478" max="9478" width="4.125" customWidth="1"/>
    <col min="9479" max="9479" width="4.375" customWidth="1"/>
    <col min="9480" max="9480" width="6.125" customWidth="1"/>
    <col min="9481" max="9481" width="5.625" customWidth="1"/>
    <col min="9482" max="9482" width="3.5" customWidth="1"/>
    <col min="9483" max="9483" width="5.625" customWidth="1"/>
    <col min="9484" max="9484" width="4.125" customWidth="1"/>
    <col min="9485" max="9485" width="3.125" customWidth="1"/>
    <col min="9486" max="9486" width="3.5" customWidth="1"/>
    <col min="9487" max="9487" width="8.5" customWidth="1"/>
    <col min="9488" max="9488" width="6.625" customWidth="1"/>
    <col min="9489" max="9489" width="8.875" customWidth="1"/>
    <col min="9490" max="9491" width="8.625" customWidth="1"/>
    <col min="9492" max="9492" width="7.875" customWidth="1"/>
    <col min="9493" max="9493" width="7.375" customWidth="1"/>
    <col min="9494" max="9494" width="8.125" customWidth="1"/>
    <col min="9495" max="9495" width="9.125" customWidth="1"/>
    <col min="9496" max="9496" width="4.375" customWidth="1"/>
    <col min="9497" max="9497" width="11.875" customWidth="1"/>
    <col min="9498" max="9498" width="12.5" customWidth="1"/>
    <col min="9499" max="9499" width="12.625" bestFit="1" customWidth="1"/>
    <col min="9729" max="9729" width="2.625" customWidth="1"/>
    <col min="9730" max="9730" width="11.375" customWidth="1"/>
    <col min="9731" max="9733" width="5.125" customWidth="1"/>
    <col min="9734" max="9734" width="4.125" customWidth="1"/>
    <col min="9735" max="9735" width="4.375" customWidth="1"/>
    <col min="9736" max="9736" width="6.125" customWidth="1"/>
    <col min="9737" max="9737" width="5.625" customWidth="1"/>
    <col min="9738" max="9738" width="3.5" customWidth="1"/>
    <col min="9739" max="9739" width="5.625" customWidth="1"/>
    <col min="9740" max="9740" width="4.125" customWidth="1"/>
    <col min="9741" max="9741" width="3.125" customWidth="1"/>
    <col min="9742" max="9742" width="3.5" customWidth="1"/>
    <col min="9743" max="9743" width="8.5" customWidth="1"/>
    <col min="9744" max="9744" width="6.625" customWidth="1"/>
    <col min="9745" max="9745" width="8.875" customWidth="1"/>
    <col min="9746" max="9747" width="8.625" customWidth="1"/>
    <col min="9748" max="9748" width="7.875" customWidth="1"/>
    <col min="9749" max="9749" width="7.375" customWidth="1"/>
    <col min="9750" max="9750" width="8.125" customWidth="1"/>
    <col min="9751" max="9751" width="9.125" customWidth="1"/>
    <col min="9752" max="9752" width="4.375" customWidth="1"/>
    <col min="9753" max="9753" width="11.875" customWidth="1"/>
    <col min="9754" max="9754" width="12.5" customWidth="1"/>
    <col min="9755" max="9755" width="12.625" bestFit="1" customWidth="1"/>
    <col min="9985" max="9985" width="2.625" customWidth="1"/>
    <col min="9986" max="9986" width="11.375" customWidth="1"/>
    <col min="9987" max="9989" width="5.125" customWidth="1"/>
    <col min="9990" max="9990" width="4.125" customWidth="1"/>
    <col min="9991" max="9991" width="4.375" customWidth="1"/>
    <col min="9992" max="9992" width="6.125" customWidth="1"/>
    <col min="9993" max="9993" width="5.625" customWidth="1"/>
    <col min="9994" max="9994" width="3.5" customWidth="1"/>
    <col min="9995" max="9995" width="5.625" customWidth="1"/>
    <col min="9996" max="9996" width="4.125" customWidth="1"/>
    <col min="9997" max="9997" width="3.125" customWidth="1"/>
    <col min="9998" max="9998" width="3.5" customWidth="1"/>
    <col min="9999" max="9999" width="8.5" customWidth="1"/>
    <col min="10000" max="10000" width="6.625" customWidth="1"/>
    <col min="10001" max="10001" width="8.875" customWidth="1"/>
    <col min="10002" max="10003" width="8.625" customWidth="1"/>
    <col min="10004" max="10004" width="7.875" customWidth="1"/>
    <col min="10005" max="10005" width="7.375" customWidth="1"/>
    <col min="10006" max="10006" width="8.125" customWidth="1"/>
    <col min="10007" max="10007" width="9.125" customWidth="1"/>
    <col min="10008" max="10008" width="4.375" customWidth="1"/>
    <col min="10009" max="10009" width="11.875" customWidth="1"/>
    <col min="10010" max="10010" width="12.5" customWidth="1"/>
    <col min="10011" max="10011" width="12.625" bestFit="1" customWidth="1"/>
    <col min="10241" max="10241" width="2.625" customWidth="1"/>
    <col min="10242" max="10242" width="11.375" customWidth="1"/>
    <col min="10243" max="10245" width="5.125" customWidth="1"/>
    <col min="10246" max="10246" width="4.125" customWidth="1"/>
    <col min="10247" max="10247" width="4.375" customWidth="1"/>
    <col min="10248" max="10248" width="6.125" customWidth="1"/>
    <col min="10249" max="10249" width="5.625" customWidth="1"/>
    <col min="10250" max="10250" width="3.5" customWidth="1"/>
    <col min="10251" max="10251" width="5.625" customWidth="1"/>
    <col min="10252" max="10252" width="4.125" customWidth="1"/>
    <col min="10253" max="10253" width="3.125" customWidth="1"/>
    <col min="10254" max="10254" width="3.5" customWidth="1"/>
    <col min="10255" max="10255" width="8.5" customWidth="1"/>
    <col min="10256" max="10256" width="6.625" customWidth="1"/>
    <col min="10257" max="10257" width="8.875" customWidth="1"/>
    <col min="10258" max="10259" width="8.625" customWidth="1"/>
    <col min="10260" max="10260" width="7.875" customWidth="1"/>
    <col min="10261" max="10261" width="7.375" customWidth="1"/>
    <col min="10262" max="10262" width="8.125" customWidth="1"/>
    <col min="10263" max="10263" width="9.125" customWidth="1"/>
    <col min="10264" max="10264" width="4.375" customWidth="1"/>
    <col min="10265" max="10265" width="11.875" customWidth="1"/>
    <col min="10266" max="10266" width="12.5" customWidth="1"/>
    <col min="10267" max="10267" width="12.625" bestFit="1" customWidth="1"/>
    <col min="10497" max="10497" width="2.625" customWidth="1"/>
    <col min="10498" max="10498" width="11.375" customWidth="1"/>
    <col min="10499" max="10501" width="5.125" customWidth="1"/>
    <col min="10502" max="10502" width="4.125" customWidth="1"/>
    <col min="10503" max="10503" width="4.375" customWidth="1"/>
    <col min="10504" max="10504" width="6.125" customWidth="1"/>
    <col min="10505" max="10505" width="5.625" customWidth="1"/>
    <col min="10506" max="10506" width="3.5" customWidth="1"/>
    <col min="10507" max="10507" width="5.625" customWidth="1"/>
    <col min="10508" max="10508" width="4.125" customWidth="1"/>
    <col min="10509" max="10509" width="3.125" customWidth="1"/>
    <col min="10510" max="10510" width="3.5" customWidth="1"/>
    <col min="10511" max="10511" width="8.5" customWidth="1"/>
    <col min="10512" max="10512" width="6.625" customWidth="1"/>
    <col min="10513" max="10513" width="8.875" customWidth="1"/>
    <col min="10514" max="10515" width="8.625" customWidth="1"/>
    <col min="10516" max="10516" width="7.875" customWidth="1"/>
    <col min="10517" max="10517" width="7.375" customWidth="1"/>
    <col min="10518" max="10518" width="8.125" customWidth="1"/>
    <col min="10519" max="10519" width="9.125" customWidth="1"/>
    <col min="10520" max="10520" width="4.375" customWidth="1"/>
    <col min="10521" max="10521" width="11.875" customWidth="1"/>
    <col min="10522" max="10522" width="12.5" customWidth="1"/>
    <col min="10523" max="10523" width="12.625" bestFit="1" customWidth="1"/>
    <col min="10753" max="10753" width="2.625" customWidth="1"/>
    <col min="10754" max="10754" width="11.375" customWidth="1"/>
    <col min="10755" max="10757" width="5.125" customWidth="1"/>
    <col min="10758" max="10758" width="4.125" customWidth="1"/>
    <col min="10759" max="10759" width="4.375" customWidth="1"/>
    <col min="10760" max="10760" width="6.125" customWidth="1"/>
    <col min="10761" max="10761" width="5.625" customWidth="1"/>
    <col min="10762" max="10762" width="3.5" customWidth="1"/>
    <col min="10763" max="10763" width="5.625" customWidth="1"/>
    <col min="10764" max="10764" width="4.125" customWidth="1"/>
    <col min="10765" max="10765" width="3.125" customWidth="1"/>
    <col min="10766" max="10766" width="3.5" customWidth="1"/>
    <col min="10767" max="10767" width="8.5" customWidth="1"/>
    <col min="10768" max="10768" width="6.625" customWidth="1"/>
    <col min="10769" max="10769" width="8.875" customWidth="1"/>
    <col min="10770" max="10771" width="8.625" customWidth="1"/>
    <col min="10772" max="10772" width="7.875" customWidth="1"/>
    <col min="10773" max="10773" width="7.375" customWidth="1"/>
    <col min="10774" max="10774" width="8.125" customWidth="1"/>
    <col min="10775" max="10775" width="9.125" customWidth="1"/>
    <col min="10776" max="10776" width="4.375" customWidth="1"/>
    <col min="10777" max="10777" width="11.875" customWidth="1"/>
    <col min="10778" max="10778" width="12.5" customWidth="1"/>
    <col min="10779" max="10779" width="12.625" bestFit="1" customWidth="1"/>
    <col min="11009" max="11009" width="2.625" customWidth="1"/>
    <col min="11010" max="11010" width="11.375" customWidth="1"/>
    <col min="11011" max="11013" width="5.125" customWidth="1"/>
    <col min="11014" max="11014" width="4.125" customWidth="1"/>
    <col min="11015" max="11015" width="4.375" customWidth="1"/>
    <col min="11016" max="11016" width="6.125" customWidth="1"/>
    <col min="11017" max="11017" width="5.625" customWidth="1"/>
    <col min="11018" max="11018" width="3.5" customWidth="1"/>
    <col min="11019" max="11019" width="5.625" customWidth="1"/>
    <col min="11020" max="11020" width="4.125" customWidth="1"/>
    <col min="11021" max="11021" width="3.125" customWidth="1"/>
    <col min="11022" max="11022" width="3.5" customWidth="1"/>
    <col min="11023" max="11023" width="8.5" customWidth="1"/>
    <col min="11024" max="11024" width="6.625" customWidth="1"/>
    <col min="11025" max="11025" width="8.875" customWidth="1"/>
    <col min="11026" max="11027" width="8.625" customWidth="1"/>
    <col min="11028" max="11028" width="7.875" customWidth="1"/>
    <col min="11029" max="11029" width="7.375" customWidth="1"/>
    <col min="11030" max="11030" width="8.125" customWidth="1"/>
    <col min="11031" max="11031" width="9.125" customWidth="1"/>
    <col min="11032" max="11032" width="4.375" customWidth="1"/>
    <col min="11033" max="11033" width="11.875" customWidth="1"/>
    <col min="11034" max="11034" width="12.5" customWidth="1"/>
    <col min="11035" max="11035" width="12.625" bestFit="1" customWidth="1"/>
    <col min="11265" max="11265" width="2.625" customWidth="1"/>
    <col min="11266" max="11266" width="11.375" customWidth="1"/>
    <col min="11267" max="11269" width="5.125" customWidth="1"/>
    <col min="11270" max="11270" width="4.125" customWidth="1"/>
    <col min="11271" max="11271" width="4.375" customWidth="1"/>
    <col min="11272" max="11272" width="6.125" customWidth="1"/>
    <col min="11273" max="11273" width="5.625" customWidth="1"/>
    <col min="11274" max="11274" width="3.5" customWidth="1"/>
    <col min="11275" max="11275" width="5.625" customWidth="1"/>
    <col min="11276" max="11276" width="4.125" customWidth="1"/>
    <col min="11277" max="11277" width="3.125" customWidth="1"/>
    <col min="11278" max="11278" width="3.5" customWidth="1"/>
    <col min="11279" max="11279" width="8.5" customWidth="1"/>
    <col min="11280" max="11280" width="6.625" customWidth="1"/>
    <col min="11281" max="11281" width="8.875" customWidth="1"/>
    <col min="11282" max="11283" width="8.625" customWidth="1"/>
    <col min="11284" max="11284" width="7.875" customWidth="1"/>
    <col min="11285" max="11285" width="7.375" customWidth="1"/>
    <col min="11286" max="11286" width="8.125" customWidth="1"/>
    <col min="11287" max="11287" width="9.125" customWidth="1"/>
    <col min="11288" max="11288" width="4.375" customWidth="1"/>
    <col min="11289" max="11289" width="11.875" customWidth="1"/>
    <col min="11290" max="11290" width="12.5" customWidth="1"/>
    <col min="11291" max="11291" width="12.625" bestFit="1" customWidth="1"/>
    <col min="11521" max="11521" width="2.625" customWidth="1"/>
    <col min="11522" max="11522" width="11.375" customWidth="1"/>
    <col min="11523" max="11525" width="5.125" customWidth="1"/>
    <col min="11526" max="11526" width="4.125" customWidth="1"/>
    <col min="11527" max="11527" width="4.375" customWidth="1"/>
    <col min="11528" max="11528" width="6.125" customWidth="1"/>
    <col min="11529" max="11529" width="5.625" customWidth="1"/>
    <col min="11530" max="11530" width="3.5" customWidth="1"/>
    <col min="11531" max="11531" width="5.625" customWidth="1"/>
    <col min="11532" max="11532" width="4.125" customWidth="1"/>
    <col min="11533" max="11533" width="3.125" customWidth="1"/>
    <col min="11534" max="11534" width="3.5" customWidth="1"/>
    <col min="11535" max="11535" width="8.5" customWidth="1"/>
    <col min="11536" max="11536" width="6.625" customWidth="1"/>
    <col min="11537" max="11537" width="8.875" customWidth="1"/>
    <col min="11538" max="11539" width="8.625" customWidth="1"/>
    <col min="11540" max="11540" width="7.875" customWidth="1"/>
    <col min="11541" max="11541" width="7.375" customWidth="1"/>
    <col min="11542" max="11542" width="8.125" customWidth="1"/>
    <col min="11543" max="11543" width="9.125" customWidth="1"/>
    <col min="11544" max="11544" width="4.375" customWidth="1"/>
    <col min="11545" max="11545" width="11.875" customWidth="1"/>
    <col min="11546" max="11546" width="12.5" customWidth="1"/>
    <col min="11547" max="11547" width="12.625" bestFit="1" customWidth="1"/>
    <col min="11777" max="11777" width="2.625" customWidth="1"/>
    <col min="11778" max="11778" width="11.375" customWidth="1"/>
    <col min="11779" max="11781" width="5.125" customWidth="1"/>
    <col min="11782" max="11782" width="4.125" customWidth="1"/>
    <col min="11783" max="11783" width="4.375" customWidth="1"/>
    <col min="11784" max="11784" width="6.125" customWidth="1"/>
    <col min="11785" max="11785" width="5.625" customWidth="1"/>
    <col min="11786" max="11786" width="3.5" customWidth="1"/>
    <col min="11787" max="11787" width="5.625" customWidth="1"/>
    <col min="11788" max="11788" width="4.125" customWidth="1"/>
    <col min="11789" max="11789" width="3.125" customWidth="1"/>
    <col min="11790" max="11790" width="3.5" customWidth="1"/>
    <col min="11791" max="11791" width="8.5" customWidth="1"/>
    <col min="11792" max="11792" width="6.625" customWidth="1"/>
    <col min="11793" max="11793" width="8.875" customWidth="1"/>
    <col min="11794" max="11795" width="8.625" customWidth="1"/>
    <col min="11796" max="11796" width="7.875" customWidth="1"/>
    <col min="11797" max="11797" width="7.375" customWidth="1"/>
    <col min="11798" max="11798" width="8.125" customWidth="1"/>
    <col min="11799" max="11799" width="9.125" customWidth="1"/>
    <col min="11800" max="11800" width="4.375" customWidth="1"/>
    <col min="11801" max="11801" width="11.875" customWidth="1"/>
    <col min="11802" max="11802" width="12.5" customWidth="1"/>
    <col min="11803" max="11803" width="12.625" bestFit="1" customWidth="1"/>
    <col min="12033" max="12033" width="2.625" customWidth="1"/>
    <col min="12034" max="12034" width="11.375" customWidth="1"/>
    <col min="12035" max="12037" width="5.125" customWidth="1"/>
    <col min="12038" max="12038" width="4.125" customWidth="1"/>
    <col min="12039" max="12039" width="4.375" customWidth="1"/>
    <col min="12040" max="12040" width="6.125" customWidth="1"/>
    <col min="12041" max="12041" width="5.625" customWidth="1"/>
    <col min="12042" max="12042" width="3.5" customWidth="1"/>
    <col min="12043" max="12043" width="5.625" customWidth="1"/>
    <col min="12044" max="12044" width="4.125" customWidth="1"/>
    <col min="12045" max="12045" width="3.125" customWidth="1"/>
    <col min="12046" max="12046" width="3.5" customWidth="1"/>
    <col min="12047" max="12047" width="8.5" customWidth="1"/>
    <col min="12048" max="12048" width="6.625" customWidth="1"/>
    <col min="12049" max="12049" width="8.875" customWidth="1"/>
    <col min="12050" max="12051" width="8.625" customWidth="1"/>
    <col min="12052" max="12052" width="7.875" customWidth="1"/>
    <col min="12053" max="12053" width="7.375" customWidth="1"/>
    <col min="12054" max="12054" width="8.125" customWidth="1"/>
    <col min="12055" max="12055" width="9.125" customWidth="1"/>
    <col min="12056" max="12056" width="4.375" customWidth="1"/>
    <col min="12057" max="12057" width="11.875" customWidth="1"/>
    <col min="12058" max="12058" width="12.5" customWidth="1"/>
    <col min="12059" max="12059" width="12.625" bestFit="1" customWidth="1"/>
    <col min="12289" max="12289" width="2.625" customWidth="1"/>
    <col min="12290" max="12290" width="11.375" customWidth="1"/>
    <col min="12291" max="12293" width="5.125" customWidth="1"/>
    <col min="12294" max="12294" width="4.125" customWidth="1"/>
    <col min="12295" max="12295" width="4.375" customWidth="1"/>
    <col min="12296" max="12296" width="6.125" customWidth="1"/>
    <col min="12297" max="12297" width="5.625" customWidth="1"/>
    <col min="12298" max="12298" width="3.5" customWidth="1"/>
    <col min="12299" max="12299" width="5.625" customWidth="1"/>
    <col min="12300" max="12300" width="4.125" customWidth="1"/>
    <col min="12301" max="12301" width="3.125" customWidth="1"/>
    <col min="12302" max="12302" width="3.5" customWidth="1"/>
    <col min="12303" max="12303" width="8.5" customWidth="1"/>
    <col min="12304" max="12304" width="6.625" customWidth="1"/>
    <col min="12305" max="12305" width="8.875" customWidth="1"/>
    <col min="12306" max="12307" width="8.625" customWidth="1"/>
    <col min="12308" max="12308" width="7.875" customWidth="1"/>
    <col min="12309" max="12309" width="7.375" customWidth="1"/>
    <col min="12310" max="12310" width="8.125" customWidth="1"/>
    <col min="12311" max="12311" width="9.125" customWidth="1"/>
    <col min="12312" max="12312" width="4.375" customWidth="1"/>
    <col min="12313" max="12313" width="11.875" customWidth="1"/>
    <col min="12314" max="12314" width="12.5" customWidth="1"/>
    <col min="12315" max="12315" width="12.625" bestFit="1" customWidth="1"/>
    <col min="12545" max="12545" width="2.625" customWidth="1"/>
    <col min="12546" max="12546" width="11.375" customWidth="1"/>
    <col min="12547" max="12549" width="5.125" customWidth="1"/>
    <col min="12550" max="12550" width="4.125" customWidth="1"/>
    <col min="12551" max="12551" width="4.375" customWidth="1"/>
    <col min="12552" max="12552" width="6.125" customWidth="1"/>
    <col min="12553" max="12553" width="5.625" customWidth="1"/>
    <col min="12554" max="12554" width="3.5" customWidth="1"/>
    <col min="12555" max="12555" width="5.625" customWidth="1"/>
    <col min="12556" max="12556" width="4.125" customWidth="1"/>
    <col min="12557" max="12557" width="3.125" customWidth="1"/>
    <col min="12558" max="12558" width="3.5" customWidth="1"/>
    <col min="12559" max="12559" width="8.5" customWidth="1"/>
    <col min="12560" max="12560" width="6.625" customWidth="1"/>
    <col min="12561" max="12561" width="8.875" customWidth="1"/>
    <col min="12562" max="12563" width="8.625" customWidth="1"/>
    <col min="12564" max="12564" width="7.875" customWidth="1"/>
    <col min="12565" max="12565" width="7.375" customWidth="1"/>
    <col min="12566" max="12566" width="8.125" customWidth="1"/>
    <col min="12567" max="12567" width="9.125" customWidth="1"/>
    <col min="12568" max="12568" width="4.375" customWidth="1"/>
    <col min="12569" max="12569" width="11.875" customWidth="1"/>
    <col min="12570" max="12570" width="12.5" customWidth="1"/>
    <col min="12571" max="12571" width="12.625" bestFit="1" customWidth="1"/>
    <col min="12801" max="12801" width="2.625" customWidth="1"/>
    <col min="12802" max="12802" width="11.375" customWidth="1"/>
    <col min="12803" max="12805" width="5.125" customWidth="1"/>
    <col min="12806" max="12806" width="4.125" customWidth="1"/>
    <col min="12807" max="12807" width="4.375" customWidth="1"/>
    <col min="12808" max="12808" width="6.125" customWidth="1"/>
    <col min="12809" max="12809" width="5.625" customWidth="1"/>
    <col min="12810" max="12810" width="3.5" customWidth="1"/>
    <col min="12811" max="12811" width="5.625" customWidth="1"/>
    <col min="12812" max="12812" width="4.125" customWidth="1"/>
    <col min="12813" max="12813" width="3.125" customWidth="1"/>
    <col min="12814" max="12814" width="3.5" customWidth="1"/>
    <col min="12815" max="12815" width="8.5" customWidth="1"/>
    <col min="12816" max="12816" width="6.625" customWidth="1"/>
    <col min="12817" max="12817" width="8.875" customWidth="1"/>
    <col min="12818" max="12819" width="8.625" customWidth="1"/>
    <col min="12820" max="12820" width="7.875" customWidth="1"/>
    <col min="12821" max="12821" width="7.375" customWidth="1"/>
    <col min="12822" max="12822" width="8.125" customWidth="1"/>
    <col min="12823" max="12823" width="9.125" customWidth="1"/>
    <col min="12824" max="12824" width="4.375" customWidth="1"/>
    <col min="12825" max="12825" width="11.875" customWidth="1"/>
    <col min="12826" max="12826" width="12.5" customWidth="1"/>
    <col min="12827" max="12827" width="12.625" bestFit="1" customWidth="1"/>
    <col min="13057" max="13057" width="2.625" customWidth="1"/>
    <col min="13058" max="13058" width="11.375" customWidth="1"/>
    <col min="13059" max="13061" width="5.125" customWidth="1"/>
    <col min="13062" max="13062" width="4.125" customWidth="1"/>
    <col min="13063" max="13063" width="4.375" customWidth="1"/>
    <col min="13064" max="13064" width="6.125" customWidth="1"/>
    <col min="13065" max="13065" width="5.625" customWidth="1"/>
    <col min="13066" max="13066" width="3.5" customWidth="1"/>
    <col min="13067" max="13067" width="5.625" customWidth="1"/>
    <col min="13068" max="13068" width="4.125" customWidth="1"/>
    <col min="13069" max="13069" width="3.125" customWidth="1"/>
    <col min="13070" max="13070" width="3.5" customWidth="1"/>
    <col min="13071" max="13071" width="8.5" customWidth="1"/>
    <col min="13072" max="13072" width="6.625" customWidth="1"/>
    <col min="13073" max="13073" width="8.875" customWidth="1"/>
    <col min="13074" max="13075" width="8.625" customWidth="1"/>
    <col min="13076" max="13076" width="7.875" customWidth="1"/>
    <col min="13077" max="13077" width="7.375" customWidth="1"/>
    <col min="13078" max="13078" width="8.125" customWidth="1"/>
    <col min="13079" max="13079" width="9.125" customWidth="1"/>
    <col min="13080" max="13080" width="4.375" customWidth="1"/>
    <col min="13081" max="13081" width="11.875" customWidth="1"/>
    <col min="13082" max="13082" width="12.5" customWidth="1"/>
    <col min="13083" max="13083" width="12.625" bestFit="1" customWidth="1"/>
    <col min="13313" max="13313" width="2.625" customWidth="1"/>
    <col min="13314" max="13314" width="11.375" customWidth="1"/>
    <col min="13315" max="13317" width="5.125" customWidth="1"/>
    <col min="13318" max="13318" width="4.125" customWidth="1"/>
    <col min="13319" max="13319" width="4.375" customWidth="1"/>
    <col min="13320" max="13320" width="6.125" customWidth="1"/>
    <col min="13321" max="13321" width="5.625" customWidth="1"/>
    <col min="13322" max="13322" width="3.5" customWidth="1"/>
    <col min="13323" max="13323" width="5.625" customWidth="1"/>
    <col min="13324" max="13324" width="4.125" customWidth="1"/>
    <col min="13325" max="13325" width="3.125" customWidth="1"/>
    <col min="13326" max="13326" width="3.5" customWidth="1"/>
    <col min="13327" max="13327" width="8.5" customWidth="1"/>
    <col min="13328" max="13328" width="6.625" customWidth="1"/>
    <col min="13329" max="13329" width="8.875" customWidth="1"/>
    <col min="13330" max="13331" width="8.625" customWidth="1"/>
    <col min="13332" max="13332" width="7.875" customWidth="1"/>
    <col min="13333" max="13333" width="7.375" customWidth="1"/>
    <col min="13334" max="13334" width="8.125" customWidth="1"/>
    <col min="13335" max="13335" width="9.125" customWidth="1"/>
    <col min="13336" max="13336" width="4.375" customWidth="1"/>
    <col min="13337" max="13337" width="11.875" customWidth="1"/>
    <col min="13338" max="13338" width="12.5" customWidth="1"/>
    <col min="13339" max="13339" width="12.625" bestFit="1" customWidth="1"/>
    <col min="13569" max="13569" width="2.625" customWidth="1"/>
    <col min="13570" max="13570" width="11.375" customWidth="1"/>
    <col min="13571" max="13573" width="5.125" customWidth="1"/>
    <col min="13574" max="13574" width="4.125" customWidth="1"/>
    <col min="13575" max="13575" width="4.375" customWidth="1"/>
    <col min="13576" max="13576" width="6.125" customWidth="1"/>
    <col min="13577" max="13577" width="5.625" customWidth="1"/>
    <col min="13578" max="13578" width="3.5" customWidth="1"/>
    <col min="13579" max="13579" width="5.625" customWidth="1"/>
    <col min="13580" max="13580" width="4.125" customWidth="1"/>
    <col min="13581" max="13581" width="3.125" customWidth="1"/>
    <col min="13582" max="13582" width="3.5" customWidth="1"/>
    <col min="13583" max="13583" width="8.5" customWidth="1"/>
    <col min="13584" max="13584" width="6.625" customWidth="1"/>
    <col min="13585" max="13585" width="8.875" customWidth="1"/>
    <col min="13586" max="13587" width="8.625" customWidth="1"/>
    <col min="13588" max="13588" width="7.875" customWidth="1"/>
    <col min="13589" max="13589" width="7.375" customWidth="1"/>
    <col min="13590" max="13590" width="8.125" customWidth="1"/>
    <col min="13591" max="13591" width="9.125" customWidth="1"/>
    <col min="13592" max="13592" width="4.375" customWidth="1"/>
    <col min="13593" max="13593" width="11.875" customWidth="1"/>
    <col min="13594" max="13594" width="12.5" customWidth="1"/>
    <col min="13595" max="13595" width="12.625" bestFit="1" customWidth="1"/>
    <col min="13825" max="13825" width="2.625" customWidth="1"/>
    <col min="13826" max="13826" width="11.375" customWidth="1"/>
    <col min="13827" max="13829" width="5.125" customWidth="1"/>
    <col min="13830" max="13830" width="4.125" customWidth="1"/>
    <col min="13831" max="13831" width="4.375" customWidth="1"/>
    <col min="13832" max="13832" width="6.125" customWidth="1"/>
    <col min="13833" max="13833" width="5.625" customWidth="1"/>
    <col min="13834" max="13834" width="3.5" customWidth="1"/>
    <col min="13835" max="13835" width="5.625" customWidth="1"/>
    <col min="13836" max="13836" width="4.125" customWidth="1"/>
    <col min="13837" max="13837" width="3.125" customWidth="1"/>
    <col min="13838" max="13838" width="3.5" customWidth="1"/>
    <col min="13839" max="13839" width="8.5" customWidth="1"/>
    <col min="13840" max="13840" width="6.625" customWidth="1"/>
    <col min="13841" max="13841" width="8.875" customWidth="1"/>
    <col min="13842" max="13843" width="8.625" customWidth="1"/>
    <col min="13844" max="13844" width="7.875" customWidth="1"/>
    <col min="13845" max="13845" width="7.375" customWidth="1"/>
    <col min="13846" max="13846" width="8.125" customWidth="1"/>
    <col min="13847" max="13847" width="9.125" customWidth="1"/>
    <col min="13848" max="13848" width="4.375" customWidth="1"/>
    <col min="13849" max="13849" width="11.875" customWidth="1"/>
    <col min="13850" max="13850" width="12.5" customWidth="1"/>
    <col min="13851" max="13851" width="12.625" bestFit="1" customWidth="1"/>
    <col min="14081" max="14081" width="2.625" customWidth="1"/>
    <col min="14082" max="14082" width="11.375" customWidth="1"/>
    <col min="14083" max="14085" width="5.125" customWidth="1"/>
    <col min="14086" max="14086" width="4.125" customWidth="1"/>
    <col min="14087" max="14087" width="4.375" customWidth="1"/>
    <col min="14088" max="14088" width="6.125" customWidth="1"/>
    <col min="14089" max="14089" width="5.625" customWidth="1"/>
    <col min="14090" max="14090" width="3.5" customWidth="1"/>
    <col min="14091" max="14091" width="5.625" customWidth="1"/>
    <col min="14092" max="14092" width="4.125" customWidth="1"/>
    <col min="14093" max="14093" width="3.125" customWidth="1"/>
    <col min="14094" max="14094" width="3.5" customWidth="1"/>
    <col min="14095" max="14095" width="8.5" customWidth="1"/>
    <col min="14096" max="14096" width="6.625" customWidth="1"/>
    <col min="14097" max="14097" width="8.875" customWidth="1"/>
    <col min="14098" max="14099" width="8.625" customWidth="1"/>
    <col min="14100" max="14100" width="7.875" customWidth="1"/>
    <col min="14101" max="14101" width="7.375" customWidth="1"/>
    <col min="14102" max="14102" width="8.125" customWidth="1"/>
    <col min="14103" max="14103" width="9.125" customWidth="1"/>
    <col min="14104" max="14104" width="4.375" customWidth="1"/>
    <col min="14105" max="14105" width="11.875" customWidth="1"/>
    <col min="14106" max="14106" width="12.5" customWidth="1"/>
    <col min="14107" max="14107" width="12.625" bestFit="1" customWidth="1"/>
    <col min="14337" max="14337" width="2.625" customWidth="1"/>
    <col min="14338" max="14338" width="11.375" customWidth="1"/>
    <col min="14339" max="14341" width="5.125" customWidth="1"/>
    <col min="14342" max="14342" width="4.125" customWidth="1"/>
    <col min="14343" max="14343" width="4.375" customWidth="1"/>
    <col min="14344" max="14344" width="6.125" customWidth="1"/>
    <col min="14345" max="14345" width="5.625" customWidth="1"/>
    <col min="14346" max="14346" width="3.5" customWidth="1"/>
    <col min="14347" max="14347" width="5.625" customWidth="1"/>
    <col min="14348" max="14348" width="4.125" customWidth="1"/>
    <col min="14349" max="14349" width="3.125" customWidth="1"/>
    <col min="14350" max="14350" width="3.5" customWidth="1"/>
    <col min="14351" max="14351" width="8.5" customWidth="1"/>
    <col min="14352" max="14352" width="6.625" customWidth="1"/>
    <col min="14353" max="14353" width="8.875" customWidth="1"/>
    <col min="14354" max="14355" width="8.625" customWidth="1"/>
    <col min="14356" max="14356" width="7.875" customWidth="1"/>
    <col min="14357" max="14357" width="7.375" customWidth="1"/>
    <col min="14358" max="14358" width="8.125" customWidth="1"/>
    <col min="14359" max="14359" width="9.125" customWidth="1"/>
    <col min="14360" max="14360" width="4.375" customWidth="1"/>
    <col min="14361" max="14361" width="11.875" customWidth="1"/>
    <col min="14362" max="14362" width="12.5" customWidth="1"/>
    <col min="14363" max="14363" width="12.625" bestFit="1" customWidth="1"/>
    <col min="14593" max="14593" width="2.625" customWidth="1"/>
    <col min="14594" max="14594" width="11.375" customWidth="1"/>
    <col min="14595" max="14597" width="5.125" customWidth="1"/>
    <col min="14598" max="14598" width="4.125" customWidth="1"/>
    <col min="14599" max="14599" width="4.375" customWidth="1"/>
    <col min="14600" max="14600" width="6.125" customWidth="1"/>
    <col min="14601" max="14601" width="5.625" customWidth="1"/>
    <col min="14602" max="14602" width="3.5" customWidth="1"/>
    <col min="14603" max="14603" width="5.625" customWidth="1"/>
    <col min="14604" max="14604" width="4.125" customWidth="1"/>
    <col min="14605" max="14605" width="3.125" customWidth="1"/>
    <col min="14606" max="14606" width="3.5" customWidth="1"/>
    <col min="14607" max="14607" width="8.5" customWidth="1"/>
    <col min="14608" max="14608" width="6.625" customWidth="1"/>
    <col min="14609" max="14609" width="8.875" customWidth="1"/>
    <col min="14610" max="14611" width="8.625" customWidth="1"/>
    <col min="14612" max="14612" width="7.875" customWidth="1"/>
    <col min="14613" max="14613" width="7.375" customWidth="1"/>
    <col min="14614" max="14614" width="8.125" customWidth="1"/>
    <col min="14615" max="14615" width="9.125" customWidth="1"/>
    <col min="14616" max="14616" width="4.375" customWidth="1"/>
    <col min="14617" max="14617" width="11.875" customWidth="1"/>
    <col min="14618" max="14618" width="12.5" customWidth="1"/>
    <col min="14619" max="14619" width="12.625" bestFit="1" customWidth="1"/>
    <col min="14849" max="14849" width="2.625" customWidth="1"/>
    <col min="14850" max="14850" width="11.375" customWidth="1"/>
    <col min="14851" max="14853" width="5.125" customWidth="1"/>
    <col min="14854" max="14854" width="4.125" customWidth="1"/>
    <col min="14855" max="14855" width="4.375" customWidth="1"/>
    <col min="14856" max="14856" width="6.125" customWidth="1"/>
    <col min="14857" max="14857" width="5.625" customWidth="1"/>
    <col min="14858" max="14858" width="3.5" customWidth="1"/>
    <col min="14859" max="14859" width="5.625" customWidth="1"/>
    <col min="14860" max="14860" width="4.125" customWidth="1"/>
    <col min="14861" max="14861" width="3.125" customWidth="1"/>
    <col min="14862" max="14862" width="3.5" customWidth="1"/>
    <col min="14863" max="14863" width="8.5" customWidth="1"/>
    <col min="14864" max="14864" width="6.625" customWidth="1"/>
    <col min="14865" max="14865" width="8.875" customWidth="1"/>
    <col min="14866" max="14867" width="8.625" customWidth="1"/>
    <col min="14868" max="14868" width="7.875" customWidth="1"/>
    <col min="14869" max="14869" width="7.375" customWidth="1"/>
    <col min="14870" max="14870" width="8.125" customWidth="1"/>
    <col min="14871" max="14871" width="9.125" customWidth="1"/>
    <col min="14872" max="14872" width="4.375" customWidth="1"/>
    <col min="14873" max="14873" width="11.875" customWidth="1"/>
    <col min="14874" max="14874" width="12.5" customWidth="1"/>
    <col min="14875" max="14875" width="12.625" bestFit="1" customWidth="1"/>
    <col min="15105" max="15105" width="2.625" customWidth="1"/>
    <col min="15106" max="15106" width="11.375" customWidth="1"/>
    <col min="15107" max="15109" width="5.125" customWidth="1"/>
    <col min="15110" max="15110" width="4.125" customWidth="1"/>
    <col min="15111" max="15111" width="4.375" customWidth="1"/>
    <col min="15112" max="15112" width="6.125" customWidth="1"/>
    <col min="15113" max="15113" width="5.625" customWidth="1"/>
    <col min="15114" max="15114" width="3.5" customWidth="1"/>
    <col min="15115" max="15115" width="5.625" customWidth="1"/>
    <col min="15116" max="15116" width="4.125" customWidth="1"/>
    <col min="15117" max="15117" width="3.125" customWidth="1"/>
    <col min="15118" max="15118" width="3.5" customWidth="1"/>
    <col min="15119" max="15119" width="8.5" customWidth="1"/>
    <col min="15120" max="15120" width="6.625" customWidth="1"/>
    <col min="15121" max="15121" width="8.875" customWidth="1"/>
    <col min="15122" max="15123" width="8.625" customWidth="1"/>
    <col min="15124" max="15124" width="7.875" customWidth="1"/>
    <col min="15125" max="15125" width="7.375" customWidth="1"/>
    <col min="15126" max="15126" width="8.125" customWidth="1"/>
    <col min="15127" max="15127" width="9.125" customWidth="1"/>
    <col min="15128" max="15128" width="4.375" customWidth="1"/>
    <col min="15129" max="15129" width="11.875" customWidth="1"/>
    <col min="15130" max="15130" width="12.5" customWidth="1"/>
    <col min="15131" max="15131" width="12.625" bestFit="1" customWidth="1"/>
    <col min="15361" max="15361" width="2.625" customWidth="1"/>
    <col min="15362" max="15362" width="11.375" customWidth="1"/>
    <col min="15363" max="15365" width="5.125" customWidth="1"/>
    <col min="15366" max="15366" width="4.125" customWidth="1"/>
    <col min="15367" max="15367" width="4.375" customWidth="1"/>
    <col min="15368" max="15368" width="6.125" customWidth="1"/>
    <col min="15369" max="15369" width="5.625" customWidth="1"/>
    <col min="15370" max="15370" width="3.5" customWidth="1"/>
    <col min="15371" max="15371" width="5.625" customWidth="1"/>
    <col min="15372" max="15372" width="4.125" customWidth="1"/>
    <col min="15373" max="15373" width="3.125" customWidth="1"/>
    <col min="15374" max="15374" width="3.5" customWidth="1"/>
    <col min="15375" max="15375" width="8.5" customWidth="1"/>
    <col min="15376" max="15376" width="6.625" customWidth="1"/>
    <col min="15377" max="15377" width="8.875" customWidth="1"/>
    <col min="15378" max="15379" width="8.625" customWidth="1"/>
    <col min="15380" max="15380" width="7.875" customWidth="1"/>
    <col min="15381" max="15381" width="7.375" customWidth="1"/>
    <col min="15382" max="15382" width="8.125" customWidth="1"/>
    <col min="15383" max="15383" width="9.125" customWidth="1"/>
    <col min="15384" max="15384" width="4.375" customWidth="1"/>
    <col min="15385" max="15385" width="11.875" customWidth="1"/>
    <col min="15386" max="15386" width="12.5" customWidth="1"/>
    <col min="15387" max="15387" width="12.625" bestFit="1" customWidth="1"/>
    <col min="15617" max="15617" width="2.625" customWidth="1"/>
    <col min="15618" max="15618" width="11.375" customWidth="1"/>
    <col min="15619" max="15621" width="5.125" customWidth="1"/>
    <col min="15622" max="15622" width="4.125" customWidth="1"/>
    <col min="15623" max="15623" width="4.375" customWidth="1"/>
    <col min="15624" max="15624" width="6.125" customWidth="1"/>
    <col min="15625" max="15625" width="5.625" customWidth="1"/>
    <col min="15626" max="15626" width="3.5" customWidth="1"/>
    <col min="15627" max="15627" width="5.625" customWidth="1"/>
    <col min="15628" max="15628" width="4.125" customWidth="1"/>
    <col min="15629" max="15629" width="3.125" customWidth="1"/>
    <col min="15630" max="15630" width="3.5" customWidth="1"/>
    <col min="15631" max="15631" width="8.5" customWidth="1"/>
    <col min="15632" max="15632" width="6.625" customWidth="1"/>
    <col min="15633" max="15633" width="8.875" customWidth="1"/>
    <col min="15634" max="15635" width="8.625" customWidth="1"/>
    <col min="15636" max="15636" width="7.875" customWidth="1"/>
    <col min="15637" max="15637" width="7.375" customWidth="1"/>
    <col min="15638" max="15638" width="8.125" customWidth="1"/>
    <col min="15639" max="15639" width="9.125" customWidth="1"/>
    <col min="15640" max="15640" width="4.375" customWidth="1"/>
    <col min="15641" max="15641" width="11.875" customWidth="1"/>
    <col min="15642" max="15642" width="12.5" customWidth="1"/>
    <col min="15643" max="15643" width="12.625" bestFit="1" customWidth="1"/>
    <col min="15873" max="15873" width="2.625" customWidth="1"/>
    <col min="15874" max="15874" width="11.375" customWidth="1"/>
    <col min="15875" max="15877" width="5.125" customWidth="1"/>
    <col min="15878" max="15878" width="4.125" customWidth="1"/>
    <col min="15879" max="15879" width="4.375" customWidth="1"/>
    <col min="15880" max="15880" width="6.125" customWidth="1"/>
    <col min="15881" max="15881" width="5.625" customWidth="1"/>
    <col min="15882" max="15882" width="3.5" customWidth="1"/>
    <col min="15883" max="15883" width="5.625" customWidth="1"/>
    <col min="15884" max="15884" width="4.125" customWidth="1"/>
    <col min="15885" max="15885" width="3.125" customWidth="1"/>
    <col min="15886" max="15886" width="3.5" customWidth="1"/>
    <col min="15887" max="15887" width="8.5" customWidth="1"/>
    <col min="15888" max="15888" width="6.625" customWidth="1"/>
    <col min="15889" max="15889" width="8.875" customWidth="1"/>
    <col min="15890" max="15891" width="8.625" customWidth="1"/>
    <col min="15892" max="15892" width="7.875" customWidth="1"/>
    <col min="15893" max="15893" width="7.375" customWidth="1"/>
    <col min="15894" max="15894" width="8.125" customWidth="1"/>
    <col min="15895" max="15895" width="9.125" customWidth="1"/>
    <col min="15896" max="15896" width="4.375" customWidth="1"/>
    <col min="15897" max="15897" width="11.875" customWidth="1"/>
    <col min="15898" max="15898" width="12.5" customWidth="1"/>
    <col min="15899" max="15899" width="12.625" bestFit="1" customWidth="1"/>
    <col min="16129" max="16129" width="2.625" customWidth="1"/>
    <col min="16130" max="16130" width="11.375" customWidth="1"/>
    <col min="16131" max="16133" width="5.125" customWidth="1"/>
    <col min="16134" max="16134" width="4.125" customWidth="1"/>
    <col min="16135" max="16135" width="4.375" customWidth="1"/>
    <col min="16136" max="16136" width="6.125" customWidth="1"/>
    <col min="16137" max="16137" width="5.625" customWidth="1"/>
    <col min="16138" max="16138" width="3.5" customWidth="1"/>
    <col min="16139" max="16139" width="5.625" customWidth="1"/>
    <col min="16140" max="16140" width="4.125" customWidth="1"/>
    <col min="16141" max="16141" width="3.125" customWidth="1"/>
    <col min="16142" max="16142" width="3.5" customWidth="1"/>
    <col min="16143" max="16143" width="8.5" customWidth="1"/>
    <col min="16144" max="16144" width="6.625" customWidth="1"/>
    <col min="16145" max="16145" width="8.875" customWidth="1"/>
    <col min="16146" max="16147" width="8.625" customWidth="1"/>
    <col min="16148" max="16148" width="7.875" customWidth="1"/>
    <col min="16149" max="16149" width="7.375" customWidth="1"/>
    <col min="16150" max="16150" width="8.125" customWidth="1"/>
    <col min="16151" max="16151" width="9.125" customWidth="1"/>
    <col min="16152" max="16152" width="4.375" customWidth="1"/>
    <col min="16153" max="16153" width="11.875" customWidth="1"/>
    <col min="16154" max="16154" width="12.5" customWidth="1"/>
    <col min="16155" max="16155" width="12.625" bestFit="1" customWidth="1"/>
  </cols>
  <sheetData>
    <row r="1" spans="1:26" ht="15.75">
      <c r="A1" s="47" t="s">
        <v>671</v>
      </c>
    </row>
    <row r="2" spans="1:26" ht="20.25" customHeight="1">
      <c r="A2" s="1267" t="s">
        <v>672</v>
      </c>
      <c r="B2" s="1267"/>
      <c r="C2" s="1267"/>
      <c r="D2" s="1267"/>
      <c r="E2" s="1267"/>
      <c r="F2" s="1267"/>
      <c r="G2" s="1267"/>
      <c r="H2" s="1267"/>
      <c r="I2" s="1267"/>
      <c r="J2" s="1267"/>
      <c r="K2" s="1267"/>
      <c r="L2" s="1267"/>
      <c r="M2" s="1267"/>
      <c r="N2" s="1267"/>
      <c r="O2" s="1267"/>
      <c r="P2" s="1267"/>
      <c r="Q2" s="1267"/>
      <c r="R2" s="1267"/>
      <c r="S2" s="1267"/>
      <c r="T2" s="1267"/>
      <c r="U2" s="1267"/>
      <c r="V2" s="1267"/>
      <c r="W2" s="1267"/>
      <c r="X2" s="1267"/>
    </row>
    <row r="3" spans="1:26" ht="17.25" customHeight="1">
      <c r="A3" s="1267" t="s">
        <v>673</v>
      </c>
      <c r="B3" s="1267"/>
      <c r="C3" s="1267"/>
      <c r="D3" s="1267"/>
      <c r="E3" s="1267"/>
      <c r="F3" s="1267"/>
      <c r="G3" s="1267"/>
      <c r="H3" s="1267"/>
      <c r="I3" s="1267"/>
      <c r="J3" s="1267"/>
      <c r="K3" s="1267"/>
      <c r="L3" s="1267"/>
      <c r="M3" s="1267"/>
      <c r="N3" s="1267"/>
      <c r="O3" s="1267"/>
      <c r="P3" s="1267"/>
      <c r="Q3" s="1267"/>
      <c r="R3" s="1267"/>
      <c r="S3" s="1267"/>
      <c r="T3" s="1267"/>
      <c r="U3" s="1267"/>
      <c r="V3" s="1267"/>
      <c r="W3" s="1267"/>
      <c r="X3" s="1267"/>
    </row>
    <row r="4" spans="1:26" ht="18.75" customHeight="1">
      <c r="A4" s="61"/>
      <c r="B4" s="1268" t="s">
        <v>674</v>
      </c>
      <c r="C4" s="1268"/>
      <c r="D4" s="62"/>
      <c r="E4" s="61"/>
      <c r="F4" s="61"/>
      <c r="G4" s="61"/>
      <c r="H4" s="61"/>
      <c r="I4" s="61"/>
      <c r="J4" s="61"/>
      <c r="K4" s="61"/>
      <c r="L4" s="61"/>
      <c r="M4" s="61"/>
      <c r="N4" s="61"/>
      <c r="O4" s="61"/>
      <c r="P4" s="61"/>
      <c r="Q4" s="61"/>
      <c r="R4" s="61"/>
      <c r="S4" s="63" t="s">
        <v>675</v>
      </c>
      <c r="T4" s="63"/>
      <c r="U4" s="63"/>
      <c r="V4" s="63"/>
      <c r="W4" s="61"/>
      <c r="X4" s="61"/>
    </row>
    <row r="5" spans="1:26" ht="29.25" customHeight="1">
      <c r="A5" s="1269" t="s">
        <v>38</v>
      </c>
      <c r="B5" s="1270" t="s">
        <v>676</v>
      </c>
      <c r="C5" s="1270" t="s">
        <v>677</v>
      </c>
      <c r="D5" s="64"/>
      <c r="E5" s="1271" t="s">
        <v>678</v>
      </c>
      <c r="F5" s="1270" t="s">
        <v>679</v>
      </c>
      <c r="G5" s="1270"/>
      <c r="H5" s="1270"/>
      <c r="I5" s="1270"/>
      <c r="J5" s="1270"/>
      <c r="K5" s="1270"/>
      <c r="L5" s="1270"/>
      <c r="M5" s="1270"/>
      <c r="N5" s="1270"/>
      <c r="O5" s="1272" t="s">
        <v>680</v>
      </c>
      <c r="P5" s="1272" t="s">
        <v>681</v>
      </c>
      <c r="Q5" s="1273" t="s">
        <v>653</v>
      </c>
      <c r="R5" s="1273" t="s">
        <v>682</v>
      </c>
      <c r="S5" s="1273" t="s">
        <v>683</v>
      </c>
      <c r="T5" s="1271" t="s">
        <v>684</v>
      </c>
      <c r="U5" s="1271"/>
      <c r="V5" s="1271" t="s">
        <v>685</v>
      </c>
      <c r="W5" s="1271" t="s">
        <v>686</v>
      </c>
      <c r="X5" s="1271" t="s">
        <v>687</v>
      </c>
    </row>
    <row r="6" spans="1:26" ht="47.25" customHeight="1">
      <c r="A6" s="1269"/>
      <c r="B6" s="1270"/>
      <c r="C6" s="1270"/>
      <c r="D6" s="64"/>
      <c r="E6" s="1271"/>
      <c r="F6" s="65" t="s">
        <v>688</v>
      </c>
      <c r="G6" s="66" t="s">
        <v>689</v>
      </c>
      <c r="H6" s="65" t="s">
        <v>690</v>
      </c>
      <c r="I6" s="65" t="s">
        <v>691</v>
      </c>
      <c r="J6" s="66" t="s">
        <v>692</v>
      </c>
      <c r="K6" s="66" t="s">
        <v>693</v>
      </c>
      <c r="L6" s="65" t="s">
        <v>694</v>
      </c>
      <c r="M6" s="65" t="s">
        <v>695</v>
      </c>
      <c r="N6" s="65" t="s">
        <v>696</v>
      </c>
      <c r="O6" s="1272"/>
      <c r="P6" s="1272"/>
      <c r="Q6" s="1273"/>
      <c r="R6" s="1273"/>
      <c r="S6" s="1273"/>
      <c r="T6" s="65" t="s">
        <v>697</v>
      </c>
      <c r="U6" s="65" t="s">
        <v>698</v>
      </c>
      <c r="V6" s="1271"/>
      <c r="W6" s="1271"/>
      <c r="X6" s="1271"/>
    </row>
    <row r="7" spans="1:26" ht="47.25" customHeight="1">
      <c r="A7" s="136"/>
      <c r="B7" s="64" t="s">
        <v>288</v>
      </c>
      <c r="C7" s="64"/>
      <c r="D7" s="140">
        <f>SUM(D8:D9)</f>
        <v>10.823500000000001</v>
      </c>
      <c r="E7" s="140">
        <f t="shared" ref="E7:P7" si="0">SUM(E8:E9)</f>
        <v>6.66</v>
      </c>
      <c r="F7" s="140">
        <f t="shared" si="0"/>
        <v>1</v>
      </c>
      <c r="G7" s="140">
        <f t="shared" si="0"/>
        <v>0</v>
      </c>
      <c r="H7" s="140">
        <f t="shared" si="0"/>
        <v>1.665</v>
      </c>
      <c r="I7" s="140">
        <f t="shared" si="0"/>
        <v>0</v>
      </c>
      <c r="J7" s="140">
        <f t="shared" si="0"/>
        <v>0</v>
      </c>
      <c r="K7" s="140">
        <f t="shared" si="0"/>
        <v>0</v>
      </c>
      <c r="L7" s="140">
        <f t="shared" si="0"/>
        <v>0</v>
      </c>
      <c r="M7" s="140">
        <f t="shared" si="0"/>
        <v>0</v>
      </c>
      <c r="N7" s="140">
        <f t="shared" si="0"/>
        <v>0</v>
      </c>
      <c r="O7" s="140">
        <f t="shared" si="0"/>
        <v>1.4984999999999999</v>
      </c>
      <c r="P7" s="140">
        <f t="shared" si="0"/>
        <v>2.665</v>
      </c>
      <c r="Q7" s="138"/>
      <c r="R7" s="138"/>
      <c r="S7" s="138"/>
      <c r="T7" s="65"/>
      <c r="U7" s="65"/>
      <c r="V7" s="137"/>
      <c r="W7" s="137"/>
      <c r="X7" s="137"/>
    </row>
    <row r="8" spans="1:26" s="130" customFormat="1" ht="39" customHeight="1">
      <c r="A8" s="121">
        <v>1</v>
      </c>
      <c r="B8" s="122" t="s">
        <v>699</v>
      </c>
      <c r="C8" s="123" t="s">
        <v>700</v>
      </c>
      <c r="D8" s="139">
        <f>SUM(E8:O8)</f>
        <v>6.385250000000001</v>
      </c>
      <c r="E8" s="124">
        <v>3.99</v>
      </c>
      <c r="F8" s="125">
        <v>0.5</v>
      </c>
      <c r="G8" s="125"/>
      <c r="H8" s="126">
        <f>(G8+E8)*25%</f>
        <v>0.99750000000000005</v>
      </c>
      <c r="I8" s="125"/>
      <c r="J8" s="126"/>
      <c r="K8" s="126"/>
      <c r="L8" s="126"/>
      <c r="M8" s="125"/>
      <c r="N8" s="126"/>
      <c r="O8" s="126">
        <f>+E8*0.225</f>
        <v>0.89775000000000005</v>
      </c>
      <c r="P8" s="126">
        <f>SUM(F8:N8)</f>
        <v>1.4975000000000001</v>
      </c>
      <c r="Q8" s="123">
        <f>E8*1800000</f>
        <v>7182000</v>
      </c>
      <c r="R8" s="127">
        <f>P8*1800000</f>
        <v>2695500</v>
      </c>
      <c r="S8" s="123">
        <f>Q8+R8</f>
        <v>9877500</v>
      </c>
      <c r="T8" s="123">
        <f>(E8+G8+K8)*1800000*8%</f>
        <v>574560</v>
      </c>
      <c r="U8" s="123">
        <f>(E8+G8)*1800000*1.5%</f>
        <v>107730</v>
      </c>
      <c r="V8" s="123">
        <f>T8+U8</f>
        <v>682290</v>
      </c>
      <c r="W8" s="123">
        <f>S8-V8</f>
        <v>9195210</v>
      </c>
      <c r="X8" s="128"/>
      <c r="Y8" s="129"/>
    </row>
    <row r="9" spans="1:26" s="130" customFormat="1" ht="39" customHeight="1">
      <c r="A9" s="121"/>
      <c r="B9" s="122" t="s">
        <v>740</v>
      </c>
      <c r="C9" s="123"/>
      <c r="D9" s="139">
        <f>SUM(E9:O9)</f>
        <v>4.43825</v>
      </c>
      <c r="E9" s="124">
        <v>2.67</v>
      </c>
      <c r="F9" s="125">
        <v>0.5</v>
      </c>
      <c r="G9" s="125"/>
      <c r="H9" s="126">
        <f>(G9+E9)*25%</f>
        <v>0.66749999999999998</v>
      </c>
      <c r="I9" s="125"/>
      <c r="J9" s="126"/>
      <c r="K9" s="126"/>
      <c r="L9" s="126"/>
      <c r="M9" s="125"/>
      <c r="N9" s="126"/>
      <c r="O9" s="126">
        <f>+E9*0.225</f>
        <v>0.60075000000000001</v>
      </c>
      <c r="P9" s="126">
        <f>SUM(F9:N9)</f>
        <v>1.1675</v>
      </c>
      <c r="Q9" s="123"/>
      <c r="R9" s="127"/>
      <c r="S9" s="123"/>
      <c r="T9" s="123"/>
      <c r="U9" s="123"/>
      <c r="V9" s="123"/>
      <c r="W9" s="123"/>
      <c r="X9" s="128"/>
      <c r="Y9" s="129"/>
    </row>
    <row r="10" spans="1:26" s="130" customFormat="1" ht="39" customHeight="1">
      <c r="A10" s="121"/>
      <c r="B10" s="122" t="s">
        <v>741</v>
      </c>
      <c r="C10" s="123"/>
      <c r="D10" s="139">
        <f>SUM(E10:O10)</f>
        <v>7.2249999999999996</v>
      </c>
      <c r="E10" s="124">
        <v>3</v>
      </c>
      <c r="F10" s="125">
        <v>0.7</v>
      </c>
      <c r="G10" s="125"/>
      <c r="H10" s="126">
        <f>(G10+E10)*25%</f>
        <v>0.75</v>
      </c>
      <c r="I10" s="125"/>
      <c r="J10" s="126"/>
      <c r="K10" s="126"/>
      <c r="L10" s="126"/>
      <c r="M10" s="125"/>
      <c r="N10" s="126">
        <f>+E10*0.7</f>
        <v>2.0999999999999996</v>
      </c>
      <c r="O10" s="126">
        <f>+E10*0.225</f>
        <v>0.67500000000000004</v>
      </c>
      <c r="P10" s="126">
        <f>SUM(F10:N10)</f>
        <v>3.55</v>
      </c>
      <c r="Q10" s="123"/>
      <c r="R10" s="127"/>
      <c r="S10" s="123"/>
      <c r="T10" s="123"/>
      <c r="U10" s="123"/>
      <c r="V10" s="123"/>
      <c r="W10" s="123"/>
      <c r="X10" s="128"/>
      <c r="Y10" s="129"/>
    </row>
    <row r="11" spans="1:26" s="130" customFormat="1" ht="25.5" customHeight="1">
      <c r="A11" s="131"/>
      <c r="B11" s="132" t="s">
        <v>701</v>
      </c>
      <c r="C11" s="132"/>
      <c r="D11" s="135">
        <f>+E11+O11</f>
        <v>4.8877500000000005</v>
      </c>
      <c r="E11" s="133">
        <f t="shared" ref="E11:L11" si="1">SUM(E8:E8)</f>
        <v>3.99</v>
      </c>
      <c r="F11" s="133">
        <f t="shared" si="1"/>
        <v>0.5</v>
      </c>
      <c r="G11" s="133">
        <f t="shared" si="1"/>
        <v>0</v>
      </c>
      <c r="H11" s="134">
        <f t="shared" si="1"/>
        <v>0.99750000000000005</v>
      </c>
      <c r="I11" s="134">
        <f t="shared" si="1"/>
        <v>0</v>
      </c>
      <c r="J11" s="133">
        <f t="shared" si="1"/>
        <v>0</v>
      </c>
      <c r="K11" s="134">
        <f t="shared" si="1"/>
        <v>0</v>
      </c>
      <c r="L11" s="133">
        <f t="shared" si="1"/>
        <v>0</v>
      </c>
      <c r="M11" s="133"/>
      <c r="N11" s="134"/>
      <c r="O11" s="134">
        <f>+E11*0.225</f>
        <v>0.89775000000000005</v>
      </c>
      <c r="P11" s="134">
        <f>SUM(P8:P8)</f>
        <v>1.4975000000000001</v>
      </c>
      <c r="Q11" s="132">
        <f>SUM(Q8:Q8)</f>
        <v>7182000</v>
      </c>
      <c r="R11" s="132">
        <f>SUM(R8:R8)</f>
        <v>2695500</v>
      </c>
      <c r="S11" s="132">
        <f>Q11+R11</f>
        <v>9877500</v>
      </c>
      <c r="T11" s="132">
        <f>SUM(T8:T8)</f>
        <v>574560</v>
      </c>
      <c r="U11" s="132">
        <f>SUM(U8:U8)</f>
        <v>107730</v>
      </c>
      <c r="V11" s="132">
        <f>SUM(V8:V8)</f>
        <v>682290</v>
      </c>
      <c r="W11" s="132">
        <f>SUM(W8:W8)</f>
        <v>9195210</v>
      </c>
      <c r="X11" s="123"/>
      <c r="Y11" s="129"/>
      <c r="Z11" s="129"/>
    </row>
    <row r="12" spans="1:26" ht="15.75" customHeight="1">
      <c r="A12" s="78"/>
      <c r="B12" s="79"/>
      <c r="C12" s="80"/>
      <c r="D12" s="80"/>
      <c r="E12" s="81" t="e">
        <f>3.34-#REF!</f>
        <v>#REF!</v>
      </c>
      <c r="F12" s="81"/>
      <c r="G12" s="81"/>
      <c r="H12" s="82"/>
      <c r="I12" s="82"/>
      <c r="J12" s="82"/>
      <c r="K12" s="82"/>
      <c r="L12" s="83"/>
      <c r="M12" s="82"/>
      <c r="N12" s="82"/>
      <c r="O12" s="82"/>
      <c r="P12" s="82"/>
      <c r="Q12" s="84"/>
      <c r="R12" s="84"/>
      <c r="S12" s="84"/>
      <c r="T12" s="84"/>
      <c r="U12" s="84"/>
      <c r="V12" s="84"/>
      <c r="W12" s="85"/>
      <c r="X12" s="86"/>
      <c r="Y12" s="86"/>
      <c r="Z12" s="74"/>
    </row>
    <row r="13" spans="1:26" ht="15.75" customHeight="1">
      <c r="A13" s="1274"/>
      <c r="B13" s="1266"/>
      <c r="C13" s="1266"/>
      <c r="D13" s="1266"/>
      <c r="E13" s="1266"/>
      <c r="F13" s="44"/>
      <c r="G13" s="44"/>
      <c r="H13" s="44"/>
      <c r="I13" s="44"/>
      <c r="J13" s="44"/>
      <c r="K13" s="87"/>
      <c r="L13" s="88"/>
      <c r="M13" s="89"/>
      <c r="N13" s="90"/>
      <c r="O13" s="90"/>
      <c r="P13" s="91"/>
      <c r="Q13" s="90"/>
      <c r="R13" s="88"/>
      <c r="S13" s="88"/>
      <c r="T13" s="92"/>
      <c r="U13" s="92"/>
      <c r="V13" s="93"/>
      <c r="W13" s="92"/>
      <c r="X13" s="94"/>
      <c r="Y13" s="95"/>
      <c r="Z13" s="74"/>
    </row>
    <row r="14" spans="1:26" ht="18" customHeight="1">
      <c r="A14" s="1266"/>
      <c r="B14" s="1266"/>
      <c r="C14" s="44"/>
      <c r="D14" s="44"/>
      <c r="E14" s="44"/>
      <c r="F14" s="44"/>
      <c r="G14" s="44"/>
      <c r="H14" s="96"/>
      <c r="I14" s="1275"/>
      <c r="J14" s="1275"/>
      <c r="K14" s="1275"/>
      <c r="L14" s="44"/>
      <c r="M14" s="97"/>
      <c r="N14" s="44"/>
      <c r="O14" s="44"/>
      <c r="P14" s="91"/>
      <c r="Q14" s="44"/>
      <c r="R14" s="44"/>
      <c r="S14" s="44"/>
      <c r="T14" s="98"/>
      <c r="U14" s="98"/>
      <c r="V14" s="1266"/>
      <c r="W14" s="1266"/>
      <c r="X14" s="1266"/>
      <c r="Y14" s="99"/>
      <c r="Z14" s="74"/>
    </row>
    <row r="15" spans="1:26" ht="18" customHeight="1">
      <c r="C15" s="44"/>
      <c r="D15" s="44"/>
      <c r="E15" s="44"/>
      <c r="F15" s="44"/>
      <c r="G15" s="44"/>
      <c r="H15" s="44"/>
      <c r="I15" s="1275"/>
      <c r="J15" s="1275"/>
      <c r="K15" s="1275"/>
      <c r="L15" s="44"/>
      <c r="M15" s="100"/>
      <c r="N15" s="44"/>
      <c r="O15" s="44"/>
      <c r="P15" s="91"/>
      <c r="Q15" s="84"/>
      <c r="R15" s="44"/>
      <c r="S15" s="44"/>
      <c r="T15" s="46"/>
      <c r="U15" s="46"/>
      <c r="V15" s="1266"/>
      <c r="W15" s="1266"/>
      <c r="X15" s="1266"/>
      <c r="Y15" s="101"/>
      <c r="Z15" s="74"/>
    </row>
    <row r="16" spans="1:26" ht="15.75">
      <c r="A16" s="46"/>
      <c r="B16" s="46"/>
      <c r="C16" s="44"/>
      <c r="D16" s="44"/>
      <c r="E16" s="44"/>
      <c r="F16" s="44"/>
      <c r="G16" s="44"/>
      <c r="H16" s="44"/>
      <c r="I16" s="102"/>
      <c r="J16" s="102"/>
      <c r="K16" s="102"/>
      <c r="L16" s="44"/>
      <c r="M16" s="100"/>
      <c r="N16" s="44"/>
      <c r="O16" s="44"/>
      <c r="P16" s="44"/>
      <c r="Q16" s="44"/>
      <c r="R16" s="44"/>
      <c r="S16" s="44"/>
      <c r="T16" s="44"/>
      <c r="U16" s="44"/>
      <c r="V16" s="44"/>
      <c r="W16" s="44"/>
      <c r="X16" s="44"/>
    </row>
    <row r="17" spans="1:25" ht="15.75">
      <c r="A17" s="46"/>
      <c r="B17" s="46"/>
      <c r="C17" s="44"/>
      <c r="D17" s="44"/>
      <c r="E17" s="44"/>
      <c r="F17" s="44"/>
      <c r="G17" s="44"/>
      <c r="H17" s="44"/>
      <c r="I17" s="103"/>
      <c r="J17" s="104"/>
      <c r="K17" s="103"/>
      <c r="L17" s="44"/>
      <c r="M17" s="44"/>
      <c r="N17" s="44"/>
      <c r="O17" s="44"/>
      <c r="P17" s="44"/>
      <c r="Q17" s="44"/>
      <c r="R17" s="44"/>
      <c r="S17" s="44"/>
      <c r="T17" s="44"/>
      <c r="U17" s="44"/>
      <c r="V17" s="44"/>
      <c r="W17" s="44"/>
      <c r="X17" s="44"/>
    </row>
    <row r="18" spans="1:25" ht="15.75">
      <c r="A18" s="1266"/>
      <c r="B18" s="1266"/>
      <c r="C18" s="44"/>
      <c r="D18" s="44"/>
      <c r="E18" s="44"/>
      <c r="F18" s="44"/>
      <c r="G18" s="44"/>
      <c r="H18" s="44"/>
      <c r="I18" s="103"/>
      <c r="J18" s="104"/>
      <c r="K18" s="103"/>
      <c r="L18" s="44"/>
      <c r="M18" s="44"/>
      <c r="N18" s="44"/>
      <c r="O18" s="44"/>
      <c r="P18" s="44"/>
      <c r="Q18" s="44"/>
      <c r="R18" s="44"/>
      <c r="S18" s="44"/>
      <c r="T18" s="44"/>
      <c r="U18" s="44"/>
      <c r="V18" s="44"/>
      <c r="W18" s="44"/>
      <c r="X18" s="44"/>
    </row>
    <row r="19" spans="1:25" ht="15.75">
      <c r="C19" s="44"/>
      <c r="D19" s="44"/>
      <c r="E19" s="44"/>
      <c r="F19" s="44"/>
      <c r="G19" s="44"/>
      <c r="H19" s="44"/>
      <c r="I19" s="103"/>
      <c r="J19" s="105"/>
      <c r="K19" s="44"/>
      <c r="L19" s="44"/>
      <c r="M19" s="44"/>
      <c r="N19" s="44"/>
      <c r="O19" s="44"/>
      <c r="P19" s="44"/>
      <c r="Q19" s="44"/>
      <c r="R19" s="44"/>
      <c r="S19" s="44"/>
      <c r="T19" s="44"/>
      <c r="U19" s="44"/>
      <c r="V19" s="44"/>
      <c r="W19" s="44"/>
      <c r="X19" s="44"/>
    </row>
    <row r="20" spans="1:25" ht="15.75">
      <c r="A20" s="102"/>
      <c r="B20" s="102"/>
      <c r="C20" s="44"/>
      <c r="D20" s="44"/>
      <c r="E20" s="44"/>
      <c r="F20" s="44"/>
      <c r="G20" s="44"/>
      <c r="H20" s="44"/>
      <c r="I20" s="103"/>
      <c r="J20" s="103"/>
      <c r="K20" s="106"/>
      <c r="L20" s="44"/>
      <c r="M20" s="44"/>
      <c r="N20" s="44"/>
      <c r="O20" s="44"/>
      <c r="P20" s="44"/>
      <c r="Q20" s="44"/>
      <c r="R20" s="44"/>
      <c r="S20" s="44"/>
      <c r="T20" s="44"/>
      <c r="U20" s="44"/>
      <c r="V20" s="44"/>
      <c r="W20" s="44"/>
      <c r="X20" s="44"/>
    </row>
    <row r="21" spans="1:25" ht="15.75">
      <c r="C21" s="44"/>
      <c r="D21" s="44"/>
      <c r="E21" s="44"/>
      <c r="F21" s="44"/>
      <c r="G21" s="44"/>
      <c r="H21" s="44"/>
      <c r="I21" s="1266"/>
      <c r="J21" s="1266"/>
      <c r="K21" s="1266"/>
      <c r="L21" s="44"/>
      <c r="M21" s="44"/>
      <c r="N21" s="44"/>
      <c r="O21" s="44"/>
      <c r="P21" s="44"/>
      <c r="Q21" s="44"/>
      <c r="R21" s="44"/>
      <c r="S21" s="44"/>
      <c r="T21" s="44"/>
      <c r="U21" s="44"/>
      <c r="V21" s="1266"/>
      <c r="W21" s="1266"/>
      <c r="X21" s="1266"/>
      <c r="Y21" s="98"/>
    </row>
    <row r="22" spans="1:25" ht="15.75">
      <c r="L22" s="44"/>
      <c r="M22" s="44"/>
      <c r="N22" s="44"/>
      <c r="O22" s="44"/>
      <c r="P22" s="44"/>
      <c r="Q22" s="44"/>
      <c r="R22" s="44"/>
      <c r="S22" s="44"/>
      <c r="T22" s="44"/>
      <c r="U22" s="44"/>
      <c r="V22" s="44"/>
      <c r="W22" s="44"/>
      <c r="X22" s="44"/>
    </row>
    <row r="23" spans="1:25" ht="15.75">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5" ht="15.75">
      <c r="A24" s="44"/>
      <c r="B24" s="44"/>
      <c r="C24" s="44"/>
      <c r="D24" s="44"/>
      <c r="E24" s="44"/>
      <c r="F24" s="44"/>
      <c r="G24" s="44"/>
      <c r="H24" s="44"/>
      <c r="I24" s="44"/>
      <c r="J24" s="44"/>
      <c r="K24" s="44"/>
      <c r="L24" s="44"/>
      <c r="M24" s="44"/>
      <c r="N24" s="44"/>
      <c r="O24" s="44"/>
      <c r="P24" s="44"/>
      <c r="Q24" s="44"/>
      <c r="R24" s="44"/>
      <c r="S24" s="44"/>
      <c r="T24" s="44"/>
      <c r="U24" s="44"/>
      <c r="V24" s="44"/>
      <c r="W24" s="44"/>
      <c r="X24" s="44"/>
    </row>
    <row r="25" spans="1:25" ht="15.75">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5" ht="15.75">
      <c r="A26" s="44"/>
      <c r="B26" s="44"/>
      <c r="C26" s="44"/>
      <c r="D26" s="44"/>
      <c r="E26" s="44"/>
      <c r="F26" s="44"/>
      <c r="G26" s="44"/>
      <c r="H26" s="44"/>
      <c r="I26" s="44"/>
      <c r="J26" s="44"/>
      <c r="K26" s="44"/>
      <c r="L26" s="44"/>
      <c r="M26" s="44"/>
      <c r="N26" s="44"/>
      <c r="O26" s="44"/>
      <c r="P26" s="44"/>
      <c r="Q26" s="44"/>
      <c r="R26" s="44"/>
      <c r="S26" s="44"/>
      <c r="T26" s="44"/>
      <c r="U26" s="44"/>
      <c r="V26" s="44"/>
      <c r="W26" s="44"/>
      <c r="X26" s="44"/>
    </row>
    <row r="27" spans="1:25" ht="15.75">
      <c r="A27" s="44"/>
      <c r="B27" s="44"/>
      <c r="C27" s="44"/>
      <c r="D27" s="44"/>
      <c r="E27" s="44"/>
      <c r="F27" s="44"/>
      <c r="G27" s="44"/>
      <c r="H27" s="44"/>
      <c r="I27" s="44"/>
      <c r="J27" s="44"/>
      <c r="K27" s="44"/>
      <c r="L27" s="44"/>
      <c r="M27" s="44"/>
      <c r="N27" s="44"/>
      <c r="O27" s="44"/>
      <c r="P27" s="44"/>
      <c r="Q27" s="44"/>
      <c r="R27" s="44"/>
      <c r="S27" s="44"/>
      <c r="T27" s="44"/>
      <c r="U27" s="44"/>
      <c r="V27" s="44"/>
      <c r="W27" s="44"/>
      <c r="X27" s="44"/>
    </row>
    <row r="28" spans="1:25" ht="15.75">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5" ht="15.75">
      <c r="A29" s="44"/>
      <c r="B29" s="44"/>
      <c r="C29" s="44"/>
      <c r="D29" s="44"/>
      <c r="E29" s="44"/>
      <c r="F29" s="44"/>
      <c r="G29" s="44"/>
      <c r="H29" s="44"/>
      <c r="I29" s="44"/>
      <c r="J29" s="44"/>
      <c r="K29" s="44"/>
      <c r="L29" s="44"/>
      <c r="M29" s="44"/>
      <c r="N29" s="44"/>
      <c r="O29" s="44"/>
      <c r="P29" s="44"/>
      <c r="Q29" s="44"/>
      <c r="R29" s="44"/>
      <c r="S29" s="44"/>
      <c r="T29" s="44"/>
      <c r="U29" s="44"/>
      <c r="V29" s="44"/>
      <c r="W29" s="44"/>
      <c r="X29" s="44"/>
    </row>
    <row r="30" spans="1:25" ht="15.75">
      <c r="A30" s="1266"/>
      <c r="B30" s="1266"/>
      <c r="C30" s="1266"/>
      <c r="D30" s="1266"/>
      <c r="E30" s="1266"/>
      <c r="F30" s="44"/>
      <c r="G30" s="44"/>
      <c r="H30" s="44"/>
      <c r="I30" s="44"/>
      <c r="J30" s="44"/>
      <c r="K30" s="44"/>
      <c r="L30" s="44"/>
      <c r="M30" s="44"/>
      <c r="N30" s="44"/>
      <c r="O30" s="44"/>
      <c r="P30" s="44"/>
      <c r="Q30" s="44"/>
      <c r="R30" s="44"/>
      <c r="S30" s="44"/>
      <c r="T30" s="1266"/>
      <c r="U30" s="1266"/>
      <c r="V30" s="1266"/>
      <c r="W30" s="1266"/>
      <c r="X30" s="1266"/>
    </row>
    <row r="31" spans="1:25" ht="15.75">
      <c r="A31" s="46"/>
      <c r="B31" s="46"/>
      <c r="C31" s="46"/>
      <c r="D31" s="46"/>
      <c r="E31" s="46"/>
      <c r="F31" s="44"/>
      <c r="G31" s="44"/>
      <c r="H31" s="44"/>
      <c r="I31" s="44"/>
      <c r="J31" s="44"/>
      <c r="K31" s="44"/>
      <c r="L31" s="44"/>
      <c r="M31" s="44"/>
      <c r="N31" s="44"/>
      <c r="O31" s="44"/>
      <c r="P31" s="44"/>
      <c r="Q31" s="44"/>
      <c r="R31" s="44"/>
      <c r="S31" s="44"/>
      <c r="T31" s="46"/>
      <c r="U31" s="46"/>
      <c r="V31" s="46"/>
      <c r="W31" s="46"/>
      <c r="X31" s="46"/>
    </row>
    <row r="32" spans="1:25" ht="15.75">
      <c r="A32" s="46"/>
      <c r="B32" s="46"/>
      <c r="C32" s="46"/>
      <c r="D32" s="46"/>
      <c r="E32" s="46"/>
      <c r="F32" s="44"/>
      <c r="G32" s="44"/>
      <c r="H32" s="44"/>
      <c r="I32" s="44"/>
      <c r="J32" s="44"/>
      <c r="K32" s="44"/>
      <c r="L32" s="44"/>
      <c r="M32" s="44"/>
      <c r="N32" s="44"/>
      <c r="O32" s="44"/>
      <c r="P32" s="44"/>
      <c r="Q32" s="44"/>
      <c r="R32" s="44"/>
      <c r="S32" s="44"/>
      <c r="T32" s="46"/>
      <c r="U32" s="46"/>
      <c r="V32" s="46"/>
      <c r="W32" s="46"/>
      <c r="X32" s="46"/>
    </row>
    <row r="33" spans="1:24" ht="15.75">
      <c r="A33" s="46"/>
      <c r="B33" s="46"/>
      <c r="C33" s="46"/>
      <c r="D33" s="46"/>
      <c r="E33" s="46"/>
      <c r="F33" s="44"/>
      <c r="G33" s="44"/>
      <c r="H33" s="44"/>
      <c r="I33" s="44"/>
      <c r="J33" s="44"/>
      <c r="K33" s="44"/>
      <c r="L33" s="44"/>
      <c r="M33" s="44"/>
      <c r="N33" s="44"/>
      <c r="O33" s="44"/>
      <c r="P33" s="44"/>
      <c r="Q33" s="44"/>
      <c r="R33" s="44"/>
      <c r="S33" s="44"/>
      <c r="T33" s="46"/>
      <c r="U33" s="46"/>
      <c r="V33" s="46"/>
      <c r="W33" s="46"/>
      <c r="X33" s="46"/>
    </row>
    <row r="34" spans="1:24" ht="15.75">
      <c r="A34" s="46"/>
      <c r="B34" s="46"/>
      <c r="C34" s="46"/>
      <c r="D34" s="46"/>
      <c r="E34" s="46"/>
      <c r="F34" s="44"/>
      <c r="G34" s="44"/>
      <c r="H34" s="44"/>
      <c r="I34" s="44"/>
      <c r="J34" s="44"/>
      <c r="K34" s="44"/>
      <c r="L34" s="44"/>
      <c r="M34" s="44"/>
      <c r="N34" s="44"/>
      <c r="O34" s="44"/>
      <c r="P34" s="44"/>
      <c r="Q34" s="44"/>
      <c r="R34" s="44"/>
      <c r="S34" s="44"/>
      <c r="T34" s="46"/>
      <c r="U34" s="46"/>
      <c r="V34" s="46"/>
      <c r="W34" s="46"/>
      <c r="X34" s="46"/>
    </row>
    <row r="35" spans="1:24" ht="15.75">
      <c r="A35" s="46"/>
      <c r="B35" s="46"/>
      <c r="C35" s="46"/>
      <c r="D35" s="46"/>
      <c r="E35" s="46"/>
      <c r="F35" s="44"/>
      <c r="G35" s="44"/>
      <c r="H35" s="44"/>
      <c r="I35" s="44"/>
      <c r="J35" s="44"/>
      <c r="K35" s="44"/>
      <c r="L35" s="44"/>
      <c r="M35" s="44"/>
      <c r="N35" s="44"/>
      <c r="O35" s="44"/>
      <c r="P35" s="44"/>
      <c r="Q35" s="44"/>
      <c r="R35" s="44"/>
      <c r="S35" s="44"/>
      <c r="T35" s="46"/>
      <c r="U35" s="46"/>
      <c r="V35" s="46"/>
      <c r="W35" s="46"/>
      <c r="X35" s="46"/>
    </row>
    <row r="36" spans="1:24" ht="15.75">
      <c r="A36" s="46"/>
      <c r="B36" s="46"/>
      <c r="C36" s="46"/>
      <c r="D36" s="46"/>
      <c r="E36" s="46"/>
      <c r="F36" s="44"/>
      <c r="G36" s="44"/>
      <c r="H36" s="44"/>
      <c r="I36" s="44"/>
      <c r="J36" s="44"/>
      <c r="K36" s="44"/>
      <c r="L36" s="44"/>
      <c r="M36" s="44"/>
      <c r="N36" s="44"/>
      <c r="O36" s="44"/>
      <c r="P36" s="44"/>
      <c r="Q36" s="44"/>
      <c r="R36" s="44"/>
      <c r="S36" s="44"/>
      <c r="T36" s="46"/>
      <c r="U36" s="46"/>
      <c r="V36" s="46"/>
      <c r="W36" s="46"/>
      <c r="X36" s="46"/>
    </row>
    <row r="37" spans="1:24" ht="15.75">
      <c r="A37" s="46"/>
      <c r="B37" s="46"/>
      <c r="C37" s="46"/>
      <c r="D37" s="46"/>
      <c r="E37" s="46"/>
      <c r="F37" s="44"/>
      <c r="G37" s="44"/>
      <c r="H37" s="44"/>
      <c r="I37" s="44"/>
      <c r="J37" s="44"/>
      <c r="K37" s="44"/>
      <c r="L37" s="44"/>
      <c r="M37" s="44"/>
      <c r="N37" s="44"/>
      <c r="O37" s="44"/>
      <c r="P37" s="44"/>
      <c r="Q37" s="44"/>
      <c r="R37" s="44"/>
      <c r="S37" s="44"/>
      <c r="T37" s="46"/>
      <c r="U37" s="46"/>
      <c r="V37" s="46"/>
      <c r="W37" s="46"/>
      <c r="X37" s="46"/>
    </row>
    <row r="38" spans="1:24" ht="15.75">
      <c r="A38" s="46"/>
      <c r="B38" s="46"/>
      <c r="C38" s="46"/>
      <c r="D38" s="46"/>
      <c r="E38" s="46"/>
      <c r="F38" s="44"/>
      <c r="G38" s="44"/>
      <c r="H38" s="44"/>
      <c r="I38" s="44"/>
      <c r="J38" s="44"/>
      <c r="K38" s="44"/>
      <c r="L38" s="44"/>
      <c r="M38" s="44"/>
      <c r="N38" s="44"/>
      <c r="O38" s="44"/>
      <c r="P38" s="44"/>
      <c r="Q38" s="44"/>
      <c r="R38" s="44"/>
      <c r="S38" s="44"/>
      <c r="T38" s="46"/>
      <c r="U38" s="46"/>
      <c r="V38" s="46"/>
      <c r="W38" s="46"/>
      <c r="X38" s="46"/>
    </row>
    <row r="39" spans="1:24" ht="15.75">
      <c r="A39" s="46"/>
      <c r="B39" s="46"/>
      <c r="C39" s="46"/>
      <c r="D39" s="46"/>
      <c r="E39" s="46"/>
      <c r="F39" s="44"/>
      <c r="G39" s="44"/>
      <c r="H39" s="44"/>
      <c r="I39" s="44"/>
      <c r="J39" s="44"/>
      <c r="K39" s="44"/>
      <c r="L39" s="44"/>
      <c r="M39" s="44"/>
      <c r="N39" s="44"/>
      <c r="O39" s="44"/>
      <c r="P39" s="44"/>
      <c r="Q39" s="44"/>
      <c r="R39" s="44"/>
      <c r="S39" s="44"/>
      <c r="T39" s="46"/>
      <c r="U39" s="46"/>
      <c r="V39" s="46"/>
      <c r="W39" s="46"/>
      <c r="X39" s="46"/>
    </row>
    <row r="40" spans="1:24" ht="15.75">
      <c r="A40" s="46"/>
      <c r="B40" s="46"/>
      <c r="C40" s="46"/>
      <c r="D40" s="46"/>
      <c r="E40" s="46"/>
      <c r="F40" s="44"/>
      <c r="G40" s="44"/>
      <c r="H40" s="44"/>
      <c r="I40" s="44"/>
      <c r="J40" s="44"/>
      <c r="K40" s="44"/>
      <c r="L40" s="44"/>
      <c r="M40" s="44"/>
      <c r="N40" s="44"/>
      <c r="O40" s="44"/>
      <c r="P40" s="44"/>
      <c r="Q40" s="44"/>
      <c r="R40" s="44"/>
      <c r="S40" s="44"/>
      <c r="T40" s="46"/>
      <c r="U40" s="46"/>
      <c r="V40" s="46"/>
      <c r="W40" s="46"/>
      <c r="X40" s="46"/>
    </row>
    <row r="41" spans="1:24" ht="15.75">
      <c r="A41" s="44"/>
      <c r="B41" s="44"/>
      <c r="C41" s="44"/>
      <c r="D41" s="44"/>
      <c r="E41" s="44"/>
      <c r="F41" s="44"/>
      <c r="G41" s="44"/>
      <c r="H41" s="44"/>
      <c r="I41" s="44"/>
      <c r="J41" s="44"/>
      <c r="K41" s="44"/>
      <c r="L41" s="44"/>
      <c r="M41" s="44"/>
      <c r="N41" s="44"/>
      <c r="O41" s="44"/>
      <c r="P41" s="44"/>
      <c r="Q41" s="44"/>
      <c r="R41" s="44"/>
      <c r="S41" s="44"/>
      <c r="T41" s="44"/>
      <c r="U41" s="44"/>
      <c r="V41" s="44"/>
      <c r="W41" s="44"/>
      <c r="X41" s="44"/>
    </row>
    <row r="45" spans="1:24" ht="15.75">
      <c r="A45" s="47" t="s">
        <v>671</v>
      </c>
    </row>
    <row r="46" spans="1:24" ht="16.5">
      <c r="A46" s="1267" t="s">
        <v>702</v>
      </c>
      <c r="B46" s="1267"/>
      <c r="C46" s="1267"/>
      <c r="D46" s="1267"/>
      <c r="E46" s="1267"/>
      <c r="F46" s="1267"/>
      <c r="G46" s="1267"/>
      <c r="H46" s="1267"/>
      <c r="I46" s="1267"/>
      <c r="J46" s="1267"/>
      <c r="K46" s="1267"/>
      <c r="L46" s="1267"/>
      <c r="M46" s="1267"/>
      <c r="N46" s="1267"/>
      <c r="O46" s="1267"/>
      <c r="P46" s="1267"/>
      <c r="Q46" s="1267"/>
      <c r="R46" s="1267"/>
      <c r="S46" s="1267"/>
      <c r="T46" s="1267"/>
      <c r="U46" s="1267"/>
      <c r="V46" s="1267"/>
      <c r="W46" s="1267"/>
      <c r="X46" s="1267"/>
    </row>
    <row r="47" spans="1:24" ht="16.5">
      <c r="A47" s="1267" t="s">
        <v>703</v>
      </c>
      <c r="B47" s="1267"/>
      <c r="C47" s="1267"/>
      <c r="D47" s="1267"/>
      <c r="E47" s="1267"/>
      <c r="F47" s="1267"/>
      <c r="G47" s="1267"/>
      <c r="H47" s="1267"/>
      <c r="I47" s="1267"/>
      <c r="J47" s="1267"/>
      <c r="K47" s="1267"/>
      <c r="L47" s="1267"/>
      <c r="M47" s="1267"/>
      <c r="N47" s="1267"/>
      <c r="O47" s="1267"/>
      <c r="P47" s="1267"/>
      <c r="Q47" s="1267"/>
      <c r="R47" s="1267"/>
      <c r="S47" s="1267"/>
      <c r="T47" s="1267"/>
      <c r="U47" s="1267"/>
      <c r="V47" s="1267"/>
      <c r="W47" s="1267"/>
      <c r="X47" s="1267"/>
    </row>
    <row r="48" spans="1:24" ht="15.75">
      <c r="A48" s="61"/>
      <c r="B48" s="1268" t="s">
        <v>674</v>
      </c>
      <c r="C48" s="1268"/>
      <c r="D48" s="62"/>
      <c r="E48" s="61"/>
      <c r="F48" s="61"/>
      <c r="G48" s="61"/>
      <c r="H48" s="61"/>
      <c r="I48" s="61"/>
      <c r="J48" s="61"/>
      <c r="K48" s="61"/>
      <c r="L48" s="61"/>
      <c r="M48" s="61"/>
      <c r="N48" s="61"/>
      <c r="O48" s="61"/>
      <c r="P48" s="61"/>
      <c r="Q48" s="61"/>
      <c r="R48" s="61"/>
      <c r="S48" s="61"/>
      <c r="T48" s="61"/>
      <c r="U48" s="61"/>
      <c r="V48" s="61"/>
      <c r="W48" s="61"/>
      <c r="X48" s="61"/>
    </row>
    <row r="49" spans="1:24" ht="15" customHeight="1">
      <c r="A49" s="1269" t="s">
        <v>38</v>
      </c>
      <c r="B49" s="1270" t="s">
        <v>676</v>
      </c>
      <c r="C49" s="1270" t="s">
        <v>677</v>
      </c>
      <c r="D49" s="64"/>
      <c r="E49" s="1271" t="s">
        <v>678</v>
      </c>
      <c r="F49" s="1270" t="s">
        <v>679</v>
      </c>
      <c r="G49" s="1270"/>
      <c r="H49" s="1270"/>
      <c r="I49" s="1270"/>
      <c r="J49" s="1270"/>
      <c r="K49" s="1270"/>
      <c r="L49" s="1270"/>
      <c r="M49" s="1270"/>
      <c r="N49" s="1270"/>
      <c r="O49" s="64"/>
      <c r="P49" s="1272" t="s">
        <v>681</v>
      </c>
      <c r="Q49" s="1273" t="s">
        <v>653</v>
      </c>
      <c r="R49" s="1273" t="s">
        <v>682</v>
      </c>
      <c r="S49" s="1273" t="s">
        <v>683</v>
      </c>
      <c r="T49" s="1271" t="s">
        <v>684</v>
      </c>
      <c r="U49" s="1271"/>
      <c r="V49" s="1271" t="s">
        <v>685</v>
      </c>
      <c r="W49" s="1271" t="s">
        <v>686</v>
      </c>
      <c r="X49" s="1271" t="s">
        <v>687</v>
      </c>
    </row>
    <row r="50" spans="1:24" ht="45">
      <c r="A50" s="1269"/>
      <c r="B50" s="1270"/>
      <c r="C50" s="1270"/>
      <c r="D50" s="64"/>
      <c r="E50" s="1271"/>
      <c r="F50" s="65" t="s">
        <v>688</v>
      </c>
      <c r="G50" s="66" t="s">
        <v>689</v>
      </c>
      <c r="H50" s="65" t="s">
        <v>690</v>
      </c>
      <c r="I50" s="65" t="s">
        <v>691</v>
      </c>
      <c r="J50" s="66" t="s">
        <v>692</v>
      </c>
      <c r="K50" s="66" t="s">
        <v>693</v>
      </c>
      <c r="L50" s="65" t="s">
        <v>694</v>
      </c>
      <c r="M50" s="65" t="s">
        <v>695</v>
      </c>
      <c r="N50" s="65" t="s">
        <v>696</v>
      </c>
      <c r="O50" s="65"/>
      <c r="P50" s="1272"/>
      <c r="Q50" s="1273"/>
      <c r="R50" s="1273"/>
      <c r="S50" s="1273"/>
      <c r="T50" s="65" t="s">
        <v>697</v>
      </c>
      <c r="U50" s="65" t="s">
        <v>698</v>
      </c>
      <c r="V50" s="1271"/>
      <c r="W50" s="1271"/>
      <c r="X50" s="1271"/>
    </row>
    <row r="51" spans="1:24">
      <c r="A51" s="67">
        <v>1</v>
      </c>
      <c r="B51" s="107" t="s">
        <v>704</v>
      </c>
      <c r="C51" s="69" t="s">
        <v>705</v>
      </c>
      <c r="D51" s="69"/>
      <c r="E51" s="71">
        <v>3.06</v>
      </c>
      <c r="F51" s="71">
        <v>0.5</v>
      </c>
      <c r="G51" s="71">
        <v>0.25</v>
      </c>
      <c r="H51" s="72">
        <f t="shared" ref="H51:H66" si="2">(G51+E51)*25%</f>
        <v>0.82750000000000001</v>
      </c>
      <c r="I51" s="71"/>
      <c r="J51" s="72">
        <f>(E51+G51)*5%</f>
        <v>0.16550000000000001</v>
      </c>
      <c r="K51" s="72"/>
      <c r="L51" s="72"/>
      <c r="M51" s="71">
        <v>1</v>
      </c>
      <c r="N51" s="72"/>
      <c r="O51" s="72"/>
      <c r="P51" s="72">
        <f>SUM(F51:N51)</f>
        <v>2.7430000000000003</v>
      </c>
      <c r="Q51" s="69">
        <f>E51*1300000</f>
        <v>3978000</v>
      </c>
      <c r="R51" s="108">
        <f>P51*1300000</f>
        <v>3565900.0000000005</v>
      </c>
      <c r="S51" s="69" t="e">
        <f>Q51+#REF!+R51</f>
        <v>#REF!</v>
      </c>
      <c r="T51" s="69">
        <f>(E51+G51+K51)*1300000*8%</f>
        <v>344240</v>
      </c>
      <c r="U51" s="69">
        <f>(E51+G51)*1300000*1.5%</f>
        <v>64545</v>
      </c>
      <c r="V51" s="69">
        <f>T51+U51</f>
        <v>408785</v>
      </c>
      <c r="W51" s="69" t="e">
        <f>S51-V51</f>
        <v>#REF!</v>
      </c>
      <c r="X51" s="73"/>
    </row>
    <row r="52" spans="1:24">
      <c r="A52" s="67">
        <v>2</v>
      </c>
      <c r="B52" s="107" t="s">
        <v>706</v>
      </c>
      <c r="C52" s="69" t="s">
        <v>707</v>
      </c>
      <c r="D52" s="69"/>
      <c r="E52" s="70">
        <v>3.99</v>
      </c>
      <c r="F52" s="71">
        <v>0.5</v>
      </c>
      <c r="G52" s="71">
        <v>0.2</v>
      </c>
      <c r="H52" s="72">
        <f t="shared" si="2"/>
        <v>1.0475000000000001</v>
      </c>
      <c r="I52" s="71"/>
      <c r="J52" s="72">
        <f>(E52+G52)*5%</f>
        <v>0.20950000000000002</v>
      </c>
      <c r="K52" s="72"/>
      <c r="L52" s="72"/>
      <c r="M52" s="71">
        <v>0.7</v>
      </c>
      <c r="N52" s="72"/>
      <c r="O52" s="72"/>
      <c r="P52" s="72">
        <f t="shared" ref="P52:P61" si="3">SUM(F52:N52)</f>
        <v>2.657</v>
      </c>
      <c r="Q52" s="69">
        <f t="shared" ref="Q52:Q66" si="4">E52*1300000</f>
        <v>5187000</v>
      </c>
      <c r="R52" s="108">
        <f t="shared" ref="R52:R66" si="5">P52*1300000</f>
        <v>3454100</v>
      </c>
      <c r="S52" s="69" t="e">
        <f>Q52+#REF!+R52</f>
        <v>#REF!</v>
      </c>
      <c r="T52" s="69">
        <f t="shared" ref="T52:T66" si="6">(E52+G52+K52)*1300000*8%</f>
        <v>435760.00000000006</v>
      </c>
      <c r="U52" s="69">
        <f t="shared" ref="U52:U66" si="7">(E52+G52)*1300000*1.5%</f>
        <v>81705.000000000015</v>
      </c>
      <c r="V52" s="69">
        <f t="shared" ref="V52:V61" si="8">T52+U52</f>
        <v>517465.00000000006</v>
      </c>
      <c r="W52" s="69" t="e">
        <f t="shared" ref="W52:W66" si="9">S52-V52</f>
        <v>#REF!</v>
      </c>
      <c r="X52" s="73"/>
    </row>
    <row r="53" spans="1:24">
      <c r="A53" s="67">
        <v>3</v>
      </c>
      <c r="B53" s="68" t="s">
        <v>708</v>
      </c>
      <c r="C53" s="69" t="s">
        <v>709</v>
      </c>
      <c r="D53" s="69"/>
      <c r="E53" s="70">
        <v>3</v>
      </c>
      <c r="F53" s="71">
        <v>0.5</v>
      </c>
      <c r="G53" s="71"/>
      <c r="H53" s="72">
        <f t="shared" si="2"/>
        <v>0.75</v>
      </c>
      <c r="I53" s="71"/>
      <c r="J53" s="71"/>
      <c r="K53" s="71"/>
      <c r="L53" s="71"/>
      <c r="M53" s="71">
        <v>0.7</v>
      </c>
      <c r="N53" s="72"/>
      <c r="O53" s="72"/>
      <c r="P53" s="72">
        <f t="shared" si="3"/>
        <v>1.95</v>
      </c>
      <c r="Q53" s="69">
        <f t="shared" si="4"/>
        <v>3900000</v>
      </c>
      <c r="R53" s="108">
        <f t="shared" si="5"/>
        <v>2535000</v>
      </c>
      <c r="S53" s="69" t="e">
        <f>Q53+#REF!+R53</f>
        <v>#REF!</v>
      </c>
      <c r="T53" s="69">
        <f t="shared" si="6"/>
        <v>312000</v>
      </c>
      <c r="U53" s="69">
        <f t="shared" si="7"/>
        <v>58500</v>
      </c>
      <c r="V53" s="69">
        <f t="shared" si="8"/>
        <v>370500</v>
      </c>
      <c r="W53" s="69" t="e">
        <f t="shared" si="9"/>
        <v>#REF!</v>
      </c>
      <c r="X53" s="73"/>
    </row>
    <row r="54" spans="1:24">
      <c r="A54" s="67">
        <v>4</v>
      </c>
      <c r="B54" s="68" t="s">
        <v>710</v>
      </c>
      <c r="C54" s="69" t="s">
        <v>711</v>
      </c>
      <c r="D54" s="69"/>
      <c r="E54" s="71">
        <v>3.46</v>
      </c>
      <c r="F54" s="71">
        <v>0.5</v>
      </c>
      <c r="G54" s="71"/>
      <c r="H54" s="72">
        <f t="shared" si="2"/>
        <v>0.86499999999999999</v>
      </c>
      <c r="I54" s="71">
        <v>0.2</v>
      </c>
      <c r="J54" s="71"/>
      <c r="K54" s="71"/>
      <c r="L54" s="71">
        <v>0.1</v>
      </c>
      <c r="M54" s="71">
        <v>1</v>
      </c>
      <c r="N54" s="72"/>
      <c r="O54" s="72"/>
      <c r="P54" s="72">
        <f t="shared" si="3"/>
        <v>2.665</v>
      </c>
      <c r="Q54" s="69">
        <f t="shared" si="4"/>
        <v>4498000</v>
      </c>
      <c r="R54" s="108">
        <f t="shared" si="5"/>
        <v>3464500</v>
      </c>
      <c r="S54" s="69" t="e">
        <f>Q54+#REF!+R54</f>
        <v>#REF!</v>
      </c>
      <c r="T54" s="69">
        <f t="shared" si="6"/>
        <v>359840</v>
      </c>
      <c r="U54" s="69">
        <f t="shared" si="7"/>
        <v>67470</v>
      </c>
      <c r="V54" s="69">
        <f t="shared" si="8"/>
        <v>427310</v>
      </c>
      <c r="W54" s="69" t="e">
        <f t="shared" si="9"/>
        <v>#REF!</v>
      </c>
      <c r="X54" s="73"/>
    </row>
    <row r="55" spans="1:24">
      <c r="A55" s="67">
        <v>5</v>
      </c>
      <c r="B55" s="68" t="s">
        <v>712</v>
      </c>
      <c r="C55" s="69" t="s">
        <v>713</v>
      </c>
      <c r="D55" s="69"/>
      <c r="E55" s="70">
        <v>2.46</v>
      </c>
      <c r="F55" s="71">
        <v>0.5</v>
      </c>
      <c r="G55" s="71"/>
      <c r="H55" s="72">
        <f t="shared" si="2"/>
        <v>0.61499999999999999</v>
      </c>
      <c r="I55" s="71"/>
      <c r="J55" s="71"/>
      <c r="K55" s="71"/>
      <c r="L55" s="71"/>
      <c r="M55" s="71">
        <v>0.5</v>
      </c>
      <c r="N55" s="72"/>
      <c r="O55" s="72"/>
      <c r="P55" s="72">
        <f t="shared" si="3"/>
        <v>1.615</v>
      </c>
      <c r="Q55" s="69">
        <f t="shared" si="4"/>
        <v>3198000</v>
      </c>
      <c r="R55" s="108">
        <f t="shared" si="5"/>
        <v>2099500</v>
      </c>
      <c r="S55" s="69" t="e">
        <f>Q55+#REF!+R55</f>
        <v>#REF!</v>
      </c>
      <c r="T55" s="69">
        <f t="shared" si="6"/>
        <v>255840</v>
      </c>
      <c r="U55" s="69">
        <f t="shared" si="7"/>
        <v>47970</v>
      </c>
      <c r="V55" s="69">
        <f t="shared" si="8"/>
        <v>303810</v>
      </c>
      <c r="W55" s="69" t="e">
        <f t="shared" si="9"/>
        <v>#REF!</v>
      </c>
      <c r="X55" s="73"/>
    </row>
    <row r="56" spans="1:24">
      <c r="A56" s="67">
        <v>6</v>
      </c>
      <c r="B56" s="68" t="s">
        <v>714</v>
      </c>
      <c r="C56" s="69" t="s">
        <v>713</v>
      </c>
      <c r="D56" s="69"/>
      <c r="E56" s="71">
        <v>2.86</v>
      </c>
      <c r="F56" s="71">
        <v>0.5</v>
      </c>
      <c r="G56" s="71"/>
      <c r="H56" s="72">
        <f t="shared" si="2"/>
        <v>0.71499999999999997</v>
      </c>
      <c r="I56" s="71"/>
      <c r="J56" s="71"/>
      <c r="K56" s="71"/>
      <c r="L56" s="71"/>
      <c r="M56" s="71">
        <v>1</v>
      </c>
      <c r="N56" s="72"/>
      <c r="O56" s="72"/>
      <c r="P56" s="72">
        <f t="shared" si="3"/>
        <v>2.2149999999999999</v>
      </c>
      <c r="Q56" s="69">
        <f t="shared" si="4"/>
        <v>3718000</v>
      </c>
      <c r="R56" s="108">
        <f t="shared" si="5"/>
        <v>2879500</v>
      </c>
      <c r="S56" s="69" t="e">
        <f>Q56+#REF!+R56</f>
        <v>#REF!</v>
      </c>
      <c r="T56" s="69">
        <f t="shared" si="6"/>
        <v>297440</v>
      </c>
      <c r="U56" s="69">
        <f t="shared" si="7"/>
        <v>55770</v>
      </c>
      <c r="V56" s="69">
        <f t="shared" si="8"/>
        <v>353210</v>
      </c>
      <c r="W56" s="69" t="e">
        <f t="shared" si="9"/>
        <v>#REF!</v>
      </c>
      <c r="X56" s="73"/>
    </row>
    <row r="57" spans="1:24">
      <c r="A57" s="67">
        <v>7</v>
      </c>
      <c r="B57" s="68" t="s">
        <v>715</v>
      </c>
      <c r="C57" s="69" t="s">
        <v>716</v>
      </c>
      <c r="D57" s="69"/>
      <c r="E57" s="71">
        <v>3.06</v>
      </c>
      <c r="F57" s="71">
        <v>0.5</v>
      </c>
      <c r="G57" s="71"/>
      <c r="H57" s="72">
        <f t="shared" si="2"/>
        <v>0.76500000000000001</v>
      </c>
      <c r="I57" s="71">
        <v>0.2</v>
      </c>
      <c r="J57" s="71"/>
      <c r="K57" s="71"/>
      <c r="L57" s="71"/>
      <c r="M57" s="71">
        <v>0.5</v>
      </c>
      <c r="N57" s="72"/>
      <c r="O57" s="72"/>
      <c r="P57" s="72">
        <f t="shared" si="3"/>
        <v>1.9650000000000001</v>
      </c>
      <c r="Q57" s="69">
        <f t="shared" si="4"/>
        <v>3978000</v>
      </c>
      <c r="R57" s="108">
        <f t="shared" si="5"/>
        <v>2554500</v>
      </c>
      <c r="S57" s="69" t="e">
        <f>Q57+#REF!+R57</f>
        <v>#REF!</v>
      </c>
      <c r="T57" s="69">
        <f t="shared" si="6"/>
        <v>318240</v>
      </c>
      <c r="U57" s="69">
        <f t="shared" si="7"/>
        <v>59670</v>
      </c>
      <c r="V57" s="69">
        <f t="shared" si="8"/>
        <v>377910</v>
      </c>
      <c r="W57" s="69" t="e">
        <f t="shared" si="9"/>
        <v>#REF!</v>
      </c>
      <c r="X57" s="73"/>
    </row>
    <row r="58" spans="1:24" ht="27" customHeight="1">
      <c r="A58" s="67">
        <v>8</v>
      </c>
      <c r="B58" s="109" t="s">
        <v>717</v>
      </c>
      <c r="C58" s="110" t="s">
        <v>718</v>
      </c>
      <c r="D58" s="110"/>
      <c r="E58" s="70">
        <v>3.03</v>
      </c>
      <c r="F58" s="70">
        <v>0.5</v>
      </c>
      <c r="G58" s="70"/>
      <c r="H58" s="111">
        <f t="shared" si="2"/>
        <v>0.75749999999999995</v>
      </c>
      <c r="I58" s="70"/>
      <c r="J58" s="70"/>
      <c r="K58" s="70"/>
      <c r="L58" s="70"/>
      <c r="M58" s="70"/>
      <c r="N58" s="111">
        <f>(E58+G58)*70%</f>
        <v>2.1209999999999996</v>
      </c>
      <c r="O58" s="111"/>
      <c r="P58" s="111">
        <f t="shared" si="3"/>
        <v>3.3784999999999994</v>
      </c>
      <c r="Q58" s="69">
        <f t="shared" si="4"/>
        <v>3938999.9999999995</v>
      </c>
      <c r="R58" s="108">
        <f t="shared" si="5"/>
        <v>4392049.9999999991</v>
      </c>
      <c r="S58" s="110" t="e">
        <f>Q58+#REF!+R58</f>
        <v>#REF!</v>
      </c>
      <c r="T58" s="69">
        <f t="shared" si="6"/>
        <v>315119.99999999994</v>
      </c>
      <c r="U58" s="69">
        <f t="shared" si="7"/>
        <v>59084.999999999993</v>
      </c>
      <c r="V58" s="110">
        <f t="shared" si="8"/>
        <v>374204.99999999994</v>
      </c>
      <c r="W58" s="110" t="e">
        <f t="shared" si="9"/>
        <v>#REF!</v>
      </c>
      <c r="X58" s="73"/>
    </row>
    <row r="59" spans="1:24">
      <c r="A59" s="67">
        <v>9</v>
      </c>
      <c r="B59" s="68" t="s">
        <v>719</v>
      </c>
      <c r="C59" s="69" t="s">
        <v>720</v>
      </c>
      <c r="D59" s="69"/>
      <c r="E59" s="71">
        <v>3</v>
      </c>
      <c r="F59" s="71">
        <v>0.5</v>
      </c>
      <c r="G59" s="71"/>
      <c r="H59" s="72">
        <f t="shared" si="2"/>
        <v>0.75</v>
      </c>
      <c r="I59" s="71"/>
      <c r="J59" s="71"/>
      <c r="K59" s="71"/>
      <c r="L59" s="71"/>
      <c r="M59" s="71">
        <v>0.5</v>
      </c>
      <c r="N59" s="72"/>
      <c r="O59" s="72"/>
      <c r="P59" s="72">
        <f t="shared" si="3"/>
        <v>1.75</v>
      </c>
      <c r="Q59" s="69">
        <f t="shared" si="4"/>
        <v>3900000</v>
      </c>
      <c r="R59" s="108">
        <f t="shared" si="5"/>
        <v>2275000</v>
      </c>
      <c r="S59" s="69" t="e">
        <f>Q59+#REF!+R59</f>
        <v>#REF!</v>
      </c>
      <c r="T59" s="69">
        <f t="shared" si="6"/>
        <v>312000</v>
      </c>
      <c r="U59" s="69">
        <f t="shared" si="7"/>
        <v>58500</v>
      </c>
      <c r="V59" s="69">
        <f t="shared" si="8"/>
        <v>370500</v>
      </c>
      <c r="W59" s="69" t="e">
        <f t="shared" si="9"/>
        <v>#REF!</v>
      </c>
      <c r="X59" s="112"/>
    </row>
    <row r="60" spans="1:24">
      <c r="A60" s="67">
        <v>10</v>
      </c>
      <c r="B60" s="68" t="s">
        <v>721</v>
      </c>
      <c r="C60" s="69" t="s">
        <v>722</v>
      </c>
      <c r="D60" s="69"/>
      <c r="E60" s="70">
        <v>2.34</v>
      </c>
      <c r="F60" s="71">
        <v>0.5</v>
      </c>
      <c r="G60" s="71"/>
      <c r="H60" s="72">
        <f t="shared" si="2"/>
        <v>0.58499999999999996</v>
      </c>
      <c r="I60" s="71"/>
      <c r="J60" s="71"/>
      <c r="K60" s="71"/>
      <c r="L60" s="71"/>
      <c r="M60" s="71"/>
      <c r="N60" s="72">
        <f>(E60+G60)*70%</f>
        <v>1.6379999999999999</v>
      </c>
      <c r="O60" s="72"/>
      <c r="P60" s="72">
        <f t="shared" si="3"/>
        <v>2.7229999999999999</v>
      </c>
      <c r="Q60" s="69">
        <f t="shared" si="4"/>
        <v>3042000</v>
      </c>
      <c r="R60" s="108">
        <f t="shared" si="5"/>
        <v>3539900</v>
      </c>
      <c r="S60" s="69" t="e">
        <f>Q60+#REF!+R60</f>
        <v>#REF!</v>
      </c>
      <c r="T60" s="69">
        <f t="shared" si="6"/>
        <v>243360</v>
      </c>
      <c r="U60" s="69">
        <f t="shared" si="7"/>
        <v>45630</v>
      </c>
      <c r="V60" s="69">
        <f t="shared" si="8"/>
        <v>288990</v>
      </c>
      <c r="W60" s="69" t="e">
        <f t="shared" si="9"/>
        <v>#REF!</v>
      </c>
      <c r="X60" s="112"/>
    </row>
    <row r="61" spans="1:24">
      <c r="A61" s="67">
        <v>11</v>
      </c>
      <c r="B61" s="68" t="s">
        <v>723</v>
      </c>
      <c r="C61" s="69" t="s">
        <v>722</v>
      </c>
      <c r="D61" s="69"/>
      <c r="E61" s="70">
        <v>2.06</v>
      </c>
      <c r="F61" s="71">
        <v>0.5</v>
      </c>
      <c r="G61" s="71"/>
      <c r="H61" s="72">
        <f t="shared" si="2"/>
        <v>0.51500000000000001</v>
      </c>
      <c r="I61" s="71"/>
      <c r="J61" s="71"/>
      <c r="K61" s="71"/>
      <c r="L61" s="71"/>
      <c r="M61" s="71"/>
      <c r="N61" s="72">
        <f>(E61+G61)*70%</f>
        <v>1.4419999999999999</v>
      </c>
      <c r="O61" s="72"/>
      <c r="P61" s="72">
        <f t="shared" si="3"/>
        <v>2.4569999999999999</v>
      </c>
      <c r="Q61" s="69">
        <f t="shared" si="4"/>
        <v>2678000</v>
      </c>
      <c r="R61" s="108">
        <f t="shared" si="5"/>
        <v>3194100</v>
      </c>
      <c r="S61" s="69" t="e">
        <f>Q61+#REF!+R61</f>
        <v>#REF!</v>
      </c>
      <c r="T61" s="69">
        <f t="shared" si="6"/>
        <v>214240</v>
      </c>
      <c r="U61" s="69">
        <f t="shared" si="7"/>
        <v>40170</v>
      </c>
      <c r="V61" s="69">
        <f t="shared" si="8"/>
        <v>254410</v>
      </c>
      <c r="W61" s="69" t="e">
        <f t="shared" si="9"/>
        <v>#REF!</v>
      </c>
      <c r="X61" s="112"/>
    </row>
    <row r="62" spans="1:24">
      <c r="A62" s="67">
        <v>12</v>
      </c>
      <c r="B62" s="68" t="s">
        <v>724</v>
      </c>
      <c r="C62" s="69" t="s">
        <v>725</v>
      </c>
      <c r="D62" s="69"/>
      <c r="E62" s="71">
        <v>3.06</v>
      </c>
      <c r="F62" s="71">
        <v>0.5</v>
      </c>
      <c r="G62" s="71">
        <v>0.3</v>
      </c>
      <c r="H62" s="72">
        <f t="shared" si="2"/>
        <v>0.84</v>
      </c>
      <c r="I62" s="113"/>
      <c r="J62" s="72">
        <f>(E62+G62)*5%</f>
        <v>0.16800000000000001</v>
      </c>
      <c r="K62" s="72"/>
      <c r="L62" s="72"/>
      <c r="M62" s="71"/>
      <c r="N62" s="72">
        <f>(E62+G62)*70%</f>
        <v>2.3519999999999999</v>
      </c>
      <c r="O62" s="72"/>
      <c r="P62" s="72">
        <f>SUM(F62:N62)</f>
        <v>4.16</v>
      </c>
      <c r="Q62" s="69">
        <f t="shared" si="4"/>
        <v>3978000</v>
      </c>
      <c r="R62" s="108">
        <f t="shared" si="5"/>
        <v>5408000</v>
      </c>
      <c r="S62" s="69" t="e">
        <f>Q62+#REF!+R62</f>
        <v>#REF!</v>
      </c>
      <c r="T62" s="69">
        <f t="shared" si="6"/>
        <v>349440</v>
      </c>
      <c r="U62" s="69">
        <f t="shared" si="7"/>
        <v>65520</v>
      </c>
      <c r="V62" s="69">
        <f>T62+U62</f>
        <v>414960</v>
      </c>
      <c r="W62" s="69" t="e">
        <f t="shared" si="9"/>
        <v>#REF!</v>
      </c>
      <c r="X62" s="112"/>
    </row>
    <row r="63" spans="1:24" ht="18">
      <c r="A63" s="67">
        <v>13</v>
      </c>
      <c r="B63" s="68" t="s">
        <v>726</v>
      </c>
      <c r="C63" s="69" t="s">
        <v>727</v>
      </c>
      <c r="D63" s="69"/>
      <c r="E63" s="71">
        <v>3.33</v>
      </c>
      <c r="F63" s="71">
        <v>0.5</v>
      </c>
      <c r="G63" s="71">
        <v>0.25</v>
      </c>
      <c r="H63" s="72">
        <f t="shared" si="2"/>
        <v>0.89500000000000002</v>
      </c>
      <c r="I63" s="72">
        <f>(E63+G63)*20%</f>
        <v>0.71600000000000008</v>
      </c>
      <c r="J63" s="72">
        <f>(E63+G63)*5%</f>
        <v>0.17900000000000002</v>
      </c>
      <c r="K63" s="72"/>
      <c r="L63" s="72"/>
      <c r="M63" s="71">
        <v>0.5</v>
      </c>
      <c r="N63" s="72"/>
      <c r="O63" s="72"/>
      <c r="P63" s="72">
        <f>SUM(F63:N63)</f>
        <v>3.04</v>
      </c>
      <c r="Q63" s="69">
        <f t="shared" si="4"/>
        <v>4329000</v>
      </c>
      <c r="R63" s="108">
        <f t="shared" si="5"/>
        <v>3952000</v>
      </c>
      <c r="S63" s="69" t="e">
        <f>Q63+#REF!+R63</f>
        <v>#REF!</v>
      </c>
      <c r="T63" s="69">
        <f t="shared" si="6"/>
        <v>372320</v>
      </c>
      <c r="U63" s="69">
        <f t="shared" si="7"/>
        <v>69810</v>
      </c>
      <c r="V63" s="69">
        <f>T63+U63</f>
        <v>442130</v>
      </c>
      <c r="W63" s="69" t="e">
        <f t="shared" si="9"/>
        <v>#REF!</v>
      </c>
      <c r="X63" s="112"/>
    </row>
    <row r="64" spans="1:24" ht="18">
      <c r="A64" s="67">
        <v>14</v>
      </c>
      <c r="B64" s="68" t="s">
        <v>728</v>
      </c>
      <c r="C64" s="69" t="s">
        <v>729</v>
      </c>
      <c r="D64" s="69"/>
      <c r="E64" s="70">
        <v>2.34</v>
      </c>
      <c r="F64" s="71">
        <v>0.5</v>
      </c>
      <c r="G64" s="71">
        <v>0.2</v>
      </c>
      <c r="H64" s="72">
        <f t="shared" si="2"/>
        <v>0.63500000000000001</v>
      </c>
      <c r="I64" s="71"/>
      <c r="J64" s="72">
        <f>(E64+G64)*5%</f>
        <v>0.127</v>
      </c>
      <c r="K64" s="72"/>
      <c r="L64" s="114"/>
      <c r="M64" s="71"/>
      <c r="N64" s="72">
        <f>(E64+G64)*70%</f>
        <v>1.7779999999999998</v>
      </c>
      <c r="O64" s="72"/>
      <c r="P64" s="72">
        <f>SUM(F64:N64)</f>
        <v>3.2399999999999998</v>
      </c>
      <c r="Q64" s="69">
        <f t="shared" si="4"/>
        <v>3042000</v>
      </c>
      <c r="R64" s="108">
        <f t="shared" si="5"/>
        <v>4212000</v>
      </c>
      <c r="S64" s="69" t="e">
        <f>Q64+#REF!+R64</f>
        <v>#REF!</v>
      </c>
      <c r="T64" s="69">
        <f t="shared" si="6"/>
        <v>264160</v>
      </c>
      <c r="U64" s="69">
        <f t="shared" si="7"/>
        <v>49530</v>
      </c>
      <c r="V64" s="69">
        <f>T64+U64</f>
        <v>313690</v>
      </c>
      <c r="W64" s="69" t="e">
        <f t="shared" si="9"/>
        <v>#REF!</v>
      </c>
      <c r="X64" s="77"/>
    </row>
    <row r="65" spans="1:24">
      <c r="A65" s="67">
        <v>15</v>
      </c>
      <c r="B65" s="68" t="s">
        <v>730</v>
      </c>
      <c r="C65" s="69" t="s">
        <v>731</v>
      </c>
      <c r="D65" s="69"/>
      <c r="E65" s="71">
        <v>2.46</v>
      </c>
      <c r="F65" s="71">
        <v>0.5</v>
      </c>
      <c r="G65" s="71">
        <v>0.15</v>
      </c>
      <c r="H65" s="72">
        <f t="shared" si="2"/>
        <v>0.65249999999999997</v>
      </c>
      <c r="I65" s="71"/>
      <c r="J65" s="72">
        <f>(E65+G65)*5%</f>
        <v>0.1305</v>
      </c>
      <c r="K65" s="72"/>
      <c r="L65" s="114"/>
      <c r="M65" s="70">
        <v>0.5</v>
      </c>
      <c r="N65" s="72"/>
      <c r="O65" s="72"/>
      <c r="P65" s="72">
        <f>SUM(F65:N65)</f>
        <v>1.9330000000000001</v>
      </c>
      <c r="Q65" s="69">
        <f t="shared" si="4"/>
        <v>3198000</v>
      </c>
      <c r="R65" s="108">
        <f t="shared" si="5"/>
        <v>2512900</v>
      </c>
      <c r="S65" s="69" t="e">
        <f>Q65+#REF!+R65</f>
        <v>#REF!</v>
      </c>
      <c r="T65" s="69">
        <f t="shared" si="6"/>
        <v>271440</v>
      </c>
      <c r="U65" s="69">
        <f t="shared" si="7"/>
        <v>50895</v>
      </c>
      <c r="V65" s="69">
        <f>T65+U65</f>
        <v>322335</v>
      </c>
      <c r="W65" s="69" t="e">
        <f t="shared" si="9"/>
        <v>#REF!</v>
      </c>
      <c r="X65" s="77"/>
    </row>
    <row r="66" spans="1:24">
      <c r="A66" s="67">
        <v>16</v>
      </c>
      <c r="B66" s="68" t="s">
        <v>732</v>
      </c>
      <c r="C66" s="69" t="s">
        <v>733</v>
      </c>
      <c r="D66" s="69"/>
      <c r="E66" s="71">
        <v>3</v>
      </c>
      <c r="F66" s="71">
        <v>0.5</v>
      </c>
      <c r="G66" s="71">
        <v>0.15</v>
      </c>
      <c r="H66" s="72">
        <f t="shared" si="2"/>
        <v>0.78749999999999998</v>
      </c>
      <c r="I66" s="71"/>
      <c r="J66" s="72">
        <f>(E66+G66)*5%</f>
        <v>0.1575</v>
      </c>
      <c r="K66" s="72"/>
      <c r="L66" s="72"/>
      <c r="M66" s="71">
        <v>0.7</v>
      </c>
      <c r="N66" s="72"/>
      <c r="O66" s="72"/>
      <c r="P66" s="72">
        <f>SUM(F66:N66)</f>
        <v>2.2949999999999999</v>
      </c>
      <c r="Q66" s="69">
        <f t="shared" si="4"/>
        <v>3900000</v>
      </c>
      <c r="R66" s="108">
        <f t="shared" si="5"/>
        <v>2983500</v>
      </c>
      <c r="S66" s="69" t="e">
        <f>Q66+#REF!+R66</f>
        <v>#REF!</v>
      </c>
      <c r="T66" s="69">
        <f t="shared" si="6"/>
        <v>327600</v>
      </c>
      <c r="U66" s="69">
        <f t="shared" si="7"/>
        <v>61425</v>
      </c>
      <c r="V66" s="69">
        <f>T66+U66</f>
        <v>389025</v>
      </c>
      <c r="W66" s="69" t="e">
        <f t="shared" si="9"/>
        <v>#REF!</v>
      </c>
      <c r="X66" s="77"/>
    </row>
    <row r="67" spans="1:24" ht="15" customHeight="1">
      <c r="A67" s="1269" t="s">
        <v>38</v>
      </c>
      <c r="B67" s="1270" t="s">
        <v>676</v>
      </c>
      <c r="C67" s="1270" t="s">
        <v>677</v>
      </c>
      <c r="D67" s="64"/>
      <c r="E67" s="1271" t="s">
        <v>678</v>
      </c>
      <c r="F67" s="1270" t="s">
        <v>679</v>
      </c>
      <c r="G67" s="1270"/>
      <c r="H67" s="1270"/>
      <c r="I67" s="1270"/>
      <c r="J67" s="1270"/>
      <c r="K67" s="1270"/>
      <c r="L67" s="1270"/>
      <c r="M67" s="1270"/>
      <c r="N67" s="1270"/>
      <c r="O67" s="64"/>
      <c r="P67" s="1272" t="s">
        <v>681</v>
      </c>
      <c r="Q67" s="1273" t="s">
        <v>653</v>
      </c>
      <c r="R67" s="1273" t="s">
        <v>682</v>
      </c>
      <c r="S67" s="1273" t="s">
        <v>683</v>
      </c>
      <c r="T67" s="1271" t="s">
        <v>684</v>
      </c>
      <c r="U67" s="1271"/>
      <c r="V67" s="1271" t="s">
        <v>685</v>
      </c>
      <c r="W67" s="1271" t="s">
        <v>686</v>
      </c>
      <c r="X67" s="1271" t="s">
        <v>687</v>
      </c>
    </row>
    <row r="68" spans="1:24" ht="45">
      <c r="A68" s="1269"/>
      <c r="B68" s="1270"/>
      <c r="C68" s="1270"/>
      <c r="D68" s="64"/>
      <c r="E68" s="1271"/>
      <c r="F68" s="65" t="s">
        <v>688</v>
      </c>
      <c r="G68" s="65" t="s">
        <v>689</v>
      </c>
      <c r="H68" s="65" t="s">
        <v>690</v>
      </c>
      <c r="I68" s="65" t="s">
        <v>691</v>
      </c>
      <c r="J68" s="66" t="s">
        <v>692</v>
      </c>
      <c r="K68" s="66" t="s">
        <v>693</v>
      </c>
      <c r="L68" s="65" t="s">
        <v>694</v>
      </c>
      <c r="M68" s="65" t="s">
        <v>695</v>
      </c>
      <c r="N68" s="65" t="s">
        <v>696</v>
      </c>
      <c r="O68" s="65"/>
      <c r="P68" s="1272"/>
      <c r="Q68" s="1273"/>
      <c r="R68" s="1273"/>
      <c r="S68" s="1273"/>
      <c r="T68" s="65" t="s">
        <v>697</v>
      </c>
      <c r="U68" s="65" t="s">
        <v>698</v>
      </c>
      <c r="V68" s="1271"/>
      <c r="W68" s="1271"/>
      <c r="X68" s="1271"/>
    </row>
    <row r="69" spans="1:24">
      <c r="A69" s="67">
        <v>17</v>
      </c>
      <c r="B69" s="68" t="s">
        <v>734</v>
      </c>
      <c r="C69" s="69" t="s">
        <v>735</v>
      </c>
      <c r="D69" s="69"/>
      <c r="E69" s="71">
        <v>3.33</v>
      </c>
      <c r="F69" s="71">
        <v>0.5</v>
      </c>
      <c r="G69" s="71">
        <v>0.15</v>
      </c>
      <c r="H69" s="72">
        <f>(G69+E69)*25%</f>
        <v>0.87</v>
      </c>
      <c r="I69" s="71"/>
      <c r="J69" s="72">
        <f>(E69+G69)*5%</f>
        <v>0.17400000000000002</v>
      </c>
      <c r="K69" s="71"/>
      <c r="L69" s="71"/>
      <c r="M69" s="71">
        <v>1</v>
      </c>
      <c r="N69" s="72"/>
      <c r="O69" s="72"/>
      <c r="P69" s="72">
        <f>SUM(F69:N69)</f>
        <v>2.694</v>
      </c>
      <c r="Q69" s="69">
        <f>E69*1300000</f>
        <v>4329000</v>
      </c>
      <c r="R69" s="108">
        <f>P69*1300000</f>
        <v>3502200</v>
      </c>
      <c r="S69" s="69" t="e">
        <f>Q69+#REF!+R69</f>
        <v>#REF!</v>
      </c>
      <c r="T69" s="69">
        <f>(E69+G69+K69)*1300000*8%</f>
        <v>361920</v>
      </c>
      <c r="U69" s="69">
        <f>(E69+G69+K69)*1300000*1.5%</f>
        <v>67860</v>
      </c>
      <c r="V69" s="69">
        <f>T69+U69</f>
        <v>429780</v>
      </c>
      <c r="W69" s="69" t="e">
        <f>S69-V69</f>
        <v>#REF!</v>
      </c>
      <c r="X69" s="77"/>
    </row>
    <row r="70" spans="1:24">
      <c r="A70" s="67">
        <v>18</v>
      </c>
      <c r="B70" s="68" t="s">
        <v>736</v>
      </c>
      <c r="C70" s="69" t="s">
        <v>737</v>
      </c>
      <c r="D70" s="69"/>
      <c r="E70" s="71">
        <v>2.66</v>
      </c>
      <c r="F70" s="71">
        <v>0.5</v>
      </c>
      <c r="G70" s="71"/>
      <c r="H70" s="72">
        <f>(G70+E70)*25%</f>
        <v>0.66500000000000004</v>
      </c>
      <c r="I70" s="71"/>
      <c r="J70" s="71"/>
      <c r="K70" s="72">
        <f>E70*8%</f>
        <v>0.21280000000000002</v>
      </c>
      <c r="L70" s="71"/>
      <c r="M70" s="71">
        <v>0.5</v>
      </c>
      <c r="N70" s="72"/>
      <c r="O70" s="72"/>
      <c r="P70" s="72">
        <f>SUM(F70:N70)</f>
        <v>1.8778000000000001</v>
      </c>
      <c r="Q70" s="69">
        <f>E70*1300000</f>
        <v>3458000</v>
      </c>
      <c r="R70" s="108">
        <f>P70*1300000</f>
        <v>2441140</v>
      </c>
      <c r="S70" s="69" t="e">
        <f>Q70+#REF!+R70</f>
        <v>#REF!</v>
      </c>
      <c r="T70" s="69">
        <f>(E70+G70+K70)*1300000*8%</f>
        <v>298771.20000000007</v>
      </c>
      <c r="U70" s="69">
        <f>(E70+G70+K70)*1300000*1.5%</f>
        <v>56019.600000000006</v>
      </c>
      <c r="V70" s="69">
        <f>T70+U70</f>
        <v>354790.80000000005</v>
      </c>
      <c r="W70" s="69" t="e">
        <f>S70-V70</f>
        <v>#REF!</v>
      </c>
      <c r="X70" s="77"/>
    </row>
    <row r="71" spans="1:24" ht="18">
      <c r="A71" s="67">
        <v>19</v>
      </c>
      <c r="B71" s="68" t="s">
        <v>738</v>
      </c>
      <c r="C71" s="69" t="s">
        <v>739</v>
      </c>
      <c r="D71" s="69"/>
      <c r="E71" s="71">
        <v>2.41</v>
      </c>
      <c r="F71" s="71">
        <v>0.5</v>
      </c>
      <c r="G71" s="71"/>
      <c r="H71" s="72">
        <f>(G71+E71)*25%</f>
        <v>0.60250000000000004</v>
      </c>
      <c r="I71" s="71"/>
      <c r="J71" s="71"/>
      <c r="K71" s="72">
        <f>E71*5%</f>
        <v>0.12050000000000001</v>
      </c>
      <c r="L71" s="71"/>
      <c r="M71" s="71">
        <v>0.5</v>
      </c>
      <c r="N71" s="115"/>
      <c r="O71" s="115"/>
      <c r="P71" s="72">
        <f>SUM(F71:N71)</f>
        <v>1.7230000000000001</v>
      </c>
      <c r="Q71" s="69">
        <f>E71*1300000</f>
        <v>3133000</v>
      </c>
      <c r="R71" s="108">
        <f>P71*1300000</f>
        <v>2239900</v>
      </c>
      <c r="S71" s="69" t="e">
        <f>Q71+#REF!+R71</f>
        <v>#REF!</v>
      </c>
      <c r="T71" s="69">
        <f>(E71+G71+K71)*1300000*8%</f>
        <v>263172</v>
      </c>
      <c r="U71" s="69">
        <f>(E71+G71+K71)*1300000*1.5%</f>
        <v>49344.75</v>
      </c>
      <c r="V71" s="69">
        <f>T71+U71</f>
        <v>312516.75</v>
      </c>
      <c r="W71" s="69" t="e">
        <f>S71-V71</f>
        <v>#REF!</v>
      </c>
      <c r="X71" s="77"/>
    </row>
    <row r="72" spans="1:24">
      <c r="A72" s="75"/>
      <c r="B72" s="76" t="s">
        <v>701</v>
      </c>
      <c r="C72" s="116"/>
      <c r="D72" s="116"/>
      <c r="E72" s="117">
        <f t="shared" ref="E72:P72" si="10">SUM(E51:E71)</f>
        <v>54.91</v>
      </c>
      <c r="F72" s="117">
        <f t="shared" si="10"/>
        <v>9.5</v>
      </c>
      <c r="G72" s="117">
        <f t="shared" si="10"/>
        <v>1.6499999999999997</v>
      </c>
      <c r="H72" s="118">
        <f t="shared" si="10"/>
        <v>14.139999999999997</v>
      </c>
      <c r="I72" s="118">
        <f t="shared" si="10"/>
        <v>1.1160000000000001</v>
      </c>
      <c r="J72" s="118">
        <f t="shared" si="10"/>
        <v>1.3109999999999999</v>
      </c>
      <c r="K72" s="118">
        <f t="shared" si="10"/>
        <v>0.33330000000000004</v>
      </c>
      <c r="L72" s="119">
        <f t="shared" si="10"/>
        <v>0.1</v>
      </c>
      <c r="M72" s="119">
        <f t="shared" si="10"/>
        <v>9.6000000000000014</v>
      </c>
      <c r="N72" s="118">
        <f t="shared" si="10"/>
        <v>9.3309999999999995</v>
      </c>
      <c r="O72" s="118"/>
      <c r="P72" s="118">
        <f t="shared" si="10"/>
        <v>47.081300000000006</v>
      </c>
      <c r="Q72" s="120">
        <f t="shared" ref="Q72:W72" si="11">SUM(Q51:Q71)</f>
        <v>71383000</v>
      </c>
      <c r="R72" s="120">
        <f t="shared" si="11"/>
        <v>61205690</v>
      </c>
      <c r="S72" s="120" t="e">
        <f t="shared" si="11"/>
        <v>#REF!</v>
      </c>
      <c r="T72" s="120">
        <f t="shared" si="11"/>
        <v>5916903.2000000002</v>
      </c>
      <c r="U72" s="120">
        <f t="shared" si="11"/>
        <v>1109419.3500000001</v>
      </c>
      <c r="V72" s="120">
        <f t="shared" si="11"/>
        <v>7026322.5499999998</v>
      </c>
      <c r="W72" s="120" t="e">
        <f t="shared" si="11"/>
        <v>#REF!</v>
      </c>
      <c r="X72" s="77"/>
    </row>
  </sheetData>
  <mergeCells count="57">
    <mergeCell ref="W67:W68"/>
    <mergeCell ref="X67:X68"/>
    <mergeCell ref="P67:P68"/>
    <mergeCell ref="Q67:Q68"/>
    <mergeCell ref="R67:R68"/>
    <mergeCell ref="S67:S68"/>
    <mergeCell ref="T67:U67"/>
    <mergeCell ref="V67:V68"/>
    <mergeCell ref="S49:S50"/>
    <mergeCell ref="T49:U49"/>
    <mergeCell ref="V49:V50"/>
    <mergeCell ref="W49:W50"/>
    <mergeCell ref="X49:X50"/>
    <mergeCell ref="P49:P50"/>
    <mergeCell ref="Q49:Q50"/>
    <mergeCell ref="R49:R50"/>
    <mergeCell ref="A67:A68"/>
    <mergeCell ref="B67:B68"/>
    <mergeCell ref="C67:C68"/>
    <mergeCell ref="E67:E68"/>
    <mergeCell ref="F67:N67"/>
    <mergeCell ref="A49:A50"/>
    <mergeCell ref="B49:B50"/>
    <mergeCell ref="C49:C50"/>
    <mergeCell ref="E49:E50"/>
    <mergeCell ref="F49:N49"/>
    <mergeCell ref="A30:E30"/>
    <mergeCell ref="T30:X30"/>
    <mergeCell ref="A47:X47"/>
    <mergeCell ref="B48:C48"/>
    <mergeCell ref="A46:X46"/>
    <mergeCell ref="V21:X21"/>
    <mergeCell ref="A18:B18"/>
    <mergeCell ref="I21:K21"/>
    <mergeCell ref="I15:K15"/>
    <mergeCell ref="V15:X15"/>
    <mergeCell ref="X5:X6"/>
    <mergeCell ref="A13:E13"/>
    <mergeCell ref="A14:B14"/>
    <mergeCell ref="I14:K14"/>
    <mergeCell ref="V14:X14"/>
    <mergeCell ref="A2:X2"/>
    <mergeCell ref="A3:X3"/>
    <mergeCell ref="B4:C4"/>
    <mergeCell ref="A5:A6"/>
    <mergeCell ref="B5:B6"/>
    <mergeCell ref="C5:C6"/>
    <mergeCell ref="E5:E6"/>
    <mergeCell ref="F5:N5"/>
    <mergeCell ref="O5:O6"/>
    <mergeCell ref="P5:P6"/>
    <mergeCell ref="Q5:Q6"/>
    <mergeCell ref="R5:R6"/>
    <mergeCell ref="S5:S6"/>
    <mergeCell ref="T5:U5"/>
    <mergeCell ref="V5:V6"/>
    <mergeCell ref="W5:W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K25" sqref="K25"/>
    </sheetView>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0"/>
  <sheetViews>
    <sheetView tabSelected="1" zoomScale="110" zoomScaleNormal="110" workbookViewId="0">
      <selection activeCell="M19" sqref="M19"/>
    </sheetView>
  </sheetViews>
  <sheetFormatPr defaultColWidth="11.25" defaultRowHeight="15.75"/>
  <cols>
    <col min="1" max="1" width="5.25" style="311" customWidth="1"/>
    <col min="2" max="2" width="42.375" style="311" customWidth="1"/>
    <col min="3" max="3" width="12.375" style="311" customWidth="1"/>
    <col min="4" max="4" width="11.75" style="311" customWidth="1"/>
    <col min="5" max="5" width="9.125" style="311" customWidth="1"/>
    <col min="6" max="6" width="9.625" style="311" customWidth="1"/>
    <col min="7" max="7" width="10.25" style="311" customWidth="1"/>
    <col min="8" max="8" width="11.375" style="311" customWidth="1"/>
    <col min="9" max="9" width="12.125" style="311" customWidth="1"/>
    <col min="10" max="10" width="51.125" style="311" hidden="1" customWidth="1"/>
    <col min="11" max="27" width="13.875" style="311" customWidth="1"/>
    <col min="28" max="256" width="11.25" style="311"/>
    <col min="257" max="257" width="3.375" style="311" customWidth="1"/>
    <col min="258" max="258" width="23.5" style="311" customWidth="1"/>
    <col min="259" max="260" width="12.625" style="311" customWidth="1"/>
    <col min="261" max="262" width="10.625" style="311" customWidth="1"/>
    <col min="263" max="263" width="11.375" style="311" customWidth="1"/>
    <col min="264" max="264" width="13.375" style="311" customWidth="1"/>
    <col min="265" max="265" width="12.875" style="311" customWidth="1"/>
    <col min="266" max="266" width="0" style="311" hidden="1" customWidth="1"/>
    <col min="267" max="283" width="13.875" style="311" customWidth="1"/>
    <col min="284" max="512" width="11.25" style="311"/>
    <col min="513" max="513" width="3.375" style="311" customWidth="1"/>
    <col min="514" max="514" width="23.5" style="311" customWidth="1"/>
    <col min="515" max="516" width="12.625" style="311" customWidth="1"/>
    <col min="517" max="518" width="10.625" style="311" customWidth="1"/>
    <col min="519" max="519" width="11.375" style="311" customWidth="1"/>
    <col min="520" max="520" width="13.375" style="311" customWidth="1"/>
    <col min="521" max="521" width="12.875" style="311" customWidth="1"/>
    <col min="522" max="522" width="0" style="311" hidden="1" customWidth="1"/>
    <col min="523" max="539" width="13.875" style="311" customWidth="1"/>
    <col min="540" max="768" width="11.25" style="311"/>
    <col min="769" max="769" width="3.375" style="311" customWidth="1"/>
    <col min="770" max="770" width="23.5" style="311" customWidth="1"/>
    <col min="771" max="772" width="12.625" style="311" customWidth="1"/>
    <col min="773" max="774" width="10.625" style="311" customWidth="1"/>
    <col min="775" max="775" width="11.375" style="311" customWidth="1"/>
    <col min="776" max="776" width="13.375" style="311" customWidth="1"/>
    <col min="777" max="777" width="12.875" style="311" customWidth="1"/>
    <col min="778" max="778" width="0" style="311" hidden="1" customWidth="1"/>
    <col min="779" max="795" width="13.875" style="311" customWidth="1"/>
    <col min="796" max="1024" width="11.25" style="311"/>
    <col min="1025" max="1025" width="3.375" style="311" customWidth="1"/>
    <col min="1026" max="1026" width="23.5" style="311" customWidth="1"/>
    <col min="1027" max="1028" width="12.625" style="311" customWidth="1"/>
    <col min="1029" max="1030" width="10.625" style="311" customWidth="1"/>
    <col min="1031" max="1031" width="11.375" style="311" customWidth="1"/>
    <col min="1032" max="1032" width="13.375" style="311" customWidth="1"/>
    <col min="1033" max="1033" width="12.875" style="311" customWidth="1"/>
    <col min="1034" max="1034" width="0" style="311" hidden="1" customWidth="1"/>
    <col min="1035" max="1051" width="13.875" style="311" customWidth="1"/>
    <col min="1052" max="1280" width="11.25" style="311"/>
    <col min="1281" max="1281" width="3.375" style="311" customWidth="1"/>
    <col min="1282" max="1282" width="23.5" style="311" customWidth="1"/>
    <col min="1283" max="1284" width="12.625" style="311" customWidth="1"/>
    <col min="1285" max="1286" width="10.625" style="311" customWidth="1"/>
    <col min="1287" max="1287" width="11.375" style="311" customWidth="1"/>
    <col min="1288" max="1288" width="13.375" style="311" customWidth="1"/>
    <col min="1289" max="1289" width="12.875" style="311" customWidth="1"/>
    <col min="1290" max="1290" width="0" style="311" hidden="1" customWidth="1"/>
    <col min="1291" max="1307" width="13.875" style="311" customWidth="1"/>
    <col min="1308" max="1536" width="11.25" style="311"/>
    <col min="1537" max="1537" width="3.375" style="311" customWidth="1"/>
    <col min="1538" max="1538" width="23.5" style="311" customWidth="1"/>
    <col min="1539" max="1540" width="12.625" style="311" customWidth="1"/>
    <col min="1541" max="1542" width="10.625" style="311" customWidth="1"/>
    <col min="1543" max="1543" width="11.375" style="311" customWidth="1"/>
    <col min="1544" max="1544" width="13.375" style="311" customWidth="1"/>
    <col min="1545" max="1545" width="12.875" style="311" customWidth="1"/>
    <col min="1546" max="1546" width="0" style="311" hidden="1" customWidth="1"/>
    <col min="1547" max="1563" width="13.875" style="311" customWidth="1"/>
    <col min="1564" max="1792" width="11.25" style="311"/>
    <col min="1793" max="1793" width="3.375" style="311" customWidth="1"/>
    <col min="1794" max="1794" width="23.5" style="311" customWidth="1"/>
    <col min="1795" max="1796" width="12.625" style="311" customWidth="1"/>
    <col min="1797" max="1798" width="10.625" style="311" customWidth="1"/>
    <col min="1799" max="1799" width="11.375" style="311" customWidth="1"/>
    <col min="1800" max="1800" width="13.375" style="311" customWidth="1"/>
    <col min="1801" max="1801" width="12.875" style="311" customWidth="1"/>
    <col min="1802" max="1802" width="0" style="311" hidden="1" customWidth="1"/>
    <col min="1803" max="1819" width="13.875" style="311" customWidth="1"/>
    <col min="1820" max="2048" width="11.25" style="311"/>
    <col min="2049" max="2049" width="3.375" style="311" customWidth="1"/>
    <col min="2050" max="2050" width="23.5" style="311" customWidth="1"/>
    <col min="2051" max="2052" width="12.625" style="311" customWidth="1"/>
    <col min="2053" max="2054" width="10.625" style="311" customWidth="1"/>
    <col min="2055" max="2055" width="11.375" style="311" customWidth="1"/>
    <col min="2056" max="2056" width="13.375" style="311" customWidth="1"/>
    <col min="2057" max="2057" width="12.875" style="311" customWidth="1"/>
    <col min="2058" max="2058" width="0" style="311" hidden="1" customWidth="1"/>
    <col min="2059" max="2075" width="13.875" style="311" customWidth="1"/>
    <col min="2076" max="2304" width="11.25" style="311"/>
    <col min="2305" max="2305" width="3.375" style="311" customWidth="1"/>
    <col min="2306" max="2306" width="23.5" style="311" customWidth="1"/>
    <col min="2307" max="2308" width="12.625" style="311" customWidth="1"/>
    <col min="2309" max="2310" width="10.625" style="311" customWidth="1"/>
    <col min="2311" max="2311" width="11.375" style="311" customWidth="1"/>
    <col min="2312" max="2312" width="13.375" style="311" customWidth="1"/>
    <col min="2313" max="2313" width="12.875" style="311" customWidth="1"/>
    <col min="2314" max="2314" width="0" style="311" hidden="1" customWidth="1"/>
    <col min="2315" max="2331" width="13.875" style="311" customWidth="1"/>
    <col min="2332" max="2560" width="11.25" style="311"/>
    <col min="2561" max="2561" width="3.375" style="311" customWidth="1"/>
    <col min="2562" max="2562" width="23.5" style="311" customWidth="1"/>
    <col min="2563" max="2564" width="12.625" style="311" customWidth="1"/>
    <col min="2565" max="2566" width="10.625" style="311" customWidth="1"/>
    <col min="2567" max="2567" width="11.375" style="311" customWidth="1"/>
    <col min="2568" max="2568" width="13.375" style="311" customWidth="1"/>
    <col min="2569" max="2569" width="12.875" style="311" customWidth="1"/>
    <col min="2570" max="2570" width="0" style="311" hidden="1" customWidth="1"/>
    <col min="2571" max="2587" width="13.875" style="311" customWidth="1"/>
    <col min="2588" max="2816" width="11.25" style="311"/>
    <col min="2817" max="2817" width="3.375" style="311" customWidth="1"/>
    <col min="2818" max="2818" width="23.5" style="311" customWidth="1"/>
    <col min="2819" max="2820" width="12.625" style="311" customWidth="1"/>
    <col min="2821" max="2822" width="10.625" style="311" customWidth="1"/>
    <col min="2823" max="2823" width="11.375" style="311" customWidth="1"/>
    <col min="2824" max="2824" width="13.375" style="311" customWidth="1"/>
    <col min="2825" max="2825" width="12.875" style="311" customWidth="1"/>
    <col min="2826" max="2826" width="0" style="311" hidden="1" customWidth="1"/>
    <col min="2827" max="2843" width="13.875" style="311" customWidth="1"/>
    <col min="2844" max="3072" width="11.25" style="311"/>
    <col min="3073" max="3073" width="3.375" style="311" customWidth="1"/>
    <col min="3074" max="3074" width="23.5" style="311" customWidth="1"/>
    <col min="3075" max="3076" width="12.625" style="311" customWidth="1"/>
    <col min="3077" max="3078" width="10.625" style="311" customWidth="1"/>
    <col min="3079" max="3079" width="11.375" style="311" customWidth="1"/>
    <col min="3080" max="3080" width="13.375" style="311" customWidth="1"/>
    <col min="3081" max="3081" width="12.875" style="311" customWidth="1"/>
    <col min="3082" max="3082" width="0" style="311" hidden="1" customWidth="1"/>
    <col min="3083" max="3099" width="13.875" style="311" customWidth="1"/>
    <col min="3100" max="3328" width="11.25" style="311"/>
    <col min="3329" max="3329" width="3.375" style="311" customWidth="1"/>
    <col min="3330" max="3330" width="23.5" style="311" customWidth="1"/>
    <col min="3331" max="3332" width="12.625" style="311" customWidth="1"/>
    <col min="3333" max="3334" width="10.625" style="311" customWidth="1"/>
    <col min="3335" max="3335" width="11.375" style="311" customWidth="1"/>
    <col min="3336" max="3336" width="13.375" style="311" customWidth="1"/>
    <col min="3337" max="3337" width="12.875" style="311" customWidth="1"/>
    <col min="3338" max="3338" width="0" style="311" hidden="1" customWidth="1"/>
    <col min="3339" max="3355" width="13.875" style="311" customWidth="1"/>
    <col min="3356" max="3584" width="11.25" style="311"/>
    <col min="3585" max="3585" width="3.375" style="311" customWidth="1"/>
    <col min="3586" max="3586" width="23.5" style="311" customWidth="1"/>
    <col min="3587" max="3588" width="12.625" style="311" customWidth="1"/>
    <col min="3589" max="3590" width="10.625" style="311" customWidth="1"/>
    <col min="3591" max="3591" width="11.375" style="311" customWidth="1"/>
    <col min="3592" max="3592" width="13.375" style="311" customWidth="1"/>
    <col min="3593" max="3593" width="12.875" style="311" customWidth="1"/>
    <col min="3594" max="3594" width="0" style="311" hidden="1" customWidth="1"/>
    <col min="3595" max="3611" width="13.875" style="311" customWidth="1"/>
    <col min="3612" max="3840" width="11.25" style="311"/>
    <col min="3841" max="3841" width="3.375" style="311" customWidth="1"/>
    <col min="3842" max="3842" width="23.5" style="311" customWidth="1"/>
    <col min="3843" max="3844" width="12.625" style="311" customWidth="1"/>
    <col min="3845" max="3846" width="10.625" style="311" customWidth="1"/>
    <col min="3847" max="3847" width="11.375" style="311" customWidth="1"/>
    <col min="3848" max="3848" width="13.375" style="311" customWidth="1"/>
    <col min="3849" max="3849" width="12.875" style="311" customWidth="1"/>
    <col min="3850" max="3850" width="0" style="311" hidden="1" customWidth="1"/>
    <col min="3851" max="3867" width="13.875" style="311" customWidth="1"/>
    <col min="3868" max="4096" width="11.25" style="311"/>
    <col min="4097" max="4097" width="3.375" style="311" customWidth="1"/>
    <col min="4098" max="4098" width="23.5" style="311" customWidth="1"/>
    <col min="4099" max="4100" width="12.625" style="311" customWidth="1"/>
    <col min="4101" max="4102" width="10.625" style="311" customWidth="1"/>
    <col min="4103" max="4103" width="11.375" style="311" customWidth="1"/>
    <col min="4104" max="4104" width="13.375" style="311" customWidth="1"/>
    <col min="4105" max="4105" width="12.875" style="311" customWidth="1"/>
    <col min="4106" max="4106" width="0" style="311" hidden="1" customWidth="1"/>
    <col min="4107" max="4123" width="13.875" style="311" customWidth="1"/>
    <col min="4124" max="4352" width="11.25" style="311"/>
    <col min="4353" max="4353" width="3.375" style="311" customWidth="1"/>
    <col min="4354" max="4354" width="23.5" style="311" customWidth="1"/>
    <col min="4355" max="4356" width="12.625" style="311" customWidth="1"/>
    <col min="4357" max="4358" width="10.625" style="311" customWidth="1"/>
    <col min="4359" max="4359" width="11.375" style="311" customWidth="1"/>
    <col min="4360" max="4360" width="13.375" style="311" customWidth="1"/>
    <col min="4361" max="4361" width="12.875" style="311" customWidth="1"/>
    <col min="4362" max="4362" width="0" style="311" hidden="1" customWidth="1"/>
    <col min="4363" max="4379" width="13.875" style="311" customWidth="1"/>
    <col min="4380" max="4608" width="11.25" style="311"/>
    <col min="4609" max="4609" width="3.375" style="311" customWidth="1"/>
    <col min="4610" max="4610" width="23.5" style="311" customWidth="1"/>
    <col min="4611" max="4612" width="12.625" style="311" customWidth="1"/>
    <col min="4613" max="4614" width="10.625" style="311" customWidth="1"/>
    <col min="4615" max="4615" width="11.375" style="311" customWidth="1"/>
    <col min="4616" max="4616" width="13.375" style="311" customWidth="1"/>
    <col min="4617" max="4617" width="12.875" style="311" customWidth="1"/>
    <col min="4618" max="4618" width="0" style="311" hidden="1" customWidth="1"/>
    <col min="4619" max="4635" width="13.875" style="311" customWidth="1"/>
    <col min="4636" max="4864" width="11.25" style="311"/>
    <col min="4865" max="4865" width="3.375" style="311" customWidth="1"/>
    <col min="4866" max="4866" width="23.5" style="311" customWidth="1"/>
    <col min="4867" max="4868" width="12.625" style="311" customWidth="1"/>
    <col min="4869" max="4870" width="10.625" style="311" customWidth="1"/>
    <col min="4871" max="4871" width="11.375" style="311" customWidth="1"/>
    <col min="4872" max="4872" width="13.375" style="311" customWidth="1"/>
    <col min="4873" max="4873" width="12.875" style="311" customWidth="1"/>
    <col min="4874" max="4874" width="0" style="311" hidden="1" customWidth="1"/>
    <col min="4875" max="4891" width="13.875" style="311" customWidth="1"/>
    <col min="4892" max="5120" width="11.25" style="311"/>
    <col min="5121" max="5121" width="3.375" style="311" customWidth="1"/>
    <col min="5122" max="5122" width="23.5" style="311" customWidth="1"/>
    <col min="5123" max="5124" width="12.625" style="311" customWidth="1"/>
    <col min="5125" max="5126" width="10.625" style="311" customWidth="1"/>
    <col min="5127" max="5127" width="11.375" style="311" customWidth="1"/>
    <col min="5128" max="5128" width="13.375" style="311" customWidth="1"/>
    <col min="5129" max="5129" width="12.875" style="311" customWidth="1"/>
    <col min="5130" max="5130" width="0" style="311" hidden="1" customWidth="1"/>
    <col min="5131" max="5147" width="13.875" style="311" customWidth="1"/>
    <col min="5148" max="5376" width="11.25" style="311"/>
    <col min="5377" max="5377" width="3.375" style="311" customWidth="1"/>
    <col min="5378" max="5378" width="23.5" style="311" customWidth="1"/>
    <col min="5379" max="5380" width="12.625" style="311" customWidth="1"/>
    <col min="5381" max="5382" width="10.625" style="311" customWidth="1"/>
    <col min="5383" max="5383" width="11.375" style="311" customWidth="1"/>
    <col min="5384" max="5384" width="13.375" style="311" customWidth="1"/>
    <col min="5385" max="5385" width="12.875" style="311" customWidth="1"/>
    <col min="5386" max="5386" width="0" style="311" hidden="1" customWidth="1"/>
    <col min="5387" max="5403" width="13.875" style="311" customWidth="1"/>
    <col min="5404" max="5632" width="11.25" style="311"/>
    <col min="5633" max="5633" width="3.375" style="311" customWidth="1"/>
    <col min="5634" max="5634" width="23.5" style="311" customWidth="1"/>
    <col min="5635" max="5636" width="12.625" style="311" customWidth="1"/>
    <col min="5637" max="5638" width="10.625" style="311" customWidth="1"/>
    <col min="5639" max="5639" width="11.375" style="311" customWidth="1"/>
    <col min="5640" max="5640" width="13.375" style="311" customWidth="1"/>
    <col min="5641" max="5641" width="12.875" style="311" customWidth="1"/>
    <col min="5642" max="5642" width="0" style="311" hidden="1" customWidth="1"/>
    <col min="5643" max="5659" width="13.875" style="311" customWidth="1"/>
    <col min="5660" max="5888" width="11.25" style="311"/>
    <col min="5889" max="5889" width="3.375" style="311" customWidth="1"/>
    <col min="5890" max="5890" width="23.5" style="311" customWidth="1"/>
    <col min="5891" max="5892" width="12.625" style="311" customWidth="1"/>
    <col min="5893" max="5894" width="10.625" style="311" customWidth="1"/>
    <col min="5895" max="5895" width="11.375" style="311" customWidth="1"/>
    <col min="5896" max="5896" width="13.375" style="311" customWidth="1"/>
    <col min="5897" max="5897" width="12.875" style="311" customWidth="1"/>
    <col min="5898" max="5898" width="0" style="311" hidden="1" customWidth="1"/>
    <col min="5899" max="5915" width="13.875" style="311" customWidth="1"/>
    <col min="5916" max="6144" width="11.25" style="311"/>
    <col min="6145" max="6145" width="3.375" style="311" customWidth="1"/>
    <col min="6146" max="6146" width="23.5" style="311" customWidth="1"/>
    <col min="6147" max="6148" width="12.625" style="311" customWidth="1"/>
    <col min="6149" max="6150" width="10.625" style="311" customWidth="1"/>
    <col min="6151" max="6151" width="11.375" style="311" customWidth="1"/>
    <col min="6152" max="6152" width="13.375" style="311" customWidth="1"/>
    <col min="6153" max="6153" width="12.875" style="311" customWidth="1"/>
    <col min="6154" max="6154" width="0" style="311" hidden="1" customWidth="1"/>
    <col min="6155" max="6171" width="13.875" style="311" customWidth="1"/>
    <col min="6172" max="6400" width="11.25" style="311"/>
    <col min="6401" max="6401" width="3.375" style="311" customWidth="1"/>
    <col min="6402" max="6402" width="23.5" style="311" customWidth="1"/>
    <col min="6403" max="6404" width="12.625" style="311" customWidth="1"/>
    <col min="6405" max="6406" width="10.625" style="311" customWidth="1"/>
    <col min="6407" max="6407" width="11.375" style="311" customWidth="1"/>
    <col min="6408" max="6408" width="13.375" style="311" customWidth="1"/>
    <col min="6409" max="6409" width="12.875" style="311" customWidth="1"/>
    <col min="6410" max="6410" width="0" style="311" hidden="1" customWidth="1"/>
    <col min="6411" max="6427" width="13.875" style="311" customWidth="1"/>
    <col min="6428" max="6656" width="11.25" style="311"/>
    <col min="6657" max="6657" width="3.375" style="311" customWidth="1"/>
    <col min="6658" max="6658" width="23.5" style="311" customWidth="1"/>
    <col min="6659" max="6660" width="12.625" style="311" customWidth="1"/>
    <col min="6661" max="6662" width="10.625" style="311" customWidth="1"/>
    <col min="6663" max="6663" width="11.375" style="311" customWidth="1"/>
    <col min="6664" max="6664" width="13.375" style="311" customWidth="1"/>
    <col min="6665" max="6665" width="12.875" style="311" customWidth="1"/>
    <col min="6666" max="6666" width="0" style="311" hidden="1" customWidth="1"/>
    <col min="6667" max="6683" width="13.875" style="311" customWidth="1"/>
    <col min="6684" max="6912" width="11.25" style="311"/>
    <col min="6913" max="6913" width="3.375" style="311" customWidth="1"/>
    <col min="6914" max="6914" width="23.5" style="311" customWidth="1"/>
    <col min="6915" max="6916" width="12.625" style="311" customWidth="1"/>
    <col min="6917" max="6918" width="10.625" style="311" customWidth="1"/>
    <col min="6919" max="6919" width="11.375" style="311" customWidth="1"/>
    <col min="6920" max="6920" width="13.375" style="311" customWidth="1"/>
    <col min="6921" max="6921" width="12.875" style="311" customWidth="1"/>
    <col min="6922" max="6922" width="0" style="311" hidden="1" customWidth="1"/>
    <col min="6923" max="6939" width="13.875" style="311" customWidth="1"/>
    <col min="6940" max="7168" width="11.25" style="311"/>
    <col min="7169" max="7169" width="3.375" style="311" customWidth="1"/>
    <col min="7170" max="7170" width="23.5" style="311" customWidth="1"/>
    <col min="7171" max="7172" width="12.625" style="311" customWidth="1"/>
    <col min="7173" max="7174" width="10.625" style="311" customWidth="1"/>
    <col min="7175" max="7175" width="11.375" style="311" customWidth="1"/>
    <col min="7176" max="7176" width="13.375" style="311" customWidth="1"/>
    <col min="7177" max="7177" width="12.875" style="311" customWidth="1"/>
    <col min="7178" max="7178" width="0" style="311" hidden="1" customWidth="1"/>
    <col min="7179" max="7195" width="13.875" style="311" customWidth="1"/>
    <col min="7196" max="7424" width="11.25" style="311"/>
    <col min="7425" max="7425" width="3.375" style="311" customWidth="1"/>
    <col min="7426" max="7426" width="23.5" style="311" customWidth="1"/>
    <col min="7427" max="7428" width="12.625" style="311" customWidth="1"/>
    <col min="7429" max="7430" width="10.625" style="311" customWidth="1"/>
    <col min="7431" max="7431" width="11.375" style="311" customWidth="1"/>
    <col min="7432" max="7432" width="13.375" style="311" customWidth="1"/>
    <col min="7433" max="7433" width="12.875" style="311" customWidth="1"/>
    <col min="7434" max="7434" width="0" style="311" hidden="1" customWidth="1"/>
    <col min="7435" max="7451" width="13.875" style="311" customWidth="1"/>
    <col min="7452" max="7680" width="11.25" style="311"/>
    <col min="7681" max="7681" width="3.375" style="311" customWidth="1"/>
    <col min="7682" max="7682" width="23.5" style="311" customWidth="1"/>
    <col min="7683" max="7684" width="12.625" style="311" customWidth="1"/>
    <col min="7685" max="7686" width="10.625" style="311" customWidth="1"/>
    <col min="7687" max="7687" width="11.375" style="311" customWidth="1"/>
    <col min="7688" max="7688" width="13.375" style="311" customWidth="1"/>
    <col min="7689" max="7689" width="12.875" style="311" customWidth="1"/>
    <col min="7690" max="7690" width="0" style="311" hidden="1" customWidth="1"/>
    <col min="7691" max="7707" width="13.875" style="311" customWidth="1"/>
    <col min="7708" max="7936" width="11.25" style="311"/>
    <col min="7937" max="7937" width="3.375" style="311" customWidth="1"/>
    <col min="7938" max="7938" width="23.5" style="311" customWidth="1"/>
    <col min="7939" max="7940" width="12.625" style="311" customWidth="1"/>
    <col min="7941" max="7942" width="10.625" style="311" customWidth="1"/>
    <col min="7943" max="7943" width="11.375" style="311" customWidth="1"/>
    <col min="7944" max="7944" width="13.375" style="311" customWidth="1"/>
    <col min="7945" max="7945" width="12.875" style="311" customWidth="1"/>
    <col min="7946" max="7946" width="0" style="311" hidden="1" customWidth="1"/>
    <col min="7947" max="7963" width="13.875" style="311" customWidth="1"/>
    <col min="7964" max="8192" width="11.25" style="311"/>
    <col min="8193" max="8193" width="3.375" style="311" customWidth="1"/>
    <col min="8194" max="8194" width="23.5" style="311" customWidth="1"/>
    <col min="8195" max="8196" width="12.625" style="311" customWidth="1"/>
    <col min="8197" max="8198" width="10.625" style="311" customWidth="1"/>
    <col min="8199" max="8199" width="11.375" style="311" customWidth="1"/>
    <col min="8200" max="8200" width="13.375" style="311" customWidth="1"/>
    <col min="8201" max="8201" width="12.875" style="311" customWidth="1"/>
    <col min="8202" max="8202" width="0" style="311" hidden="1" customWidth="1"/>
    <col min="8203" max="8219" width="13.875" style="311" customWidth="1"/>
    <col min="8220" max="8448" width="11.25" style="311"/>
    <col min="8449" max="8449" width="3.375" style="311" customWidth="1"/>
    <col min="8450" max="8450" width="23.5" style="311" customWidth="1"/>
    <col min="8451" max="8452" width="12.625" style="311" customWidth="1"/>
    <col min="8453" max="8454" width="10.625" style="311" customWidth="1"/>
    <col min="8455" max="8455" width="11.375" style="311" customWidth="1"/>
    <col min="8456" max="8456" width="13.375" style="311" customWidth="1"/>
    <col min="8457" max="8457" width="12.875" style="311" customWidth="1"/>
    <col min="8458" max="8458" width="0" style="311" hidden="1" customWidth="1"/>
    <col min="8459" max="8475" width="13.875" style="311" customWidth="1"/>
    <col min="8476" max="8704" width="11.25" style="311"/>
    <col min="8705" max="8705" width="3.375" style="311" customWidth="1"/>
    <col min="8706" max="8706" width="23.5" style="311" customWidth="1"/>
    <col min="8707" max="8708" width="12.625" style="311" customWidth="1"/>
    <col min="8709" max="8710" width="10.625" style="311" customWidth="1"/>
    <col min="8711" max="8711" width="11.375" style="311" customWidth="1"/>
    <col min="8712" max="8712" width="13.375" style="311" customWidth="1"/>
    <col min="8713" max="8713" width="12.875" style="311" customWidth="1"/>
    <col min="8714" max="8714" width="0" style="311" hidden="1" customWidth="1"/>
    <col min="8715" max="8731" width="13.875" style="311" customWidth="1"/>
    <col min="8732" max="8960" width="11.25" style="311"/>
    <col min="8961" max="8961" width="3.375" style="311" customWidth="1"/>
    <col min="8962" max="8962" width="23.5" style="311" customWidth="1"/>
    <col min="8963" max="8964" width="12.625" style="311" customWidth="1"/>
    <col min="8965" max="8966" width="10.625" style="311" customWidth="1"/>
    <col min="8967" max="8967" width="11.375" style="311" customWidth="1"/>
    <col min="8968" max="8968" width="13.375" style="311" customWidth="1"/>
    <col min="8969" max="8969" width="12.875" style="311" customWidth="1"/>
    <col min="8970" max="8970" width="0" style="311" hidden="1" customWidth="1"/>
    <col min="8971" max="8987" width="13.875" style="311" customWidth="1"/>
    <col min="8988" max="9216" width="11.25" style="311"/>
    <col min="9217" max="9217" width="3.375" style="311" customWidth="1"/>
    <col min="9218" max="9218" width="23.5" style="311" customWidth="1"/>
    <col min="9219" max="9220" width="12.625" style="311" customWidth="1"/>
    <col min="9221" max="9222" width="10.625" style="311" customWidth="1"/>
    <col min="9223" max="9223" width="11.375" style="311" customWidth="1"/>
    <col min="9224" max="9224" width="13.375" style="311" customWidth="1"/>
    <col min="9225" max="9225" width="12.875" style="311" customWidth="1"/>
    <col min="9226" max="9226" width="0" style="311" hidden="1" customWidth="1"/>
    <col min="9227" max="9243" width="13.875" style="311" customWidth="1"/>
    <col min="9244" max="9472" width="11.25" style="311"/>
    <col min="9473" max="9473" width="3.375" style="311" customWidth="1"/>
    <col min="9474" max="9474" width="23.5" style="311" customWidth="1"/>
    <col min="9475" max="9476" width="12.625" style="311" customWidth="1"/>
    <col min="9477" max="9478" width="10.625" style="311" customWidth="1"/>
    <col min="9479" max="9479" width="11.375" style="311" customWidth="1"/>
    <col min="9480" max="9480" width="13.375" style="311" customWidth="1"/>
    <col min="9481" max="9481" width="12.875" style="311" customWidth="1"/>
    <col min="9482" max="9482" width="0" style="311" hidden="1" customWidth="1"/>
    <col min="9483" max="9499" width="13.875" style="311" customWidth="1"/>
    <col min="9500" max="9728" width="11.25" style="311"/>
    <col min="9729" max="9729" width="3.375" style="311" customWidth="1"/>
    <col min="9730" max="9730" width="23.5" style="311" customWidth="1"/>
    <col min="9731" max="9732" width="12.625" style="311" customWidth="1"/>
    <col min="9733" max="9734" width="10.625" style="311" customWidth="1"/>
    <col min="9735" max="9735" width="11.375" style="311" customWidth="1"/>
    <col min="9736" max="9736" width="13.375" style="311" customWidth="1"/>
    <col min="9737" max="9737" width="12.875" style="311" customWidth="1"/>
    <col min="9738" max="9738" width="0" style="311" hidden="1" customWidth="1"/>
    <col min="9739" max="9755" width="13.875" style="311" customWidth="1"/>
    <col min="9756" max="9984" width="11.25" style="311"/>
    <col min="9985" max="9985" width="3.375" style="311" customWidth="1"/>
    <col min="9986" max="9986" width="23.5" style="311" customWidth="1"/>
    <col min="9987" max="9988" width="12.625" style="311" customWidth="1"/>
    <col min="9989" max="9990" width="10.625" style="311" customWidth="1"/>
    <col min="9991" max="9991" width="11.375" style="311" customWidth="1"/>
    <col min="9992" max="9992" width="13.375" style="311" customWidth="1"/>
    <col min="9993" max="9993" width="12.875" style="311" customWidth="1"/>
    <col min="9994" max="9994" width="0" style="311" hidden="1" customWidth="1"/>
    <col min="9995" max="10011" width="13.875" style="311" customWidth="1"/>
    <col min="10012" max="10240" width="11.25" style="311"/>
    <col min="10241" max="10241" width="3.375" style="311" customWidth="1"/>
    <col min="10242" max="10242" width="23.5" style="311" customWidth="1"/>
    <col min="10243" max="10244" width="12.625" style="311" customWidth="1"/>
    <col min="10245" max="10246" width="10.625" style="311" customWidth="1"/>
    <col min="10247" max="10247" width="11.375" style="311" customWidth="1"/>
    <col min="10248" max="10248" width="13.375" style="311" customWidth="1"/>
    <col min="10249" max="10249" width="12.875" style="311" customWidth="1"/>
    <col min="10250" max="10250" width="0" style="311" hidden="1" customWidth="1"/>
    <col min="10251" max="10267" width="13.875" style="311" customWidth="1"/>
    <col min="10268" max="10496" width="11.25" style="311"/>
    <col min="10497" max="10497" width="3.375" style="311" customWidth="1"/>
    <col min="10498" max="10498" width="23.5" style="311" customWidth="1"/>
    <col min="10499" max="10500" width="12.625" style="311" customWidth="1"/>
    <col min="10501" max="10502" width="10.625" style="311" customWidth="1"/>
    <col min="10503" max="10503" width="11.375" style="311" customWidth="1"/>
    <col min="10504" max="10504" width="13.375" style="311" customWidth="1"/>
    <col min="10505" max="10505" width="12.875" style="311" customWidth="1"/>
    <col min="10506" max="10506" width="0" style="311" hidden="1" customWidth="1"/>
    <col min="10507" max="10523" width="13.875" style="311" customWidth="1"/>
    <col min="10524" max="10752" width="11.25" style="311"/>
    <col min="10753" max="10753" width="3.375" style="311" customWidth="1"/>
    <col min="10754" max="10754" width="23.5" style="311" customWidth="1"/>
    <col min="10755" max="10756" width="12.625" style="311" customWidth="1"/>
    <col min="10757" max="10758" width="10.625" style="311" customWidth="1"/>
    <col min="10759" max="10759" width="11.375" style="311" customWidth="1"/>
    <col min="10760" max="10760" width="13.375" style="311" customWidth="1"/>
    <col min="10761" max="10761" width="12.875" style="311" customWidth="1"/>
    <col min="10762" max="10762" width="0" style="311" hidden="1" customWidth="1"/>
    <col min="10763" max="10779" width="13.875" style="311" customWidth="1"/>
    <col min="10780" max="11008" width="11.25" style="311"/>
    <col min="11009" max="11009" width="3.375" style="311" customWidth="1"/>
    <col min="11010" max="11010" width="23.5" style="311" customWidth="1"/>
    <col min="11011" max="11012" width="12.625" style="311" customWidth="1"/>
    <col min="11013" max="11014" width="10.625" style="311" customWidth="1"/>
    <col min="11015" max="11015" width="11.375" style="311" customWidth="1"/>
    <col min="11016" max="11016" width="13.375" style="311" customWidth="1"/>
    <col min="11017" max="11017" width="12.875" style="311" customWidth="1"/>
    <col min="11018" max="11018" width="0" style="311" hidden="1" customWidth="1"/>
    <col min="11019" max="11035" width="13.875" style="311" customWidth="1"/>
    <col min="11036" max="11264" width="11.25" style="311"/>
    <col min="11265" max="11265" width="3.375" style="311" customWidth="1"/>
    <col min="11266" max="11266" width="23.5" style="311" customWidth="1"/>
    <col min="11267" max="11268" width="12.625" style="311" customWidth="1"/>
    <col min="11269" max="11270" width="10.625" style="311" customWidth="1"/>
    <col min="11271" max="11271" width="11.375" style="311" customWidth="1"/>
    <col min="11272" max="11272" width="13.375" style="311" customWidth="1"/>
    <col min="11273" max="11273" width="12.875" style="311" customWidth="1"/>
    <col min="11274" max="11274" width="0" style="311" hidden="1" customWidth="1"/>
    <col min="11275" max="11291" width="13.875" style="311" customWidth="1"/>
    <col min="11292" max="11520" width="11.25" style="311"/>
    <col min="11521" max="11521" width="3.375" style="311" customWidth="1"/>
    <col min="11522" max="11522" width="23.5" style="311" customWidth="1"/>
    <col min="11523" max="11524" width="12.625" style="311" customWidth="1"/>
    <col min="11525" max="11526" width="10.625" style="311" customWidth="1"/>
    <col min="11527" max="11527" width="11.375" style="311" customWidth="1"/>
    <col min="11528" max="11528" width="13.375" style="311" customWidth="1"/>
    <col min="11529" max="11529" width="12.875" style="311" customWidth="1"/>
    <col min="11530" max="11530" width="0" style="311" hidden="1" customWidth="1"/>
    <col min="11531" max="11547" width="13.875" style="311" customWidth="1"/>
    <col min="11548" max="11776" width="11.25" style="311"/>
    <col min="11777" max="11777" width="3.375" style="311" customWidth="1"/>
    <col min="11778" max="11778" width="23.5" style="311" customWidth="1"/>
    <col min="11779" max="11780" width="12.625" style="311" customWidth="1"/>
    <col min="11781" max="11782" width="10.625" style="311" customWidth="1"/>
    <col min="11783" max="11783" width="11.375" style="311" customWidth="1"/>
    <col min="11784" max="11784" width="13.375" style="311" customWidth="1"/>
    <col min="11785" max="11785" width="12.875" style="311" customWidth="1"/>
    <col min="11786" max="11786" width="0" style="311" hidden="1" customWidth="1"/>
    <col min="11787" max="11803" width="13.875" style="311" customWidth="1"/>
    <col min="11804" max="12032" width="11.25" style="311"/>
    <col min="12033" max="12033" width="3.375" style="311" customWidth="1"/>
    <col min="12034" max="12034" width="23.5" style="311" customWidth="1"/>
    <col min="12035" max="12036" width="12.625" style="311" customWidth="1"/>
    <col min="12037" max="12038" width="10.625" style="311" customWidth="1"/>
    <col min="12039" max="12039" width="11.375" style="311" customWidth="1"/>
    <col min="12040" max="12040" width="13.375" style="311" customWidth="1"/>
    <col min="12041" max="12041" width="12.875" style="311" customWidth="1"/>
    <col min="12042" max="12042" width="0" style="311" hidden="1" customWidth="1"/>
    <col min="12043" max="12059" width="13.875" style="311" customWidth="1"/>
    <col min="12060" max="12288" width="11.25" style="311"/>
    <col min="12289" max="12289" width="3.375" style="311" customWidth="1"/>
    <col min="12290" max="12290" width="23.5" style="311" customWidth="1"/>
    <col min="12291" max="12292" width="12.625" style="311" customWidth="1"/>
    <col min="12293" max="12294" width="10.625" style="311" customWidth="1"/>
    <col min="12295" max="12295" width="11.375" style="311" customWidth="1"/>
    <col min="12296" max="12296" width="13.375" style="311" customWidth="1"/>
    <col min="12297" max="12297" width="12.875" style="311" customWidth="1"/>
    <col min="12298" max="12298" width="0" style="311" hidden="1" customWidth="1"/>
    <col min="12299" max="12315" width="13.875" style="311" customWidth="1"/>
    <col min="12316" max="12544" width="11.25" style="311"/>
    <col min="12545" max="12545" width="3.375" style="311" customWidth="1"/>
    <col min="12546" max="12546" width="23.5" style="311" customWidth="1"/>
    <col min="12547" max="12548" width="12.625" style="311" customWidth="1"/>
    <col min="12549" max="12550" width="10.625" style="311" customWidth="1"/>
    <col min="12551" max="12551" width="11.375" style="311" customWidth="1"/>
    <col min="12552" max="12552" width="13.375" style="311" customWidth="1"/>
    <col min="12553" max="12553" width="12.875" style="311" customWidth="1"/>
    <col min="12554" max="12554" width="0" style="311" hidden="1" customWidth="1"/>
    <col min="12555" max="12571" width="13.875" style="311" customWidth="1"/>
    <col min="12572" max="12800" width="11.25" style="311"/>
    <col min="12801" max="12801" width="3.375" style="311" customWidth="1"/>
    <col min="12802" max="12802" width="23.5" style="311" customWidth="1"/>
    <col min="12803" max="12804" width="12.625" style="311" customWidth="1"/>
    <col min="12805" max="12806" width="10.625" style="311" customWidth="1"/>
    <col min="12807" max="12807" width="11.375" style="311" customWidth="1"/>
    <col min="12808" max="12808" width="13.375" style="311" customWidth="1"/>
    <col min="12809" max="12809" width="12.875" style="311" customWidth="1"/>
    <col min="12810" max="12810" width="0" style="311" hidden="1" customWidth="1"/>
    <col min="12811" max="12827" width="13.875" style="311" customWidth="1"/>
    <col min="12828" max="13056" width="11.25" style="311"/>
    <col min="13057" max="13057" width="3.375" style="311" customWidth="1"/>
    <col min="13058" max="13058" width="23.5" style="311" customWidth="1"/>
    <col min="13059" max="13060" width="12.625" style="311" customWidth="1"/>
    <col min="13061" max="13062" width="10.625" style="311" customWidth="1"/>
    <col min="13063" max="13063" width="11.375" style="311" customWidth="1"/>
    <col min="13064" max="13064" width="13.375" style="311" customWidth="1"/>
    <col min="13065" max="13065" width="12.875" style="311" customWidth="1"/>
    <col min="13066" max="13066" width="0" style="311" hidden="1" customWidth="1"/>
    <col min="13067" max="13083" width="13.875" style="311" customWidth="1"/>
    <col min="13084" max="13312" width="11.25" style="311"/>
    <col min="13313" max="13313" width="3.375" style="311" customWidth="1"/>
    <col min="13314" max="13314" width="23.5" style="311" customWidth="1"/>
    <col min="13315" max="13316" width="12.625" style="311" customWidth="1"/>
    <col min="13317" max="13318" width="10.625" style="311" customWidth="1"/>
    <col min="13319" max="13319" width="11.375" style="311" customWidth="1"/>
    <col min="13320" max="13320" width="13.375" style="311" customWidth="1"/>
    <col min="13321" max="13321" width="12.875" style="311" customWidth="1"/>
    <col min="13322" max="13322" width="0" style="311" hidden="1" customWidth="1"/>
    <col min="13323" max="13339" width="13.875" style="311" customWidth="1"/>
    <col min="13340" max="13568" width="11.25" style="311"/>
    <col min="13569" max="13569" width="3.375" style="311" customWidth="1"/>
    <col min="13570" max="13570" width="23.5" style="311" customWidth="1"/>
    <col min="13571" max="13572" width="12.625" style="311" customWidth="1"/>
    <col min="13573" max="13574" width="10.625" style="311" customWidth="1"/>
    <col min="13575" max="13575" width="11.375" style="311" customWidth="1"/>
    <col min="13576" max="13576" width="13.375" style="311" customWidth="1"/>
    <col min="13577" max="13577" width="12.875" style="311" customWidth="1"/>
    <col min="13578" max="13578" width="0" style="311" hidden="1" customWidth="1"/>
    <col min="13579" max="13595" width="13.875" style="311" customWidth="1"/>
    <col min="13596" max="13824" width="11.25" style="311"/>
    <col min="13825" max="13825" width="3.375" style="311" customWidth="1"/>
    <col min="13826" max="13826" width="23.5" style="311" customWidth="1"/>
    <col min="13827" max="13828" width="12.625" style="311" customWidth="1"/>
    <col min="13829" max="13830" width="10.625" style="311" customWidth="1"/>
    <col min="13831" max="13831" width="11.375" style="311" customWidth="1"/>
    <col min="13832" max="13832" width="13.375" style="311" customWidth="1"/>
    <col min="13833" max="13833" width="12.875" style="311" customWidth="1"/>
    <col min="13834" max="13834" width="0" style="311" hidden="1" customWidth="1"/>
    <col min="13835" max="13851" width="13.875" style="311" customWidth="1"/>
    <col min="13852" max="14080" width="11.25" style="311"/>
    <col min="14081" max="14081" width="3.375" style="311" customWidth="1"/>
    <col min="14082" max="14082" width="23.5" style="311" customWidth="1"/>
    <col min="14083" max="14084" width="12.625" style="311" customWidth="1"/>
    <col min="14085" max="14086" width="10.625" style="311" customWidth="1"/>
    <col min="14087" max="14087" width="11.375" style="311" customWidth="1"/>
    <col min="14088" max="14088" width="13.375" style="311" customWidth="1"/>
    <col min="14089" max="14089" width="12.875" style="311" customWidth="1"/>
    <col min="14090" max="14090" width="0" style="311" hidden="1" customWidth="1"/>
    <col min="14091" max="14107" width="13.875" style="311" customWidth="1"/>
    <col min="14108" max="14336" width="11.25" style="311"/>
    <col min="14337" max="14337" width="3.375" style="311" customWidth="1"/>
    <col min="14338" max="14338" width="23.5" style="311" customWidth="1"/>
    <col min="14339" max="14340" width="12.625" style="311" customWidth="1"/>
    <col min="14341" max="14342" width="10.625" style="311" customWidth="1"/>
    <col min="14343" max="14343" width="11.375" style="311" customWidth="1"/>
    <col min="14344" max="14344" width="13.375" style="311" customWidth="1"/>
    <col min="14345" max="14345" width="12.875" style="311" customWidth="1"/>
    <col min="14346" max="14346" width="0" style="311" hidden="1" customWidth="1"/>
    <col min="14347" max="14363" width="13.875" style="311" customWidth="1"/>
    <col min="14364" max="14592" width="11.25" style="311"/>
    <col min="14593" max="14593" width="3.375" style="311" customWidth="1"/>
    <col min="14594" max="14594" width="23.5" style="311" customWidth="1"/>
    <col min="14595" max="14596" width="12.625" style="311" customWidth="1"/>
    <col min="14597" max="14598" width="10.625" style="311" customWidth="1"/>
    <col min="14599" max="14599" width="11.375" style="311" customWidth="1"/>
    <col min="14600" max="14600" width="13.375" style="311" customWidth="1"/>
    <col min="14601" max="14601" width="12.875" style="311" customWidth="1"/>
    <col min="14602" max="14602" width="0" style="311" hidden="1" customWidth="1"/>
    <col min="14603" max="14619" width="13.875" style="311" customWidth="1"/>
    <col min="14620" max="14848" width="11.25" style="311"/>
    <col min="14849" max="14849" width="3.375" style="311" customWidth="1"/>
    <col min="14850" max="14850" width="23.5" style="311" customWidth="1"/>
    <col min="14851" max="14852" width="12.625" style="311" customWidth="1"/>
    <col min="14853" max="14854" width="10.625" style="311" customWidth="1"/>
    <col min="14855" max="14855" width="11.375" style="311" customWidth="1"/>
    <col min="14856" max="14856" width="13.375" style="311" customWidth="1"/>
    <col min="14857" max="14857" width="12.875" style="311" customWidth="1"/>
    <col min="14858" max="14858" width="0" style="311" hidden="1" customWidth="1"/>
    <col min="14859" max="14875" width="13.875" style="311" customWidth="1"/>
    <col min="14876" max="15104" width="11.25" style="311"/>
    <col min="15105" max="15105" width="3.375" style="311" customWidth="1"/>
    <col min="15106" max="15106" width="23.5" style="311" customWidth="1"/>
    <col min="15107" max="15108" width="12.625" style="311" customWidth="1"/>
    <col min="15109" max="15110" width="10.625" style="311" customWidth="1"/>
    <col min="15111" max="15111" width="11.375" style="311" customWidth="1"/>
    <col min="15112" max="15112" width="13.375" style="311" customWidth="1"/>
    <col min="15113" max="15113" width="12.875" style="311" customWidth="1"/>
    <col min="15114" max="15114" width="0" style="311" hidden="1" customWidth="1"/>
    <col min="15115" max="15131" width="13.875" style="311" customWidth="1"/>
    <col min="15132" max="15360" width="11.25" style="311"/>
    <col min="15361" max="15361" width="3.375" style="311" customWidth="1"/>
    <col min="15362" max="15362" width="23.5" style="311" customWidth="1"/>
    <col min="15363" max="15364" width="12.625" style="311" customWidth="1"/>
    <col min="15365" max="15366" width="10.625" style="311" customWidth="1"/>
    <col min="15367" max="15367" width="11.375" style="311" customWidth="1"/>
    <col min="15368" max="15368" width="13.375" style="311" customWidth="1"/>
    <col min="15369" max="15369" width="12.875" style="311" customWidth="1"/>
    <col min="15370" max="15370" width="0" style="311" hidden="1" customWidth="1"/>
    <col min="15371" max="15387" width="13.875" style="311" customWidth="1"/>
    <col min="15388" max="15616" width="11.25" style="311"/>
    <col min="15617" max="15617" width="3.375" style="311" customWidth="1"/>
    <col min="15618" max="15618" width="23.5" style="311" customWidth="1"/>
    <col min="15619" max="15620" width="12.625" style="311" customWidth="1"/>
    <col min="15621" max="15622" width="10.625" style="311" customWidth="1"/>
    <col min="15623" max="15623" width="11.375" style="311" customWidth="1"/>
    <col min="15624" max="15624" width="13.375" style="311" customWidth="1"/>
    <col min="15625" max="15625" width="12.875" style="311" customWidth="1"/>
    <col min="15626" max="15626" width="0" style="311" hidden="1" customWidth="1"/>
    <col min="15627" max="15643" width="13.875" style="311" customWidth="1"/>
    <col min="15644" max="15872" width="11.25" style="311"/>
    <col min="15873" max="15873" width="3.375" style="311" customWidth="1"/>
    <col min="15874" max="15874" width="23.5" style="311" customWidth="1"/>
    <col min="15875" max="15876" width="12.625" style="311" customWidth="1"/>
    <col min="15877" max="15878" width="10.625" style="311" customWidth="1"/>
    <col min="15879" max="15879" width="11.375" style="311" customWidth="1"/>
    <col min="15880" max="15880" width="13.375" style="311" customWidth="1"/>
    <col min="15881" max="15881" width="12.875" style="311" customWidth="1"/>
    <col min="15882" max="15882" width="0" style="311" hidden="1" customWidth="1"/>
    <col min="15883" max="15899" width="13.875" style="311" customWidth="1"/>
    <col min="15900" max="16128" width="11.25" style="311"/>
    <col min="16129" max="16129" width="3.375" style="311" customWidth="1"/>
    <col min="16130" max="16130" width="23.5" style="311" customWidth="1"/>
    <col min="16131" max="16132" width="12.625" style="311" customWidth="1"/>
    <col min="16133" max="16134" width="10.625" style="311" customWidth="1"/>
    <col min="16135" max="16135" width="11.375" style="311" customWidth="1"/>
    <col min="16136" max="16136" width="13.375" style="311" customWidth="1"/>
    <col min="16137" max="16137" width="12.875" style="311" customWidth="1"/>
    <col min="16138" max="16138" width="0" style="311" hidden="1" customWidth="1"/>
    <col min="16139" max="16155" width="13.875" style="311" customWidth="1"/>
    <col min="16156" max="16384" width="11.25" style="311"/>
  </cols>
  <sheetData>
    <row r="1" spans="1:27">
      <c r="H1" s="1195" t="s">
        <v>1541</v>
      </c>
      <c r="I1" s="1195"/>
    </row>
    <row r="2" spans="1:27" ht="20.25" customHeight="1">
      <c r="A2" s="1279" t="s">
        <v>1478</v>
      </c>
      <c r="B2" s="1280"/>
      <c r="C2" s="1280"/>
      <c r="D2" s="1280"/>
      <c r="E2" s="1280"/>
      <c r="F2" s="1280"/>
      <c r="G2" s="1280"/>
      <c r="H2" s="1280"/>
      <c r="I2" s="1280"/>
    </row>
    <row r="3" spans="1:27" ht="17.25" customHeight="1">
      <c r="A3" s="1279" t="s">
        <v>1479</v>
      </c>
      <c r="B3" s="1280"/>
      <c r="C3" s="1280"/>
      <c r="D3" s="1280"/>
      <c r="E3" s="1280"/>
      <c r="F3" s="1280"/>
      <c r="G3" s="1280"/>
      <c r="H3" s="1280"/>
      <c r="I3" s="1280"/>
    </row>
    <row r="4" spans="1:27" ht="24" customHeight="1">
      <c r="A4" s="1278" t="str">
        <f>'6.Vốn đtư,SNKT25'!A4:F4</f>
        <v xml:space="preserve">(Kèm theo Nghị quyết  số      /NQ-HĐND ngày       /12/2024 của Hội đồng nhân dân huyện Na Rì) </v>
      </c>
      <c r="B4" s="1278"/>
      <c r="C4" s="1278"/>
      <c r="D4" s="1278"/>
      <c r="E4" s="1278"/>
      <c r="F4" s="1278"/>
      <c r="G4" s="1278"/>
      <c r="H4" s="1278"/>
      <c r="I4" s="1278"/>
    </row>
    <row r="5" spans="1:27" ht="22.5" customHeight="1">
      <c r="A5" s="391"/>
      <c r="B5" s="797"/>
      <c r="C5" s="797"/>
      <c r="H5" s="1281" t="s">
        <v>1480</v>
      </c>
      <c r="I5" s="1282"/>
    </row>
    <row r="6" spans="1:27" s="657" customFormat="1" ht="15.75" customHeight="1">
      <c r="A6" s="1283" t="s">
        <v>71</v>
      </c>
      <c r="B6" s="1283" t="s">
        <v>1481</v>
      </c>
      <c r="C6" s="1276" t="s">
        <v>188</v>
      </c>
      <c r="D6" s="1276" t="s">
        <v>1482</v>
      </c>
      <c r="E6" s="1277"/>
      <c r="F6" s="1276" t="s">
        <v>1483</v>
      </c>
      <c r="G6" s="1276" t="s">
        <v>1484</v>
      </c>
      <c r="H6" s="1276" t="s">
        <v>1485</v>
      </c>
      <c r="I6" s="1276" t="s">
        <v>1486</v>
      </c>
    </row>
    <row r="7" spans="1:27" s="657" customFormat="1" ht="50.25" customHeight="1">
      <c r="A7" s="1277"/>
      <c r="B7" s="1277"/>
      <c r="C7" s="1277"/>
      <c r="D7" s="972" t="s">
        <v>1487</v>
      </c>
      <c r="E7" s="972" t="s">
        <v>1488</v>
      </c>
      <c r="F7" s="1276"/>
      <c r="G7" s="1277"/>
      <c r="H7" s="1277"/>
      <c r="I7" s="1277"/>
    </row>
    <row r="8" spans="1:27" s="657" customFormat="1" ht="14.25" customHeight="1">
      <c r="A8" s="973">
        <v>1</v>
      </c>
      <c r="B8" s="974">
        <v>2</v>
      </c>
      <c r="C8" s="973">
        <v>3</v>
      </c>
      <c r="D8" s="974">
        <v>4</v>
      </c>
      <c r="E8" s="973">
        <v>5</v>
      </c>
      <c r="F8" s="974">
        <v>6</v>
      </c>
      <c r="G8" s="973">
        <v>7</v>
      </c>
      <c r="H8" s="974">
        <v>8</v>
      </c>
      <c r="I8" s="973">
        <v>9</v>
      </c>
    </row>
    <row r="9" spans="1:27" ht="24" customHeight="1">
      <c r="A9" s="805"/>
      <c r="B9" s="806" t="s">
        <v>188</v>
      </c>
      <c r="C9" s="807">
        <f t="shared" ref="C9:J9" si="0">+C10+C38:D38+C40+C42+C44+C46+C48</f>
        <v>625454.69999999995</v>
      </c>
      <c r="D9" s="807">
        <f t="shared" si="0"/>
        <v>450254.7</v>
      </c>
      <c r="E9" s="807">
        <f t="shared" si="0"/>
        <v>175200</v>
      </c>
      <c r="F9" s="807">
        <f t="shared" si="0"/>
        <v>32690</v>
      </c>
      <c r="G9" s="807">
        <f t="shared" si="0"/>
        <v>592764.69999999995</v>
      </c>
      <c r="H9" s="807">
        <f t="shared" si="0"/>
        <v>231801.88</v>
      </c>
      <c r="I9" s="807">
        <f t="shared" si="0"/>
        <v>592764.69999999995</v>
      </c>
      <c r="J9" s="798">
        <f t="shared" si="0"/>
        <v>0</v>
      </c>
      <c r="K9" s="799"/>
      <c r="L9" s="799"/>
      <c r="M9" s="799"/>
      <c r="N9" s="799"/>
      <c r="O9" s="799"/>
      <c r="P9" s="799"/>
      <c r="Q9" s="799"/>
      <c r="R9" s="799"/>
      <c r="S9" s="799"/>
      <c r="T9" s="799"/>
      <c r="U9" s="799"/>
      <c r="V9" s="799"/>
      <c r="W9" s="799"/>
      <c r="X9" s="799"/>
      <c r="Y9" s="799"/>
      <c r="Z9" s="799"/>
      <c r="AA9" s="799"/>
    </row>
    <row r="10" spans="1:27" ht="20.25" customHeight="1">
      <c r="A10" s="814">
        <v>1</v>
      </c>
      <c r="B10" s="814" t="s">
        <v>1489</v>
      </c>
      <c r="C10" s="815">
        <f>+C11+C29</f>
        <v>450254.7</v>
      </c>
      <c r="D10" s="815">
        <f t="shared" ref="D10:I10" si="1">+D11+D29</f>
        <v>450254.7</v>
      </c>
      <c r="E10" s="815">
        <f t="shared" si="1"/>
        <v>0</v>
      </c>
      <c r="F10" s="815">
        <f t="shared" si="1"/>
        <v>0</v>
      </c>
      <c r="G10" s="815">
        <f t="shared" si="1"/>
        <v>450254.7</v>
      </c>
      <c r="H10" s="815">
        <f t="shared" si="1"/>
        <v>180101.88</v>
      </c>
      <c r="I10" s="815">
        <f t="shared" si="1"/>
        <v>450254.7</v>
      </c>
      <c r="J10" s="800"/>
      <c r="K10" s="799"/>
      <c r="L10" s="799"/>
      <c r="M10" s="799"/>
      <c r="N10" s="799"/>
      <c r="O10" s="799"/>
      <c r="P10" s="799"/>
      <c r="Q10" s="799"/>
      <c r="R10" s="799"/>
      <c r="S10" s="799"/>
      <c r="T10" s="799"/>
      <c r="U10" s="799"/>
      <c r="V10" s="799"/>
      <c r="W10" s="799"/>
      <c r="X10" s="799"/>
      <c r="Y10" s="799"/>
      <c r="Z10" s="799"/>
      <c r="AA10" s="799"/>
    </row>
    <row r="11" spans="1:27" ht="20.25" customHeight="1">
      <c r="A11" s="424" t="s">
        <v>177</v>
      </c>
      <c r="B11" s="825" t="s">
        <v>1534</v>
      </c>
      <c r="C11" s="816">
        <f>SUM(C12:C28)</f>
        <v>335607.7</v>
      </c>
      <c r="D11" s="816">
        <f t="shared" ref="D11:J11" si="2">SUM(D12:D28)</f>
        <v>335607.7</v>
      </c>
      <c r="E11" s="816">
        <f t="shared" si="2"/>
        <v>0</v>
      </c>
      <c r="F11" s="816">
        <f t="shared" si="2"/>
        <v>0</v>
      </c>
      <c r="G11" s="816">
        <f t="shared" si="2"/>
        <v>335607.7</v>
      </c>
      <c r="H11" s="816">
        <f t="shared" si="2"/>
        <v>134243.08000000002</v>
      </c>
      <c r="I11" s="816">
        <f t="shared" si="2"/>
        <v>335607.7</v>
      </c>
      <c r="J11" s="804">
        <f t="shared" si="2"/>
        <v>0</v>
      </c>
      <c r="K11" s="799"/>
      <c r="L11" s="799"/>
      <c r="M11" s="799"/>
      <c r="N11" s="799"/>
      <c r="O11" s="799"/>
      <c r="P11" s="799"/>
      <c r="Q11" s="799"/>
      <c r="R11" s="799"/>
      <c r="S11" s="799"/>
      <c r="T11" s="799"/>
      <c r="U11" s="799"/>
      <c r="V11" s="799"/>
      <c r="W11" s="799"/>
      <c r="X11" s="799"/>
      <c r="Y11" s="799"/>
      <c r="Z11" s="799"/>
      <c r="AA11" s="799"/>
    </row>
    <row r="12" spans="1:27" ht="20.25" customHeight="1">
      <c r="A12" s="424"/>
      <c r="B12" s="826" t="s">
        <v>1515</v>
      </c>
      <c r="C12" s="817">
        <f>SUM(D12:E12)</f>
        <v>8000</v>
      </c>
      <c r="D12" s="817">
        <v>8000</v>
      </c>
      <c r="E12" s="817"/>
      <c r="F12" s="817"/>
      <c r="G12" s="818">
        <f t="shared" ref="G12:G31" si="3">C12-F12</f>
        <v>8000</v>
      </c>
      <c r="H12" s="818">
        <f t="shared" ref="H12:H37" si="4">G12*40%</f>
        <v>3200</v>
      </c>
      <c r="I12" s="818">
        <f t="shared" ref="I12:I26" si="5">G12</f>
        <v>8000</v>
      </c>
      <c r="J12" s="799" t="s">
        <v>1490</v>
      </c>
      <c r="K12" s="799"/>
      <c r="L12" s="799"/>
      <c r="M12" s="799"/>
      <c r="N12" s="799"/>
      <c r="O12" s="799"/>
      <c r="P12" s="799"/>
      <c r="Q12" s="799"/>
      <c r="R12" s="799"/>
      <c r="S12" s="799"/>
      <c r="T12" s="799"/>
      <c r="U12" s="799"/>
      <c r="V12" s="799"/>
      <c r="W12" s="799"/>
      <c r="X12" s="799"/>
      <c r="Y12" s="799"/>
      <c r="Z12" s="799"/>
      <c r="AA12" s="799"/>
    </row>
    <row r="13" spans="1:27" ht="20.25" customHeight="1">
      <c r="A13" s="424"/>
      <c r="B13" s="826" t="s">
        <v>1516</v>
      </c>
      <c r="C13" s="817">
        <f t="shared" ref="C13:C20" si="6">SUM(D13:E13)</f>
        <v>13500</v>
      </c>
      <c r="D13" s="817">
        <v>13500</v>
      </c>
      <c r="E13" s="817"/>
      <c r="F13" s="817"/>
      <c r="G13" s="818">
        <f t="shared" si="3"/>
        <v>13500</v>
      </c>
      <c r="H13" s="818">
        <f t="shared" si="4"/>
        <v>5400</v>
      </c>
      <c r="I13" s="818">
        <f t="shared" si="5"/>
        <v>13500</v>
      </c>
      <c r="J13" s="799"/>
      <c r="K13" s="799"/>
      <c r="L13" s="799"/>
      <c r="M13" s="799"/>
      <c r="N13" s="799"/>
      <c r="O13" s="799"/>
      <c r="P13" s="799"/>
      <c r="Q13" s="799"/>
      <c r="R13" s="799"/>
      <c r="S13" s="799"/>
      <c r="T13" s="799"/>
      <c r="U13" s="799"/>
      <c r="V13" s="799"/>
      <c r="W13" s="799"/>
      <c r="X13" s="799"/>
      <c r="Y13" s="799"/>
      <c r="Z13" s="799"/>
      <c r="AA13" s="799"/>
    </row>
    <row r="14" spans="1:27" ht="18.600000000000001" customHeight="1">
      <c r="A14" s="424"/>
      <c r="B14" s="826" t="s">
        <v>1517</v>
      </c>
      <c r="C14" s="819">
        <f t="shared" si="6"/>
        <v>11000</v>
      </c>
      <c r="D14" s="819">
        <v>11000</v>
      </c>
      <c r="E14" s="819"/>
      <c r="F14" s="819"/>
      <c r="G14" s="818">
        <f t="shared" si="3"/>
        <v>11000</v>
      </c>
      <c r="H14" s="818">
        <f t="shared" si="4"/>
        <v>4400</v>
      </c>
      <c r="I14" s="819">
        <f t="shared" si="5"/>
        <v>11000</v>
      </c>
      <c r="J14" s="801" t="s">
        <v>1491</v>
      </c>
      <c r="K14" s="799"/>
      <c r="L14" s="799"/>
      <c r="M14" s="799"/>
      <c r="N14" s="799"/>
      <c r="O14" s="799"/>
      <c r="P14" s="799"/>
      <c r="Q14" s="799"/>
      <c r="R14" s="799"/>
      <c r="S14" s="799"/>
      <c r="T14" s="799"/>
      <c r="U14" s="799"/>
      <c r="V14" s="799"/>
      <c r="W14" s="799"/>
      <c r="X14" s="799"/>
      <c r="Y14" s="799"/>
      <c r="Z14" s="799"/>
      <c r="AA14" s="799"/>
    </row>
    <row r="15" spans="1:27" ht="20.25" customHeight="1">
      <c r="A15" s="424"/>
      <c r="B15" s="826" t="s">
        <v>1518</v>
      </c>
      <c r="C15" s="817">
        <f t="shared" si="6"/>
        <v>5500</v>
      </c>
      <c r="D15" s="817">
        <v>5500</v>
      </c>
      <c r="E15" s="817"/>
      <c r="F15" s="817"/>
      <c r="G15" s="818">
        <f t="shared" si="3"/>
        <v>5500</v>
      </c>
      <c r="H15" s="818">
        <f t="shared" si="4"/>
        <v>2200</v>
      </c>
      <c r="I15" s="818">
        <f t="shared" si="5"/>
        <v>5500</v>
      </c>
      <c r="J15" s="799"/>
      <c r="K15" s="799"/>
      <c r="L15" s="799"/>
      <c r="M15" s="799"/>
      <c r="N15" s="799"/>
      <c r="O15" s="799"/>
      <c r="P15" s="799"/>
      <c r="Q15" s="799"/>
      <c r="R15" s="799"/>
      <c r="S15" s="799"/>
      <c r="T15" s="799"/>
      <c r="U15" s="799"/>
      <c r="V15" s="799"/>
      <c r="W15" s="799"/>
      <c r="X15" s="799"/>
      <c r="Y15" s="799"/>
      <c r="Z15" s="799"/>
      <c r="AA15" s="799"/>
    </row>
    <row r="16" spans="1:27" ht="20.25" customHeight="1">
      <c r="A16" s="424"/>
      <c r="B16" s="820" t="s">
        <v>1519</v>
      </c>
      <c r="C16" s="817">
        <f t="shared" si="6"/>
        <v>23816.5</v>
      </c>
      <c r="D16" s="817">
        <v>23816.5</v>
      </c>
      <c r="E16" s="817"/>
      <c r="F16" s="817"/>
      <c r="G16" s="818">
        <f t="shared" si="3"/>
        <v>23816.5</v>
      </c>
      <c r="H16" s="818">
        <f t="shared" si="4"/>
        <v>9526.6</v>
      </c>
      <c r="I16" s="818">
        <f t="shared" si="5"/>
        <v>23816.5</v>
      </c>
      <c r="J16" s="799" t="s">
        <v>1490</v>
      </c>
      <c r="K16" s="799"/>
      <c r="L16" s="799"/>
      <c r="M16" s="799"/>
      <c r="N16" s="799"/>
      <c r="O16" s="799"/>
      <c r="P16" s="799"/>
      <c r="Q16" s="799"/>
      <c r="R16" s="799"/>
      <c r="S16" s="799"/>
      <c r="T16" s="799"/>
      <c r="U16" s="799"/>
      <c r="V16" s="799"/>
      <c r="W16" s="799"/>
      <c r="X16" s="799"/>
      <c r="Y16" s="799"/>
      <c r="Z16" s="799"/>
      <c r="AA16" s="799"/>
    </row>
    <row r="17" spans="1:27" ht="20.25" customHeight="1">
      <c r="A17" s="424"/>
      <c r="B17" s="826" t="s">
        <v>1520</v>
      </c>
      <c r="C17" s="817">
        <f t="shared" si="6"/>
        <v>8900</v>
      </c>
      <c r="D17" s="817">
        <v>8900</v>
      </c>
      <c r="E17" s="817"/>
      <c r="F17" s="817"/>
      <c r="G17" s="818">
        <f t="shared" si="3"/>
        <v>8900</v>
      </c>
      <c r="H17" s="818">
        <f t="shared" si="4"/>
        <v>3560</v>
      </c>
      <c r="I17" s="818">
        <f t="shared" si="5"/>
        <v>8900</v>
      </c>
      <c r="J17" s="799" t="s">
        <v>1490</v>
      </c>
      <c r="K17" s="799"/>
      <c r="L17" s="799"/>
      <c r="M17" s="799"/>
      <c r="N17" s="799"/>
      <c r="O17" s="799"/>
      <c r="P17" s="799"/>
      <c r="Q17" s="799"/>
      <c r="R17" s="799"/>
      <c r="S17" s="799"/>
      <c r="T17" s="799"/>
      <c r="U17" s="799"/>
      <c r="V17" s="799"/>
      <c r="W17" s="799"/>
      <c r="X17" s="799"/>
      <c r="Y17" s="799"/>
      <c r="Z17" s="799"/>
      <c r="AA17" s="799"/>
    </row>
    <row r="18" spans="1:27" ht="20.25" customHeight="1">
      <c r="A18" s="424"/>
      <c r="B18" s="826" t="s">
        <v>1521</v>
      </c>
      <c r="C18" s="817">
        <f t="shared" si="6"/>
        <v>18000</v>
      </c>
      <c r="D18" s="817">
        <v>18000</v>
      </c>
      <c r="E18" s="817"/>
      <c r="F18" s="817"/>
      <c r="G18" s="818">
        <f t="shared" si="3"/>
        <v>18000</v>
      </c>
      <c r="H18" s="818">
        <f t="shared" si="4"/>
        <v>7200</v>
      </c>
      <c r="I18" s="818">
        <f t="shared" si="5"/>
        <v>18000</v>
      </c>
      <c r="J18" s="799" t="s">
        <v>1492</v>
      </c>
      <c r="K18" s="799"/>
      <c r="L18" s="799"/>
      <c r="M18" s="799"/>
      <c r="N18" s="799"/>
      <c r="O18" s="799"/>
      <c r="P18" s="799"/>
      <c r="Q18" s="799"/>
      <c r="R18" s="799"/>
      <c r="S18" s="799"/>
      <c r="T18" s="799"/>
      <c r="U18" s="799"/>
      <c r="V18" s="799"/>
      <c r="W18" s="799"/>
      <c r="X18" s="799"/>
      <c r="Y18" s="799"/>
      <c r="Z18" s="799"/>
      <c r="AA18" s="799"/>
    </row>
    <row r="19" spans="1:27" ht="20.25" customHeight="1">
      <c r="A19" s="424"/>
      <c r="B19" s="826" t="s">
        <v>1522</v>
      </c>
      <c r="C19" s="817">
        <f t="shared" si="6"/>
        <v>20000</v>
      </c>
      <c r="D19" s="817">
        <v>20000</v>
      </c>
      <c r="E19" s="817"/>
      <c r="F19" s="817"/>
      <c r="G19" s="818">
        <f t="shared" si="3"/>
        <v>20000</v>
      </c>
      <c r="H19" s="818">
        <f t="shared" si="4"/>
        <v>8000</v>
      </c>
      <c r="I19" s="818">
        <f t="shared" si="5"/>
        <v>20000</v>
      </c>
      <c r="J19" s="799"/>
      <c r="K19" s="799"/>
      <c r="L19" s="799"/>
      <c r="M19" s="799"/>
      <c r="N19" s="799"/>
      <c r="O19" s="799"/>
      <c r="P19" s="799"/>
      <c r="Q19" s="799"/>
      <c r="R19" s="799"/>
      <c r="S19" s="799"/>
      <c r="T19" s="799"/>
      <c r="U19" s="799"/>
      <c r="V19" s="799"/>
      <c r="W19" s="799"/>
      <c r="X19" s="799"/>
      <c r="Y19" s="799"/>
      <c r="Z19" s="799"/>
      <c r="AA19" s="799"/>
    </row>
    <row r="20" spans="1:27" ht="20.25" customHeight="1">
      <c r="A20" s="424"/>
      <c r="B20" s="826" t="s">
        <v>1523</v>
      </c>
      <c r="C20" s="817">
        <f t="shared" si="6"/>
        <v>60000</v>
      </c>
      <c r="D20" s="817">
        <v>60000</v>
      </c>
      <c r="E20" s="817"/>
      <c r="F20" s="817"/>
      <c r="G20" s="818">
        <f t="shared" si="3"/>
        <v>60000</v>
      </c>
      <c r="H20" s="818">
        <f t="shared" si="4"/>
        <v>24000</v>
      </c>
      <c r="I20" s="818">
        <f t="shared" si="5"/>
        <v>60000</v>
      </c>
      <c r="J20" s="799" t="s">
        <v>1493</v>
      </c>
      <c r="K20" s="799"/>
      <c r="L20" s="799"/>
      <c r="M20" s="799"/>
      <c r="N20" s="799"/>
      <c r="O20" s="799"/>
      <c r="P20" s="799"/>
      <c r="Q20" s="799"/>
      <c r="R20" s="799"/>
      <c r="S20" s="799"/>
      <c r="T20" s="799"/>
      <c r="U20" s="799"/>
      <c r="V20" s="799"/>
      <c r="W20" s="799"/>
      <c r="X20" s="799"/>
      <c r="Y20" s="799"/>
      <c r="Z20" s="799"/>
      <c r="AA20" s="799"/>
    </row>
    <row r="21" spans="1:27" ht="20.25" customHeight="1">
      <c r="A21" s="424"/>
      <c r="B21" s="826" t="s">
        <v>1524</v>
      </c>
      <c r="C21" s="817">
        <f t="shared" ref="C21:C28" si="7">SUM(D21:E21)</f>
        <v>54620</v>
      </c>
      <c r="D21" s="817">
        <v>54620</v>
      </c>
      <c r="E21" s="817"/>
      <c r="F21" s="817"/>
      <c r="G21" s="818">
        <f t="shared" si="3"/>
        <v>54620</v>
      </c>
      <c r="H21" s="818">
        <f t="shared" si="4"/>
        <v>21848</v>
      </c>
      <c r="I21" s="818">
        <f t="shared" si="5"/>
        <v>54620</v>
      </c>
      <c r="J21" s="799" t="s">
        <v>1490</v>
      </c>
      <c r="K21" s="799"/>
      <c r="L21" s="799"/>
      <c r="M21" s="799"/>
      <c r="N21" s="799"/>
      <c r="O21" s="799"/>
      <c r="P21" s="799"/>
      <c r="Q21" s="799"/>
      <c r="R21" s="799"/>
      <c r="S21" s="799"/>
      <c r="T21" s="799"/>
      <c r="U21" s="799"/>
      <c r="V21" s="799"/>
      <c r="W21" s="799"/>
      <c r="X21" s="799"/>
      <c r="Y21" s="799"/>
      <c r="Z21" s="799"/>
      <c r="AA21" s="799"/>
    </row>
    <row r="22" spans="1:27" ht="20.25" customHeight="1">
      <c r="A22" s="424"/>
      <c r="B22" s="826" t="s">
        <v>1525</v>
      </c>
      <c r="C22" s="817">
        <f t="shared" si="7"/>
        <v>30211.200000000001</v>
      </c>
      <c r="D22" s="817">
        <v>30211.200000000001</v>
      </c>
      <c r="E22" s="817"/>
      <c r="F22" s="817"/>
      <c r="G22" s="818">
        <f t="shared" si="3"/>
        <v>30211.200000000001</v>
      </c>
      <c r="H22" s="818">
        <f t="shared" si="4"/>
        <v>12084.480000000001</v>
      </c>
      <c r="I22" s="818">
        <f t="shared" si="5"/>
        <v>30211.200000000001</v>
      </c>
      <c r="J22" s="799"/>
      <c r="K22" s="799"/>
      <c r="L22" s="799"/>
      <c r="M22" s="799"/>
      <c r="N22" s="799"/>
      <c r="O22" s="799"/>
      <c r="P22" s="799"/>
      <c r="Q22" s="799"/>
      <c r="R22" s="799"/>
      <c r="S22" s="799"/>
      <c r="T22" s="799"/>
      <c r="U22" s="799"/>
      <c r="V22" s="799"/>
      <c r="W22" s="799"/>
      <c r="X22" s="799"/>
      <c r="Y22" s="799"/>
      <c r="Z22" s="799"/>
      <c r="AA22" s="799"/>
    </row>
    <row r="23" spans="1:27" ht="20.25" customHeight="1">
      <c r="A23" s="424"/>
      <c r="B23" s="826" t="s">
        <v>1526</v>
      </c>
      <c r="C23" s="819">
        <f t="shared" si="7"/>
        <v>4759</v>
      </c>
      <c r="D23" s="819">
        <v>4759</v>
      </c>
      <c r="E23" s="819"/>
      <c r="F23" s="819"/>
      <c r="G23" s="818">
        <f t="shared" si="3"/>
        <v>4759</v>
      </c>
      <c r="H23" s="818">
        <f t="shared" si="4"/>
        <v>1903.6000000000001</v>
      </c>
      <c r="I23" s="819">
        <f>G23</f>
        <v>4759</v>
      </c>
      <c r="J23" s="799" t="s">
        <v>1490</v>
      </c>
      <c r="K23" s="801"/>
      <c r="L23" s="801"/>
      <c r="M23" s="801"/>
      <c r="N23" s="801"/>
      <c r="O23" s="801"/>
      <c r="P23" s="801"/>
      <c r="Q23" s="801"/>
      <c r="R23" s="801"/>
      <c r="S23" s="801"/>
      <c r="T23" s="801"/>
      <c r="U23" s="801"/>
      <c r="V23" s="801"/>
      <c r="W23" s="801"/>
      <c r="X23" s="801"/>
      <c r="Y23" s="801"/>
      <c r="Z23" s="801"/>
      <c r="AA23" s="801"/>
    </row>
    <row r="24" spans="1:27" ht="20.25" customHeight="1">
      <c r="A24" s="424"/>
      <c r="B24" s="826" t="s">
        <v>1527</v>
      </c>
      <c r="C24" s="817">
        <f t="shared" si="7"/>
        <v>12658</v>
      </c>
      <c r="D24" s="817">
        <v>12658</v>
      </c>
      <c r="E24" s="817"/>
      <c r="F24" s="817"/>
      <c r="G24" s="818">
        <f t="shared" si="3"/>
        <v>12658</v>
      </c>
      <c r="H24" s="818">
        <f t="shared" si="4"/>
        <v>5063.2000000000007</v>
      </c>
      <c r="I24" s="818">
        <f t="shared" si="5"/>
        <v>12658</v>
      </c>
      <c r="J24" s="799" t="s">
        <v>1490</v>
      </c>
      <c r="K24" s="799"/>
      <c r="L24" s="799"/>
      <c r="M24" s="799"/>
      <c r="N24" s="799"/>
      <c r="O24" s="799"/>
      <c r="P24" s="799"/>
      <c r="Q24" s="799"/>
      <c r="R24" s="799"/>
      <c r="S24" s="799"/>
      <c r="T24" s="799"/>
      <c r="U24" s="799"/>
      <c r="V24" s="799"/>
      <c r="W24" s="799"/>
      <c r="X24" s="799"/>
      <c r="Y24" s="799"/>
      <c r="Z24" s="799"/>
      <c r="AA24" s="799"/>
    </row>
    <row r="25" spans="1:27" ht="20.25" customHeight="1">
      <c r="A25" s="424"/>
      <c r="B25" s="826" t="s">
        <v>1528</v>
      </c>
      <c r="C25" s="817">
        <f t="shared" si="7"/>
        <v>19000</v>
      </c>
      <c r="D25" s="817">
        <v>19000</v>
      </c>
      <c r="E25" s="817"/>
      <c r="F25" s="817"/>
      <c r="G25" s="818">
        <f t="shared" si="3"/>
        <v>19000</v>
      </c>
      <c r="H25" s="818">
        <f t="shared" si="4"/>
        <v>7600</v>
      </c>
      <c r="I25" s="818">
        <f t="shared" si="5"/>
        <v>19000</v>
      </c>
      <c r="J25" s="799" t="s">
        <v>1490</v>
      </c>
      <c r="K25" s="799"/>
      <c r="L25" s="799"/>
      <c r="M25" s="799"/>
      <c r="N25" s="799"/>
      <c r="O25" s="799"/>
      <c r="P25" s="799"/>
      <c r="Q25" s="799"/>
      <c r="R25" s="799"/>
      <c r="S25" s="799"/>
      <c r="T25" s="799"/>
      <c r="U25" s="799"/>
      <c r="V25" s="799"/>
      <c r="W25" s="799"/>
      <c r="X25" s="799"/>
      <c r="Y25" s="799"/>
      <c r="Z25" s="799"/>
      <c r="AA25" s="799"/>
    </row>
    <row r="26" spans="1:27" ht="20.25" customHeight="1">
      <c r="A26" s="424"/>
      <c r="B26" s="826" t="s">
        <v>1529</v>
      </c>
      <c r="C26" s="817">
        <f t="shared" si="7"/>
        <v>23500</v>
      </c>
      <c r="D26" s="817">
        <v>23500</v>
      </c>
      <c r="E26" s="817"/>
      <c r="F26" s="817"/>
      <c r="G26" s="818">
        <f t="shared" si="3"/>
        <v>23500</v>
      </c>
      <c r="H26" s="818">
        <f t="shared" si="4"/>
        <v>9400</v>
      </c>
      <c r="I26" s="818">
        <f t="shared" si="5"/>
        <v>23500</v>
      </c>
      <c r="J26" s="799" t="s">
        <v>1490</v>
      </c>
      <c r="K26" s="799"/>
      <c r="L26" s="799"/>
      <c r="M26" s="799"/>
      <c r="N26" s="799"/>
      <c r="O26" s="799"/>
      <c r="P26" s="799"/>
      <c r="Q26" s="799"/>
      <c r="R26" s="799"/>
      <c r="S26" s="799"/>
      <c r="T26" s="799"/>
      <c r="U26" s="799"/>
      <c r="V26" s="799"/>
      <c r="W26" s="799"/>
      <c r="X26" s="799"/>
      <c r="Y26" s="799"/>
      <c r="Z26" s="799"/>
      <c r="AA26" s="799"/>
    </row>
    <row r="27" spans="1:27" ht="20.25" customHeight="1">
      <c r="A27" s="424"/>
      <c r="B27" s="827" t="s">
        <v>1530</v>
      </c>
      <c r="C27" s="817">
        <f t="shared" si="7"/>
        <v>10143</v>
      </c>
      <c r="D27" s="817">
        <v>10143</v>
      </c>
      <c r="E27" s="817"/>
      <c r="F27" s="817"/>
      <c r="G27" s="818">
        <f t="shared" si="3"/>
        <v>10143</v>
      </c>
      <c r="H27" s="818">
        <f t="shared" si="4"/>
        <v>4057.2000000000003</v>
      </c>
      <c r="I27" s="818">
        <f>G27</f>
        <v>10143</v>
      </c>
      <c r="J27" s="799"/>
      <c r="K27" s="799"/>
      <c r="L27" s="799"/>
      <c r="M27" s="799"/>
      <c r="N27" s="799"/>
      <c r="O27" s="799"/>
      <c r="P27" s="799"/>
      <c r="Q27" s="799"/>
      <c r="R27" s="799"/>
      <c r="S27" s="799"/>
      <c r="T27" s="799"/>
      <c r="U27" s="799"/>
      <c r="V27" s="799"/>
      <c r="W27" s="799"/>
      <c r="X27" s="799"/>
      <c r="Y27" s="799"/>
      <c r="Z27" s="799"/>
      <c r="AA27" s="799"/>
    </row>
    <row r="28" spans="1:27" ht="20.25" customHeight="1">
      <c r="A28" s="424"/>
      <c r="B28" s="826" t="s">
        <v>1531</v>
      </c>
      <c r="C28" s="817">
        <f t="shared" si="7"/>
        <v>12000</v>
      </c>
      <c r="D28" s="817">
        <v>12000</v>
      </c>
      <c r="E28" s="817"/>
      <c r="F28" s="817"/>
      <c r="G28" s="818">
        <f t="shared" si="3"/>
        <v>12000</v>
      </c>
      <c r="H28" s="818">
        <f t="shared" si="4"/>
        <v>4800</v>
      </c>
      <c r="I28" s="818">
        <f>G28</f>
        <v>12000</v>
      </c>
      <c r="J28" s="799" t="s">
        <v>1493</v>
      </c>
      <c r="K28" s="799"/>
      <c r="L28" s="799"/>
      <c r="M28" s="799"/>
      <c r="N28" s="799"/>
      <c r="O28" s="799"/>
      <c r="P28" s="799"/>
      <c r="Q28" s="799"/>
      <c r="R28" s="799"/>
      <c r="S28" s="799"/>
      <c r="T28" s="799"/>
      <c r="U28" s="799"/>
      <c r="V28" s="799"/>
      <c r="W28" s="799"/>
      <c r="X28" s="799"/>
      <c r="Y28" s="799"/>
      <c r="Z28" s="799"/>
      <c r="AA28" s="799"/>
    </row>
    <row r="29" spans="1:27" ht="20.25" customHeight="1">
      <c r="A29" s="424" t="s">
        <v>178</v>
      </c>
      <c r="B29" s="828" t="s">
        <v>1494</v>
      </c>
      <c r="C29" s="816">
        <f t="shared" ref="C29:I29" si="8">SUM(C30:C37)</f>
        <v>114647</v>
      </c>
      <c r="D29" s="816">
        <f t="shared" si="8"/>
        <v>114647</v>
      </c>
      <c r="E29" s="816">
        <f t="shared" si="8"/>
        <v>0</v>
      </c>
      <c r="F29" s="816">
        <f t="shared" si="8"/>
        <v>0</v>
      </c>
      <c r="G29" s="816">
        <f t="shared" si="8"/>
        <v>114647</v>
      </c>
      <c r="H29" s="816">
        <f t="shared" si="8"/>
        <v>45858.799999999996</v>
      </c>
      <c r="I29" s="816">
        <f t="shared" si="8"/>
        <v>114647</v>
      </c>
      <c r="J29" s="799"/>
      <c r="K29" s="799"/>
      <c r="L29" s="799"/>
      <c r="M29" s="799"/>
      <c r="N29" s="799"/>
      <c r="O29" s="799"/>
      <c r="P29" s="799"/>
      <c r="Q29" s="799"/>
      <c r="R29" s="799"/>
      <c r="S29" s="799"/>
      <c r="T29" s="799"/>
      <c r="U29" s="799"/>
      <c r="V29" s="799"/>
      <c r="W29" s="799"/>
      <c r="X29" s="799"/>
      <c r="Y29" s="799"/>
      <c r="Z29" s="799"/>
      <c r="AA29" s="799"/>
    </row>
    <row r="30" spans="1:27" ht="18.75" customHeight="1">
      <c r="A30" s="424"/>
      <c r="B30" s="826" t="s">
        <v>1532</v>
      </c>
      <c r="C30" s="817">
        <f t="shared" ref="C30:C37" si="9">SUM(D30:E30)</f>
        <v>5000</v>
      </c>
      <c r="D30" s="817">
        <v>5000</v>
      </c>
      <c r="E30" s="817"/>
      <c r="F30" s="817"/>
      <c r="G30" s="818">
        <f t="shared" si="3"/>
        <v>5000</v>
      </c>
      <c r="H30" s="818">
        <f t="shared" si="4"/>
        <v>2000</v>
      </c>
      <c r="I30" s="818">
        <f t="shared" ref="I30:I37" si="10">G30</f>
        <v>5000</v>
      </c>
      <c r="J30" s="799"/>
      <c r="K30" s="799"/>
      <c r="L30" s="799"/>
      <c r="M30" s="799"/>
      <c r="N30" s="799"/>
      <c r="O30" s="799"/>
      <c r="P30" s="799"/>
      <c r="Q30" s="799"/>
      <c r="R30" s="799"/>
      <c r="S30" s="799"/>
      <c r="T30" s="799"/>
      <c r="U30" s="799"/>
      <c r="V30" s="799"/>
      <c r="W30" s="799"/>
      <c r="X30" s="799"/>
      <c r="Y30" s="799"/>
      <c r="Z30" s="799"/>
      <c r="AA30" s="799"/>
    </row>
    <row r="31" spans="1:27" ht="18.75" customHeight="1">
      <c r="A31" s="424"/>
      <c r="B31" s="826" t="s">
        <v>1533</v>
      </c>
      <c r="C31" s="817">
        <f t="shared" si="9"/>
        <v>50000</v>
      </c>
      <c r="D31" s="817">
        <v>50000</v>
      </c>
      <c r="E31" s="817"/>
      <c r="F31" s="817"/>
      <c r="G31" s="818">
        <f t="shared" si="3"/>
        <v>50000</v>
      </c>
      <c r="H31" s="818">
        <f t="shared" si="4"/>
        <v>20000</v>
      </c>
      <c r="I31" s="818">
        <f t="shared" si="10"/>
        <v>50000</v>
      </c>
      <c r="J31" s="799"/>
      <c r="K31" s="799"/>
      <c r="L31" s="799"/>
      <c r="M31" s="799"/>
      <c r="N31" s="799"/>
      <c r="O31" s="799"/>
      <c r="P31" s="799"/>
      <c r="Q31" s="799"/>
      <c r="R31" s="799"/>
      <c r="S31" s="799"/>
      <c r="T31" s="799"/>
      <c r="U31" s="799"/>
      <c r="V31" s="799"/>
      <c r="W31" s="799"/>
      <c r="X31" s="799"/>
      <c r="Y31" s="799"/>
      <c r="Z31" s="799"/>
      <c r="AA31" s="799"/>
    </row>
    <row r="32" spans="1:27" ht="18.75" customHeight="1">
      <c r="A32" s="424"/>
      <c r="B32" s="826" t="s">
        <v>1495</v>
      </c>
      <c r="C32" s="817">
        <f t="shared" si="9"/>
        <v>10143</v>
      </c>
      <c r="D32" s="817">
        <v>10143</v>
      </c>
      <c r="E32" s="817"/>
      <c r="F32" s="817"/>
      <c r="G32" s="818">
        <f t="shared" ref="G32:G37" si="11">C32</f>
        <v>10143</v>
      </c>
      <c r="H32" s="818">
        <f t="shared" si="4"/>
        <v>4057.2000000000003</v>
      </c>
      <c r="I32" s="818">
        <f t="shared" si="10"/>
        <v>10143</v>
      </c>
      <c r="J32" s="799"/>
      <c r="K32" s="799"/>
      <c r="L32" s="799"/>
      <c r="M32" s="799"/>
      <c r="N32" s="799"/>
      <c r="O32" s="799"/>
      <c r="P32" s="799"/>
      <c r="Q32" s="799"/>
      <c r="R32" s="799"/>
      <c r="S32" s="799"/>
      <c r="T32" s="799"/>
      <c r="U32" s="799"/>
      <c r="V32" s="799"/>
      <c r="W32" s="799"/>
      <c r="X32" s="799"/>
      <c r="Y32" s="799"/>
      <c r="Z32" s="799"/>
      <c r="AA32" s="799"/>
    </row>
    <row r="33" spans="1:27" ht="18.75" customHeight="1">
      <c r="A33" s="424"/>
      <c r="B33" s="826" t="s">
        <v>1496</v>
      </c>
      <c r="C33" s="817">
        <f t="shared" si="9"/>
        <v>3500</v>
      </c>
      <c r="D33" s="817">
        <v>3500</v>
      </c>
      <c r="E33" s="817"/>
      <c r="F33" s="817"/>
      <c r="G33" s="818">
        <f t="shared" si="11"/>
        <v>3500</v>
      </c>
      <c r="H33" s="818">
        <f t="shared" si="4"/>
        <v>1400</v>
      </c>
      <c r="I33" s="818">
        <f t="shared" si="10"/>
        <v>3500</v>
      </c>
      <c r="J33" s="799"/>
      <c r="K33" s="799"/>
      <c r="L33" s="799"/>
      <c r="M33" s="799"/>
      <c r="N33" s="799"/>
      <c r="O33" s="799"/>
      <c r="P33" s="799"/>
      <c r="Q33" s="799"/>
      <c r="R33" s="799"/>
      <c r="S33" s="799"/>
      <c r="T33" s="799"/>
      <c r="U33" s="799"/>
      <c r="V33" s="799"/>
      <c r="W33" s="799"/>
      <c r="X33" s="799"/>
      <c r="Y33" s="799"/>
      <c r="Z33" s="799"/>
      <c r="AA33" s="799"/>
    </row>
    <row r="34" spans="1:27" ht="18.75" customHeight="1">
      <c r="A34" s="424"/>
      <c r="B34" s="826" t="s">
        <v>1497</v>
      </c>
      <c r="C34" s="817">
        <f t="shared" si="9"/>
        <v>585</v>
      </c>
      <c r="D34" s="817">
        <v>585</v>
      </c>
      <c r="E34" s="817"/>
      <c r="F34" s="817"/>
      <c r="G34" s="818">
        <f t="shared" si="11"/>
        <v>585</v>
      </c>
      <c r="H34" s="818">
        <f t="shared" si="4"/>
        <v>234</v>
      </c>
      <c r="I34" s="818">
        <f t="shared" si="10"/>
        <v>585</v>
      </c>
      <c r="J34" s="799"/>
      <c r="K34" s="799"/>
      <c r="L34" s="799"/>
      <c r="M34" s="799"/>
      <c r="N34" s="799"/>
      <c r="O34" s="799"/>
      <c r="P34" s="799"/>
      <c r="Q34" s="799"/>
      <c r="R34" s="799"/>
      <c r="S34" s="799"/>
      <c r="T34" s="799"/>
      <c r="U34" s="799"/>
      <c r="V34" s="799"/>
      <c r="W34" s="799"/>
      <c r="X34" s="799"/>
      <c r="Y34" s="799"/>
      <c r="Z34" s="799"/>
      <c r="AA34" s="799"/>
    </row>
    <row r="35" spans="1:27" ht="18.75" customHeight="1">
      <c r="A35" s="424"/>
      <c r="B35" s="826" t="s">
        <v>1498</v>
      </c>
      <c r="C35" s="817">
        <f t="shared" si="9"/>
        <v>25600</v>
      </c>
      <c r="D35" s="817">
        <v>25600</v>
      </c>
      <c r="E35" s="817"/>
      <c r="F35" s="817"/>
      <c r="G35" s="818">
        <f t="shared" si="11"/>
        <v>25600</v>
      </c>
      <c r="H35" s="818">
        <f t="shared" si="4"/>
        <v>10240</v>
      </c>
      <c r="I35" s="818">
        <f t="shared" si="10"/>
        <v>25600</v>
      </c>
      <c r="J35" s="799"/>
      <c r="K35" s="799"/>
      <c r="L35" s="799"/>
      <c r="M35" s="799"/>
      <c r="N35" s="799"/>
      <c r="O35" s="799"/>
      <c r="P35" s="799"/>
      <c r="Q35" s="799"/>
      <c r="R35" s="799"/>
      <c r="S35" s="799"/>
      <c r="T35" s="799"/>
      <c r="U35" s="799"/>
      <c r="V35" s="799"/>
      <c r="W35" s="799"/>
      <c r="X35" s="799"/>
      <c r="Y35" s="799"/>
      <c r="Z35" s="799"/>
      <c r="AA35" s="799"/>
    </row>
    <row r="36" spans="1:27" ht="18.75" customHeight="1">
      <c r="A36" s="424"/>
      <c r="B36" s="826" t="s">
        <v>1499</v>
      </c>
      <c r="C36" s="817">
        <f t="shared" si="9"/>
        <v>19494</v>
      </c>
      <c r="D36" s="817">
        <v>19494</v>
      </c>
      <c r="E36" s="817"/>
      <c r="F36" s="817"/>
      <c r="G36" s="818">
        <f t="shared" si="11"/>
        <v>19494</v>
      </c>
      <c r="H36" s="818">
        <f>G36*40%</f>
        <v>7797.6</v>
      </c>
      <c r="I36" s="818">
        <f t="shared" si="10"/>
        <v>19494</v>
      </c>
      <c r="J36" s="799"/>
      <c r="K36" s="799"/>
      <c r="L36" s="799"/>
      <c r="M36" s="799"/>
      <c r="N36" s="799"/>
      <c r="O36" s="799"/>
      <c r="P36" s="799"/>
      <c r="Q36" s="799"/>
      <c r="R36" s="799"/>
      <c r="S36" s="799"/>
      <c r="T36" s="799"/>
      <c r="U36" s="799"/>
      <c r="V36" s="799"/>
      <c r="W36" s="799"/>
      <c r="X36" s="799"/>
      <c r="Y36" s="799"/>
      <c r="Z36" s="799"/>
      <c r="AA36" s="799"/>
    </row>
    <row r="37" spans="1:27" ht="19.5" customHeight="1">
      <c r="A37" s="424"/>
      <c r="B37" s="829" t="s">
        <v>1500</v>
      </c>
      <c r="C37" s="817">
        <f t="shared" si="9"/>
        <v>325</v>
      </c>
      <c r="D37" s="817">
        <v>325</v>
      </c>
      <c r="E37" s="817"/>
      <c r="F37" s="817"/>
      <c r="G37" s="818">
        <f t="shared" si="11"/>
        <v>325</v>
      </c>
      <c r="H37" s="818">
        <f t="shared" si="4"/>
        <v>130</v>
      </c>
      <c r="I37" s="818">
        <f t="shared" si="10"/>
        <v>325</v>
      </c>
      <c r="J37" s="799"/>
      <c r="K37" s="799"/>
      <c r="L37" s="799"/>
      <c r="M37" s="799"/>
      <c r="N37" s="799"/>
      <c r="O37" s="799"/>
      <c r="P37" s="799"/>
      <c r="Q37" s="799"/>
      <c r="R37" s="799"/>
      <c r="S37" s="799"/>
      <c r="T37" s="799"/>
      <c r="U37" s="799"/>
      <c r="V37" s="799"/>
      <c r="W37" s="799"/>
      <c r="X37" s="799"/>
      <c r="Y37" s="799"/>
      <c r="Z37" s="799"/>
      <c r="AA37" s="799"/>
    </row>
    <row r="38" spans="1:27" ht="19.5" customHeight="1">
      <c r="A38" s="424">
        <v>2</v>
      </c>
      <c r="B38" s="830" t="s">
        <v>814</v>
      </c>
      <c r="C38" s="816">
        <f>+C39</f>
        <v>11000</v>
      </c>
      <c r="D38" s="816">
        <f t="shared" ref="D38:I38" si="12">+D39</f>
        <v>0</v>
      </c>
      <c r="E38" s="824">
        <f t="shared" si="12"/>
        <v>11000</v>
      </c>
      <c r="F38" s="816">
        <f t="shared" si="12"/>
        <v>1100</v>
      </c>
      <c r="G38" s="816">
        <f t="shared" si="12"/>
        <v>9900</v>
      </c>
      <c r="H38" s="816">
        <f t="shared" si="12"/>
        <v>0</v>
      </c>
      <c r="I38" s="816">
        <f t="shared" si="12"/>
        <v>9900</v>
      </c>
      <c r="J38" s="799"/>
      <c r="K38" s="799"/>
      <c r="L38" s="799"/>
      <c r="M38" s="799"/>
      <c r="N38" s="799"/>
      <c r="O38" s="799"/>
      <c r="P38" s="799"/>
      <c r="Q38" s="799"/>
      <c r="R38" s="799"/>
      <c r="S38" s="799"/>
      <c r="T38" s="799"/>
      <c r="U38" s="799"/>
      <c r="V38" s="799"/>
      <c r="W38" s="799"/>
      <c r="X38" s="799"/>
      <c r="Y38" s="799"/>
      <c r="Z38" s="799"/>
      <c r="AA38" s="799"/>
    </row>
    <row r="39" spans="1:27" ht="19.5" customHeight="1">
      <c r="A39" s="424"/>
      <c r="B39" s="809" t="s">
        <v>1501</v>
      </c>
      <c r="C39" s="364">
        <f>SUM(D39:E39)</f>
        <v>11000</v>
      </c>
      <c r="D39" s="364"/>
      <c r="E39" s="364">
        <v>11000</v>
      </c>
      <c r="F39" s="364">
        <f>+E39*0.1</f>
        <v>1100</v>
      </c>
      <c r="G39" s="364">
        <f>+C39-F39</f>
        <v>9900</v>
      </c>
      <c r="H39" s="364"/>
      <c r="I39" s="364">
        <f>+G39</f>
        <v>9900</v>
      </c>
      <c r="J39" s="799"/>
      <c r="K39" s="799"/>
      <c r="L39" s="799"/>
      <c r="M39" s="799"/>
      <c r="N39" s="799"/>
      <c r="O39" s="799"/>
      <c r="P39" s="799"/>
      <c r="Q39" s="799"/>
      <c r="R39" s="799"/>
      <c r="S39" s="799"/>
      <c r="T39" s="799"/>
      <c r="U39" s="799"/>
      <c r="V39" s="799"/>
      <c r="W39" s="799"/>
      <c r="X39" s="799"/>
      <c r="Y39" s="799"/>
      <c r="Z39" s="799"/>
      <c r="AA39" s="799"/>
    </row>
    <row r="40" spans="1:27" s="408" customFormat="1" ht="19.5" customHeight="1">
      <c r="A40" s="424">
        <v>3</v>
      </c>
      <c r="B40" s="830" t="s">
        <v>1535</v>
      </c>
      <c r="C40" s="810">
        <f>+C41</f>
        <v>4200</v>
      </c>
      <c r="D40" s="810">
        <f t="shared" ref="D40:I40" si="13">+D41</f>
        <v>0</v>
      </c>
      <c r="E40" s="810">
        <f t="shared" si="13"/>
        <v>4200</v>
      </c>
      <c r="F40" s="810">
        <f t="shared" si="13"/>
        <v>840</v>
      </c>
      <c r="G40" s="810">
        <f t="shared" si="13"/>
        <v>3360</v>
      </c>
      <c r="H40" s="810">
        <f t="shared" si="13"/>
        <v>0</v>
      </c>
      <c r="I40" s="810">
        <f t="shared" si="13"/>
        <v>3360</v>
      </c>
      <c r="J40" s="808"/>
      <c r="K40" s="808"/>
      <c r="L40" s="808"/>
      <c r="M40" s="808"/>
      <c r="N40" s="808"/>
      <c r="O40" s="808"/>
      <c r="P40" s="808"/>
      <c r="Q40" s="808"/>
      <c r="R40" s="808"/>
      <c r="S40" s="808"/>
      <c r="T40" s="808"/>
      <c r="U40" s="808"/>
      <c r="V40" s="808"/>
      <c r="W40" s="808"/>
      <c r="X40" s="808"/>
      <c r="Y40" s="808"/>
      <c r="Z40" s="808"/>
      <c r="AA40" s="808"/>
    </row>
    <row r="41" spans="1:27" ht="38.25" customHeight="1">
      <c r="A41" s="309"/>
      <c r="B41" s="283" t="s">
        <v>1502</v>
      </c>
      <c r="C41" s="364">
        <f>SUM(D41:E41)</f>
        <v>4200</v>
      </c>
      <c r="D41" s="364"/>
      <c r="E41" s="364">
        <v>4200</v>
      </c>
      <c r="F41" s="364">
        <f>+E41*0.2</f>
        <v>840</v>
      </c>
      <c r="G41" s="364">
        <f>+C41-F41</f>
        <v>3360</v>
      </c>
      <c r="H41" s="364"/>
      <c r="I41" s="364">
        <f>+G41</f>
        <v>3360</v>
      </c>
      <c r="J41" s="799"/>
      <c r="K41" s="799"/>
      <c r="L41" s="799"/>
      <c r="M41" s="799"/>
      <c r="N41" s="799"/>
      <c r="O41" s="799"/>
      <c r="P41" s="799"/>
      <c r="Q41" s="799"/>
      <c r="R41" s="799"/>
      <c r="S41" s="799"/>
      <c r="T41" s="799"/>
      <c r="U41" s="799"/>
      <c r="V41" s="799"/>
      <c r="W41" s="799"/>
      <c r="X41" s="799"/>
      <c r="Y41" s="799"/>
      <c r="Z41" s="799"/>
      <c r="AA41" s="799"/>
    </row>
    <row r="42" spans="1:27" s="408" customFormat="1" ht="25.5" customHeight="1">
      <c r="A42" s="424">
        <v>4</v>
      </c>
      <c r="B42" s="811" t="s">
        <v>1536</v>
      </c>
      <c r="C42" s="810">
        <f>+C43</f>
        <v>25000</v>
      </c>
      <c r="D42" s="810">
        <f t="shared" ref="D42:J42" si="14">+D43</f>
        <v>0</v>
      </c>
      <c r="E42" s="810">
        <f t="shared" si="14"/>
        <v>25000</v>
      </c>
      <c r="F42" s="810">
        <f t="shared" si="14"/>
        <v>18750</v>
      </c>
      <c r="G42" s="810">
        <f t="shared" si="14"/>
        <v>6250</v>
      </c>
      <c r="H42" s="810">
        <f t="shared" si="14"/>
        <v>2500</v>
      </c>
      <c r="I42" s="810">
        <f>+I43</f>
        <v>6250</v>
      </c>
      <c r="J42" s="812">
        <f t="shared" si="14"/>
        <v>0</v>
      </c>
      <c r="K42" s="808"/>
      <c r="L42" s="808"/>
      <c r="M42" s="808"/>
      <c r="N42" s="808"/>
      <c r="O42" s="808"/>
      <c r="P42" s="808"/>
      <c r="Q42" s="808"/>
      <c r="R42" s="808"/>
      <c r="S42" s="808"/>
      <c r="T42" s="808"/>
      <c r="U42" s="808"/>
      <c r="V42" s="808"/>
      <c r="W42" s="808"/>
      <c r="X42" s="808"/>
      <c r="Y42" s="808"/>
      <c r="Z42" s="808"/>
      <c r="AA42" s="808"/>
    </row>
    <row r="43" spans="1:27" ht="26.25" customHeight="1">
      <c r="A43" s="424"/>
      <c r="B43" s="809" t="s">
        <v>1503</v>
      </c>
      <c r="C43" s="364">
        <f>SUM(D43:E43)</f>
        <v>25000</v>
      </c>
      <c r="D43" s="364"/>
      <c r="E43" s="831">
        <v>25000</v>
      </c>
      <c r="F43" s="364">
        <f>+E43*0.75</f>
        <v>18750</v>
      </c>
      <c r="G43" s="364">
        <f>+C43-F43</f>
        <v>6250</v>
      </c>
      <c r="H43" s="818">
        <f>G43*40%</f>
        <v>2500</v>
      </c>
      <c r="I43" s="364">
        <f>+G43</f>
        <v>6250</v>
      </c>
      <c r="J43" s="799"/>
      <c r="K43" s="799"/>
      <c r="L43" s="799"/>
      <c r="M43" s="799"/>
      <c r="N43" s="799"/>
      <c r="O43" s="799"/>
      <c r="P43" s="799"/>
      <c r="Q43" s="799"/>
      <c r="R43" s="799"/>
      <c r="S43" s="799"/>
      <c r="T43" s="799"/>
      <c r="U43" s="799"/>
      <c r="V43" s="799"/>
      <c r="W43" s="799"/>
      <c r="X43" s="799"/>
      <c r="Y43" s="799"/>
      <c r="Z43" s="799"/>
      <c r="AA43" s="799"/>
    </row>
    <row r="44" spans="1:27" s="408" customFormat="1" ht="21" customHeight="1">
      <c r="A44" s="424">
        <v>5</v>
      </c>
      <c r="B44" s="811" t="s">
        <v>1537</v>
      </c>
      <c r="C44" s="810">
        <f t="shared" ref="C44:D44" si="15">+C45</f>
        <v>70000</v>
      </c>
      <c r="D44" s="810">
        <f t="shared" si="15"/>
        <v>0</v>
      </c>
      <c r="E44" s="810">
        <f>+E45</f>
        <v>70000</v>
      </c>
      <c r="F44" s="810">
        <f t="shared" ref="F44" si="16">+F45</f>
        <v>7000</v>
      </c>
      <c r="G44" s="810">
        <f>+G45</f>
        <v>63000</v>
      </c>
      <c r="H44" s="810">
        <f t="shared" ref="H44:I44" si="17">+H45</f>
        <v>25200</v>
      </c>
      <c r="I44" s="810">
        <f t="shared" si="17"/>
        <v>63000</v>
      </c>
      <c r="J44" s="808"/>
      <c r="K44" s="808"/>
      <c r="L44" s="808"/>
      <c r="M44" s="808"/>
      <c r="N44" s="808"/>
      <c r="O44" s="808"/>
      <c r="P44" s="808"/>
      <c r="Q44" s="808"/>
      <c r="R44" s="808"/>
      <c r="S44" s="808"/>
      <c r="T44" s="808"/>
      <c r="U44" s="808"/>
      <c r="V44" s="808"/>
      <c r="W44" s="808"/>
      <c r="X44" s="808"/>
      <c r="Y44" s="808"/>
      <c r="Z44" s="808"/>
      <c r="AA44" s="808"/>
    </row>
    <row r="45" spans="1:27" ht="21" customHeight="1">
      <c r="A45" s="424"/>
      <c r="B45" s="832" t="s">
        <v>1504</v>
      </c>
      <c r="C45" s="364">
        <f>SUM(D45:E45)</f>
        <v>70000</v>
      </c>
      <c r="D45" s="364"/>
      <c r="E45" s="364">
        <v>70000</v>
      </c>
      <c r="F45" s="364">
        <f>+E45*0.1</f>
        <v>7000</v>
      </c>
      <c r="G45" s="364">
        <f>+E45-F45</f>
        <v>63000</v>
      </c>
      <c r="H45" s="364">
        <f>+G45*0.4</f>
        <v>25200</v>
      </c>
      <c r="I45" s="364">
        <f>+G45</f>
        <v>63000</v>
      </c>
      <c r="J45" s="799"/>
      <c r="K45" s="799"/>
      <c r="L45" s="799"/>
      <c r="M45" s="799"/>
      <c r="N45" s="799"/>
      <c r="O45" s="799"/>
      <c r="P45" s="799"/>
      <c r="Q45" s="799"/>
      <c r="R45" s="799"/>
      <c r="S45" s="799"/>
      <c r="T45" s="799"/>
      <c r="U45" s="799"/>
      <c r="V45" s="799"/>
      <c r="W45" s="799"/>
      <c r="X45" s="799"/>
      <c r="Y45" s="799"/>
      <c r="Z45" s="799"/>
      <c r="AA45" s="799"/>
    </row>
    <row r="46" spans="1:27" s="408" customFormat="1" ht="27.75" customHeight="1">
      <c r="A46" s="821">
        <v>6</v>
      </c>
      <c r="B46" s="225" t="s">
        <v>1538</v>
      </c>
      <c r="C46" s="816">
        <f>+C47</f>
        <v>15000</v>
      </c>
      <c r="D46" s="816">
        <f t="shared" ref="D46:I46" si="18">+D47</f>
        <v>0</v>
      </c>
      <c r="E46" s="816">
        <f t="shared" si="18"/>
        <v>15000</v>
      </c>
      <c r="F46" s="816">
        <f t="shared" si="18"/>
        <v>0</v>
      </c>
      <c r="G46" s="816">
        <f t="shared" si="18"/>
        <v>15000</v>
      </c>
      <c r="H46" s="816">
        <f t="shared" si="18"/>
        <v>6000</v>
      </c>
      <c r="I46" s="816">
        <f t="shared" si="18"/>
        <v>15000</v>
      </c>
      <c r="J46" s="808"/>
      <c r="K46" s="808"/>
      <c r="L46" s="808"/>
      <c r="M46" s="808"/>
      <c r="N46" s="808"/>
      <c r="O46" s="808"/>
      <c r="P46" s="808"/>
      <c r="Q46" s="808"/>
      <c r="R46" s="808"/>
      <c r="S46" s="808"/>
      <c r="T46" s="808"/>
      <c r="U46" s="808"/>
      <c r="V46" s="808"/>
      <c r="W46" s="808"/>
      <c r="X46" s="808"/>
      <c r="Y46" s="808"/>
      <c r="Z46" s="808"/>
      <c r="AA46" s="808"/>
    </row>
    <row r="47" spans="1:27" ht="21" customHeight="1">
      <c r="A47" s="822"/>
      <c r="B47" s="823" t="s">
        <v>1505</v>
      </c>
      <c r="C47" s="364">
        <f>SUM(D47:E47)</f>
        <v>15000</v>
      </c>
      <c r="D47" s="817"/>
      <c r="E47" s="817">
        <v>15000</v>
      </c>
      <c r="F47" s="817"/>
      <c r="G47" s="818">
        <f t="shared" ref="G47" si="19">C47</f>
        <v>15000</v>
      </c>
      <c r="H47" s="818">
        <f>G47*40%</f>
        <v>6000</v>
      </c>
      <c r="I47" s="818">
        <f t="shared" ref="I47" si="20">G47</f>
        <v>15000</v>
      </c>
      <c r="J47" s="799"/>
      <c r="K47" s="799"/>
      <c r="L47" s="799"/>
      <c r="M47" s="799"/>
      <c r="N47" s="799"/>
      <c r="O47" s="799"/>
      <c r="P47" s="799"/>
      <c r="Q47" s="799"/>
      <c r="R47" s="799"/>
      <c r="S47" s="799"/>
      <c r="T47" s="799"/>
      <c r="U47" s="799"/>
      <c r="V47" s="799"/>
      <c r="W47" s="799"/>
      <c r="X47" s="799"/>
      <c r="Y47" s="799"/>
      <c r="Z47" s="799"/>
      <c r="AA47" s="799"/>
    </row>
    <row r="48" spans="1:27" s="408" customFormat="1" ht="29.25" customHeight="1">
      <c r="A48" s="821">
        <v>7</v>
      </c>
      <c r="B48" s="434" t="s">
        <v>1539</v>
      </c>
      <c r="C48" s="816">
        <f>SUM(C49:C49)</f>
        <v>50000</v>
      </c>
      <c r="D48" s="816">
        <f t="shared" ref="D48:J48" si="21">SUM(D49:D49)</f>
        <v>0</v>
      </c>
      <c r="E48" s="816">
        <f t="shared" si="21"/>
        <v>50000</v>
      </c>
      <c r="F48" s="816">
        <f t="shared" si="21"/>
        <v>5000</v>
      </c>
      <c r="G48" s="816">
        <f t="shared" si="21"/>
        <v>45000</v>
      </c>
      <c r="H48" s="816">
        <f t="shared" si="21"/>
        <v>18000</v>
      </c>
      <c r="I48" s="816">
        <f t="shared" si="21"/>
        <v>45000</v>
      </c>
      <c r="J48" s="816">
        <f t="shared" si="21"/>
        <v>0</v>
      </c>
      <c r="K48" s="808"/>
      <c r="L48" s="808"/>
      <c r="M48" s="808"/>
      <c r="N48" s="808"/>
      <c r="O48" s="808"/>
      <c r="P48" s="808"/>
      <c r="Q48" s="808"/>
      <c r="R48" s="808"/>
      <c r="S48" s="808"/>
      <c r="T48" s="808"/>
      <c r="U48" s="808"/>
      <c r="V48" s="808"/>
      <c r="W48" s="808"/>
      <c r="X48" s="808"/>
      <c r="Y48" s="808"/>
      <c r="Z48" s="808"/>
      <c r="AA48" s="808"/>
    </row>
    <row r="49" spans="1:9" ht="22.5" customHeight="1">
      <c r="A49" s="617"/>
      <c r="B49" s="617" t="s">
        <v>1507</v>
      </c>
      <c r="C49" s="813">
        <f>SUM(D49:E49)</f>
        <v>50000</v>
      </c>
      <c r="D49" s="617"/>
      <c r="E49" s="645">
        <v>50000</v>
      </c>
      <c r="F49" s="813">
        <f t="shared" ref="F49" si="22">+E49*0.1</f>
        <v>5000</v>
      </c>
      <c r="G49" s="813">
        <f t="shared" ref="G49" si="23">+E49-F49</f>
        <v>45000</v>
      </c>
      <c r="H49" s="813">
        <f t="shared" ref="H49" si="24">+G49*0.4</f>
        <v>18000</v>
      </c>
      <c r="I49" s="813">
        <f t="shared" ref="I49" si="25">+G49</f>
        <v>45000</v>
      </c>
    </row>
    <row r="50" spans="1:9" s="802" customFormat="1" ht="15"/>
  </sheetData>
  <mergeCells count="13">
    <mergeCell ref="I6:I7"/>
    <mergeCell ref="H1:I1"/>
    <mergeCell ref="A4:I4"/>
    <mergeCell ref="A2:I2"/>
    <mergeCell ref="A3:I3"/>
    <mergeCell ref="H5:I5"/>
    <mergeCell ref="A6:A7"/>
    <mergeCell ref="B6:B7"/>
    <mergeCell ref="C6:C7"/>
    <mergeCell ref="D6:E6"/>
    <mergeCell ref="F6:F7"/>
    <mergeCell ref="G6:G7"/>
    <mergeCell ref="H6:H7"/>
  </mergeCells>
  <pageMargins left="0.78740157480314965" right="0.31496062992125984" top="0.62992125984251968" bottom="0.35433070866141736" header="0.31496062992125984" footer="0.31496062992125984"/>
  <pageSetup paperSize="8" scale="95"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8"/>
  <sheetViews>
    <sheetView topLeftCell="A67" zoomScaleNormal="100" workbookViewId="0">
      <selection activeCell="C86" sqref="C86"/>
    </sheetView>
  </sheetViews>
  <sheetFormatPr defaultRowHeight="15.75"/>
  <cols>
    <col min="1" max="1" width="5.125" style="739" customWidth="1"/>
    <col min="2" max="2" width="46.25" style="740" customWidth="1"/>
    <col min="3" max="3" width="116.75" style="740" customWidth="1"/>
    <col min="4" max="4" width="14.25" style="744" customWidth="1"/>
    <col min="5" max="5" width="0" style="345" hidden="1" customWidth="1"/>
    <col min="6" max="6" width="15" style="345" customWidth="1"/>
    <col min="7" max="7" width="13" style="345" bestFit="1" customWidth="1"/>
    <col min="8" max="253" width="9" style="345"/>
    <col min="254" max="254" width="8.125" style="345" customWidth="1"/>
    <col min="255" max="255" width="36" style="345" customWidth="1"/>
    <col min="256" max="256" width="79.75" style="345" customWidth="1"/>
    <col min="257" max="257" width="16.125" style="345" customWidth="1"/>
    <col min="258" max="509" width="9" style="345"/>
    <col min="510" max="510" width="8.125" style="345" customWidth="1"/>
    <col min="511" max="511" width="36" style="345" customWidth="1"/>
    <col min="512" max="512" width="79.75" style="345" customWidth="1"/>
    <col min="513" max="513" width="16.125" style="345" customWidth="1"/>
    <col min="514" max="765" width="9" style="345"/>
    <col min="766" max="766" width="8.125" style="345" customWidth="1"/>
    <col min="767" max="767" width="36" style="345" customWidth="1"/>
    <col min="768" max="768" width="79.75" style="345" customWidth="1"/>
    <col min="769" max="769" width="16.125" style="345" customWidth="1"/>
    <col min="770" max="1021" width="9" style="345"/>
    <col min="1022" max="1022" width="8.125" style="345" customWidth="1"/>
    <col min="1023" max="1023" width="36" style="345" customWidth="1"/>
    <col min="1024" max="1024" width="79.75" style="345" customWidth="1"/>
    <col min="1025" max="1025" width="16.125" style="345" customWidth="1"/>
    <col min="1026" max="1277" width="9" style="345"/>
    <col min="1278" max="1278" width="8.125" style="345" customWidth="1"/>
    <col min="1279" max="1279" width="36" style="345" customWidth="1"/>
    <col min="1280" max="1280" width="79.75" style="345" customWidth="1"/>
    <col min="1281" max="1281" width="16.125" style="345" customWidth="1"/>
    <col min="1282" max="1533" width="9" style="345"/>
    <col min="1534" max="1534" width="8.125" style="345" customWidth="1"/>
    <col min="1535" max="1535" width="36" style="345" customWidth="1"/>
    <col min="1536" max="1536" width="79.75" style="345" customWidth="1"/>
    <col min="1537" max="1537" width="16.125" style="345" customWidth="1"/>
    <col min="1538" max="1789" width="9" style="345"/>
    <col min="1790" max="1790" width="8.125" style="345" customWidth="1"/>
    <col min="1791" max="1791" width="36" style="345" customWidth="1"/>
    <col min="1792" max="1792" width="79.75" style="345" customWidth="1"/>
    <col min="1793" max="1793" width="16.125" style="345" customWidth="1"/>
    <col min="1794" max="2045" width="9" style="345"/>
    <col min="2046" max="2046" width="8.125" style="345" customWidth="1"/>
    <col min="2047" max="2047" width="36" style="345" customWidth="1"/>
    <col min="2048" max="2048" width="79.75" style="345" customWidth="1"/>
    <col min="2049" max="2049" width="16.125" style="345" customWidth="1"/>
    <col min="2050" max="2301" width="9" style="345"/>
    <col min="2302" max="2302" width="8.125" style="345" customWidth="1"/>
    <col min="2303" max="2303" width="36" style="345" customWidth="1"/>
    <col min="2304" max="2304" width="79.75" style="345" customWidth="1"/>
    <col min="2305" max="2305" width="16.125" style="345" customWidth="1"/>
    <col min="2306" max="2557" width="9" style="345"/>
    <col min="2558" max="2558" width="8.125" style="345" customWidth="1"/>
    <col min="2559" max="2559" width="36" style="345" customWidth="1"/>
    <col min="2560" max="2560" width="79.75" style="345" customWidth="1"/>
    <col min="2561" max="2561" width="16.125" style="345" customWidth="1"/>
    <col min="2562" max="2813" width="9" style="345"/>
    <col min="2814" max="2814" width="8.125" style="345" customWidth="1"/>
    <col min="2815" max="2815" width="36" style="345" customWidth="1"/>
    <col min="2816" max="2816" width="79.75" style="345" customWidth="1"/>
    <col min="2817" max="2817" width="16.125" style="345" customWidth="1"/>
    <col min="2818" max="3069" width="9" style="345"/>
    <col min="3070" max="3070" width="8.125" style="345" customWidth="1"/>
    <col min="3071" max="3071" width="36" style="345" customWidth="1"/>
    <col min="3072" max="3072" width="79.75" style="345" customWidth="1"/>
    <col min="3073" max="3073" width="16.125" style="345" customWidth="1"/>
    <col min="3074" max="3325" width="9" style="345"/>
    <col min="3326" max="3326" width="8.125" style="345" customWidth="1"/>
    <col min="3327" max="3327" width="36" style="345" customWidth="1"/>
    <col min="3328" max="3328" width="79.75" style="345" customWidth="1"/>
    <col min="3329" max="3329" width="16.125" style="345" customWidth="1"/>
    <col min="3330" max="3581" width="9" style="345"/>
    <col min="3582" max="3582" width="8.125" style="345" customWidth="1"/>
    <col min="3583" max="3583" width="36" style="345" customWidth="1"/>
    <col min="3584" max="3584" width="79.75" style="345" customWidth="1"/>
    <col min="3585" max="3585" width="16.125" style="345" customWidth="1"/>
    <col min="3586" max="3837" width="9" style="345"/>
    <col min="3838" max="3838" width="8.125" style="345" customWidth="1"/>
    <col min="3839" max="3839" width="36" style="345" customWidth="1"/>
    <col min="3840" max="3840" width="79.75" style="345" customWidth="1"/>
    <col min="3841" max="3841" width="16.125" style="345" customWidth="1"/>
    <col min="3842" max="4093" width="9" style="345"/>
    <col min="4094" max="4094" width="8.125" style="345" customWidth="1"/>
    <col min="4095" max="4095" width="36" style="345" customWidth="1"/>
    <col min="4096" max="4096" width="79.75" style="345" customWidth="1"/>
    <col min="4097" max="4097" width="16.125" style="345" customWidth="1"/>
    <col min="4098" max="4349" width="9" style="345"/>
    <col min="4350" max="4350" width="8.125" style="345" customWidth="1"/>
    <col min="4351" max="4351" width="36" style="345" customWidth="1"/>
    <col min="4352" max="4352" width="79.75" style="345" customWidth="1"/>
    <col min="4353" max="4353" width="16.125" style="345" customWidth="1"/>
    <col min="4354" max="4605" width="9" style="345"/>
    <col min="4606" max="4606" width="8.125" style="345" customWidth="1"/>
    <col min="4607" max="4607" width="36" style="345" customWidth="1"/>
    <col min="4608" max="4608" width="79.75" style="345" customWidth="1"/>
    <col min="4609" max="4609" width="16.125" style="345" customWidth="1"/>
    <col min="4610" max="4861" width="9" style="345"/>
    <col min="4862" max="4862" width="8.125" style="345" customWidth="1"/>
    <col min="4863" max="4863" width="36" style="345" customWidth="1"/>
    <col min="4864" max="4864" width="79.75" style="345" customWidth="1"/>
    <col min="4865" max="4865" width="16.125" style="345" customWidth="1"/>
    <col min="4866" max="5117" width="9" style="345"/>
    <col min="5118" max="5118" width="8.125" style="345" customWidth="1"/>
    <col min="5119" max="5119" width="36" style="345" customWidth="1"/>
    <col min="5120" max="5120" width="79.75" style="345" customWidth="1"/>
    <col min="5121" max="5121" width="16.125" style="345" customWidth="1"/>
    <col min="5122" max="5373" width="9" style="345"/>
    <col min="5374" max="5374" width="8.125" style="345" customWidth="1"/>
    <col min="5375" max="5375" width="36" style="345" customWidth="1"/>
    <col min="5376" max="5376" width="79.75" style="345" customWidth="1"/>
    <col min="5377" max="5377" width="16.125" style="345" customWidth="1"/>
    <col min="5378" max="5629" width="9" style="345"/>
    <col min="5630" max="5630" width="8.125" style="345" customWidth="1"/>
    <col min="5631" max="5631" width="36" style="345" customWidth="1"/>
    <col min="5632" max="5632" width="79.75" style="345" customWidth="1"/>
    <col min="5633" max="5633" width="16.125" style="345" customWidth="1"/>
    <col min="5634" max="5885" width="9" style="345"/>
    <col min="5886" max="5886" width="8.125" style="345" customWidth="1"/>
    <col min="5887" max="5887" width="36" style="345" customWidth="1"/>
    <col min="5888" max="5888" width="79.75" style="345" customWidth="1"/>
    <col min="5889" max="5889" width="16.125" style="345" customWidth="1"/>
    <col min="5890" max="6141" width="9" style="345"/>
    <col min="6142" max="6142" width="8.125" style="345" customWidth="1"/>
    <col min="6143" max="6143" width="36" style="345" customWidth="1"/>
    <col min="6144" max="6144" width="79.75" style="345" customWidth="1"/>
    <col min="6145" max="6145" width="16.125" style="345" customWidth="1"/>
    <col min="6146" max="6397" width="9" style="345"/>
    <col min="6398" max="6398" width="8.125" style="345" customWidth="1"/>
    <col min="6399" max="6399" width="36" style="345" customWidth="1"/>
    <col min="6400" max="6400" width="79.75" style="345" customWidth="1"/>
    <col min="6401" max="6401" width="16.125" style="345" customWidth="1"/>
    <col min="6402" max="6653" width="9" style="345"/>
    <col min="6654" max="6654" width="8.125" style="345" customWidth="1"/>
    <col min="6655" max="6655" width="36" style="345" customWidth="1"/>
    <col min="6656" max="6656" width="79.75" style="345" customWidth="1"/>
    <col min="6657" max="6657" width="16.125" style="345" customWidth="1"/>
    <col min="6658" max="6909" width="9" style="345"/>
    <col min="6910" max="6910" width="8.125" style="345" customWidth="1"/>
    <col min="6911" max="6911" width="36" style="345" customWidth="1"/>
    <col min="6912" max="6912" width="79.75" style="345" customWidth="1"/>
    <col min="6913" max="6913" width="16.125" style="345" customWidth="1"/>
    <col min="6914" max="7165" width="9" style="345"/>
    <col min="7166" max="7166" width="8.125" style="345" customWidth="1"/>
    <col min="7167" max="7167" width="36" style="345" customWidth="1"/>
    <col min="7168" max="7168" width="79.75" style="345" customWidth="1"/>
    <col min="7169" max="7169" width="16.125" style="345" customWidth="1"/>
    <col min="7170" max="7421" width="9" style="345"/>
    <col min="7422" max="7422" width="8.125" style="345" customWidth="1"/>
    <col min="7423" max="7423" width="36" style="345" customWidth="1"/>
    <col min="7424" max="7424" width="79.75" style="345" customWidth="1"/>
    <col min="7425" max="7425" width="16.125" style="345" customWidth="1"/>
    <col min="7426" max="7677" width="9" style="345"/>
    <col min="7678" max="7678" width="8.125" style="345" customWidth="1"/>
    <col min="7679" max="7679" width="36" style="345" customWidth="1"/>
    <col min="7680" max="7680" width="79.75" style="345" customWidth="1"/>
    <col min="7681" max="7681" width="16.125" style="345" customWidth="1"/>
    <col min="7682" max="7933" width="9" style="345"/>
    <col min="7934" max="7934" width="8.125" style="345" customWidth="1"/>
    <col min="7935" max="7935" width="36" style="345" customWidth="1"/>
    <col min="7936" max="7936" width="79.75" style="345" customWidth="1"/>
    <col min="7937" max="7937" width="16.125" style="345" customWidth="1"/>
    <col min="7938" max="8189" width="9" style="345"/>
    <col min="8190" max="8190" width="8.125" style="345" customWidth="1"/>
    <col min="8191" max="8191" width="36" style="345" customWidth="1"/>
    <col min="8192" max="8192" width="79.75" style="345" customWidth="1"/>
    <col min="8193" max="8193" width="16.125" style="345" customWidth="1"/>
    <col min="8194" max="8445" width="9" style="345"/>
    <col min="8446" max="8446" width="8.125" style="345" customWidth="1"/>
    <col min="8447" max="8447" width="36" style="345" customWidth="1"/>
    <col min="8448" max="8448" width="79.75" style="345" customWidth="1"/>
    <col min="8449" max="8449" width="16.125" style="345" customWidth="1"/>
    <col min="8450" max="8701" width="9" style="345"/>
    <col min="8702" max="8702" width="8.125" style="345" customWidth="1"/>
    <col min="8703" max="8703" width="36" style="345" customWidth="1"/>
    <col min="8704" max="8704" width="79.75" style="345" customWidth="1"/>
    <col min="8705" max="8705" width="16.125" style="345" customWidth="1"/>
    <col min="8706" max="8957" width="9" style="345"/>
    <col min="8958" max="8958" width="8.125" style="345" customWidth="1"/>
    <col min="8959" max="8959" width="36" style="345" customWidth="1"/>
    <col min="8960" max="8960" width="79.75" style="345" customWidth="1"/>
    <col min="8961" max="8961" width="16.125" style="345" customWidth="1"/>
    <col min="8962" max="9213" width="9" style="345"/>
    <col min="9214" max="9214" width="8.125" style="345" customWidth="1"/>
    <col min="9215" max="9215" width="36" style="345" customWidth="1"/>
    <col min="9216" max="9216" width="79.75" style="345" customWidth="1"/>
    <col min="9217" max="9217" width="16.125" style="345" customWidth="1"/>
    <col min="9218" max="9469" width="9" style="345"/>
    <col min="9470" max="9470" width="8.125" style="345" customWidth="1"/>
    <col min="9471" max="9471" width="36" style="345" customWidth="1"/>
    <col min="9472" max="9472" width="79.75" style="345" customWidth="1"/>
    <col min="9473" max="9473" width="16.125" style="345" customWidth="1"/>
    <col min="9474" max="9725" width="9" style="345"/>
    <col min="9726" max="9726" width="8.125" style="345" customWidth="1"/>
    <col min="9727" max="9727" width="36" style="345" customWidth="1"/>
    <col min="9728" max="9728" width="79.75" style="345" customWidth="1"/>
    <col min="9729" max="9729" width="16.125" style="345" customWidth="1"/>
    <col min="9730" max="9981" width="9" style="345"/>
    <col min="9982" max="9982" width="8.125" style="345" customWidth="1"/>
    <col min="9983" max="9983" width="36" style="345" customWidth="1"/>
    <col min="9984" max="9984" width="79.75" style="345" customWidth="1"/>
    <col min="9985" max="9985" width="16.125" style="345" customWidth="1"/>
    <col min="9986" max="10237" width="9" style="345"/>
    <col min="10238" max="10238" width="8.125" style="345" customWidth="1"/>
    <col min="10239" max="10239" width="36" style="345" customWidth="1"/>
    <col min="10240" max="10240" width="79.75" style="345" customWidth="1"/>
    <col min="10241" max="10241" width="16.125" style="345" customWidth="1"/>
    <col min="10242" max="10493" width="9" style="345"/>
    <col min="10494" max="10494" width="8.125" style="345" customWidth="1"/>
    <col min="10495" max="10495" width="36" style="345" customWidth="1"/>
    <col min="10496" max="10496" width="79.75" style="345" customWidth="1"/>
    <col min="10497" max="10497" width="16.125" style="345" customWidth="1"/>
    <col min="10498" max="10749" width="9" style="345"/>
    <col min="10750" max="10750" width="8.125" style="345" customWidth="1"/>
    <col min="10751" max="10751" width="36" style="345" customWidth="1"/>
    <col min="10752" max="10752" width="79.75" style="345" customWidth="1"/>
    <col min="10753" max="10753" width="16.125" style="345" customWidth="1"/>
    <col min="10754" max="11005" width="9" style="345"/>
    <col min="11006" max="11006" width="8.125" style="345" customWidth="1"/>
    <col min="11007" max="11007" width="36" style="345" customWidth="1"/>
    <col min="11008" max="11008" width="79.75" style="345" customWidth="1"/>
    <col min="11009" max="11009" width="16.125" style="345" customWidth="1"/>
    <col min="11010" max="11261" width="9" style="345"/>
    <col min="11262" max="11262" width="8.125" style="345" customWidth="1"/>
    <col min="11263" max="11263" width="36" style="345" customWidth="1"/>
    <col min="11264" max="11264" width="79.75" style="345" customWidth="1"/>
    <col min="11265" max="11265" width="16.125" style="345" customWidth="1"/>
    <col min="11266" max="11517" width="9" style="345"/>
    <col min="11518" max="11518" width="8.125" style="345" customWidth="1"/>
    <col min="11519" max="11519" width="36" style="345" customWidth="1"/>
    <col min="11520" max="11520" width="79.75" style="345" customWidth="1"/>
    <col min="11521" max="11521" width="16.125" style="345" customWidth="1"/>
    <col min="11522" max="11773" width="9" style="345"/>
    <col min="11774" max="11774" width="8.125" style="345" customWidth="1"/>
    <col min="11775" max="11775" width="36" style="345" customWidth="1"/>
    <col min="11776" max="11776" width="79.75" style="345" customWidth="1"/>
    <col min="11777" max="11777" width="16.125" style="345" customWidth="1"/>
    <col min="11778" max="12029" width="9" style="345"/>
    <col min="12030" max="12030" width="8.125" style="345" customWidth="1"/>
    <col min="12031" max="12031" width="36" style="345" customWidth="1"/>
    <col min="12032" max="12032" width="79.75" style="345" customWidth="1"/>
    <col min="12033" max="12033" width="16.125" style="345" customWidth="1"/>
    <col min="12034" max="12285" width="9" style="345"/>
    <col min="12286" max="12286" width="8.125" style="345" customWidth="1"/>
    <col min="12287" max="12287" width="36" style="345" customWidth="1"/>
    <col min="12288" max="12288" width="79.75" style="345" customWidth="1"/>
    <col min="12289" max="12289" width="16.125" style="345" customWidth="1"/>
    <col min="12290" max="12541" width="9" style="345"/>
    <col min="12542" max="12542" width="8.125" style="345" customWidth="1"/>
    <col min="12543" max="12543" width="36" style="345" customWidth="1"/>
    <col min="12544" max="12544" width="79.75" style="345" customWidth="1"/>
    <col min="12545" max="12545" width="16.125" style="345" customWidth="1"/>
    <col min="12546" max="12797" width="9" style="345"/>
    <col min="12798" max="12798" width="8.125" style="345" customWidth="1"/>
    <col min="12799" max="12799" width="36" style="345" customWidth="1"/>
    <col min="12800" max="12800" width="79.75" style="345" customWidth="1"/>
    <col min="12801" max="12801" width="16.125" style="345" customWidth="1"/>
    <col min="12802" max="13053" width="9" style="345"/>
    <col min="13054" max="13054" width="8.125" style="345" customWidth="1"/>
    <col min="13055" max="13055" width="36" style="345" customWidth="1"/>
    <col min="13056" max="13056" width="79.75" style="345" customWidth="1"/>
    <col min="13057" max="13057" width="16.125" style="345" customWidth="1"/>
    <col min="13058" max="13309" width="9" style="345"/>
    <col min="13310" max="13310" width="8.125" style="345" customWidth="1"/>
    <col min="13311" max="13311" width="36" style="345" customWidth="1"/>
    <col min="13312" max="13312" width="79.75" style="345" customWidth="1"/>
    <col min="13313" max="13313" width="16.125" style="345" customWidth="1"/>
    <col min="13314" max="13565" width="9" style="345"/>
    <col min="13566" max="13566" width="8.125" style="345" customWidth="1"/>
    <col min="13567" max="13567" width="36" style="345" customWidth="1"/>
    <col min="13568" max="13568" width="79.75" style="345" customWidth="1"/>
    <col min="13569" max="13569" width="16.125" style="345" customWidth="1"/>
    <col min="13570" max="13821" width="9" style="345"/>
    <col min="13822" max="13822" width="8.125" style="345" customWidth="1"/>
    <col min="13823" max="13823" width="36" style="345" customWidth="1"/>
    <col min="13824" max="13824" width="79.75" style="345" customWidth="1"/>
    <col min="13825" max="13825" width="16.125" style="345" customWidth="1"/>
    <col min="13826" max="14077" width="9" style="345"/>
    <col min="14078" max="14078" width="8.125" style="345" customWidth="1"/>
    <col min="14079" max="14079" width="36" style="345" customWidth="1"/>
    <col min="14080" max="14080" width="79.75" style="345" customWidth="1"/>
    <col min="14081" max="14081" width="16.125" style="345" customWidth="1"/>
    <col min="14082" max="14333" width="9" style="345"/>
    <col min="14334" max="14334" width="8.125" style="345" customWidth="1"/>
    <col min="14335" max="14335" width="36" style="345" customWidth="1"/>
    <col min="14336" max="14336" width="79.75" style="345" customWidth="1"/>
    <col min="14337" max="14337" width="16.125" style="345" customWidth="1"/>
    <col min="14338" max="14589" width="9" style="345"/>
    <col min="14590" max="14590" width="8.125" style="345" customWidth="1"/>
    <col min="14591" max="14591" width="36" style="345" customWidth="1"/>
    <col min="14592" max="14592" width="79.75" style="345" customWidth="1"/>
    <col min="14593" max="14593" width="16.125" style="345" customWidth="1"/>
    <col min="14594" max="14845" width="9" style="345"/>
    <col min="14846" max="14846" width="8.125" style="345" customWidth="1"/>
    <col min="14847" max="14847" width="36" style="345" customWidth="1"/>
    <col min="14848" max="14848" width="79.75" style="345" customWidth="1"/>
    <col min="14849" max="14849" width="16.125" style="345" customWidth="1"/>
    <col min="14850" max="15101" width="9" style="345"/>
    <col min="15102" max="15102" width="8.125" style="345" customWidth="1"/>
    <col min="15103" max="15103" width="36" style="345" customWidth="1"/>
    <col min="15104" max="15104" width="79.75" style="345" customWidth="1"/>
    <col min="15105" max="15105" width="16.125" style="345" customWidth="1"/>
    <col min="15106" max="15357" width="9" style="345"/>
    <col min="15358" max="15358" width="8.125" style="345" customWidth="1"/>
    <col min="15359" max="15359" width="36" style="345" customWidth="1"/>
    <col min="15360" max="15360" width="79.75" style="345" customWidth="1"/>
    <col min="15361" max="15361" width="16.125" style="345" customWidth="1"/>
    <col min="15362" max="15613" width="9" style="345"/>
    <col min="15614" max="15614" width="8.125" style="345" customWidth="1"/>
    <col min="15615" max="15615" width="36" style="345" customWidth="1"/>
    <col min="15616" max="15616" width="79.75" style="345" customWidth="1"/>
    <col min="15617" max="15617" width="16.125" style="345" customWidth="1"/>
    <col min="15618" max="15869" width="9" style="345"/>
    <col min="15870" max="15870" width="8.125" style="345" customWidth="1"/>
    <col min="15871" max="15871" width="36" style="345" customWidth="1"/>
    <col min="15872" max="15872" width="79.75" style="345" customWidth="1"/>
    <col min="15873" max="15873" width="16.125" style="345" customWidth="1"/>
    <col min="15874" max="16125" width="9" style="345"/>
    <col min="16126" max="16126" width="8.125" style="345" customWidth="1"/>
    <col min="16127" max="16127" width="36" style="345" customWidth="1"/>
    <col min="16128" max="16128" width="79.75" style="345" customWidth="1"/>
    <col min="16129" max="16129" width="16.125" style="345" customWidth="1"/>
    <col min="16130" max="16384" width="9" style="345"/>
  </cols>
  <sheetData>
    <row r="1" spans="1:7" s="738" customFormat="1" ht="39.75" customHeight="1">
      <c r="A1" s="1295" t="s">
        <v>1440</v>
      </c>
      <c r="B1" s="1295"/>
      <c r="C1" s="1295"/>
      <c r="D1" s="1295"/>
    </row>
    <row r="2" spans="1:7">
      <c r="A2" s="1296" t="str">
        <f>+'5.Chi tiet huyen '!A4:K4</f>
        <v xml:space="preserve">(Kèm theo Nghị quyết  số      /NQ-HĐND ngày       /12/2024 của Hội đồng nhân dân huyện Na Rì) </v>
      </c>
      <c r="B2" s="1296"/>
      <c r="C2" s="1296"/>
      <c r="D2" s="1296"/>
    </row>
    <row r="3" spans="1:7">
      <c r="C3" s="1297" t="s">
        <v>905</v>
      </c>
      <c r="D3" s="1297"/>
    </row>
    <row r="4" spans="1:7" ht="28.5" customHeight="1">
      <c r="A4" s="741" t="s">
        <v>71</v>
      </c>
      <c r="B4" s="741" t="s">
        <v>495</v>
      </c>
      <c r="C4" s="741" t="s">
        <v>1185</v>
      </c>
      <c r="D4" s="742" t="s">
        <v>667</v>
      </c>
    </row>
    <row r="5" spans="1:7" ht="28.5" customHeight="1">
      <c r="A5" s="741"/>
      <c r="B5" s="741" t="s">
        <v>1443</v>
      </c>
      <c r="C5" s="741"/>
      <c r="D5" s="743" t="e">
        <f>+D6+D13+D31+D35+D39+D42+D47+D50+D55+D60</f>
        <v>#REF!</v>
      </c>
    </row>
    <row r="6" spans="1:7" s="323" customFormat="1" ht="27" customHeight="1">
      <c r="A6" s="327">
        <v>1</v>
      </c>
      <c r="B6" s="328" t="s">
        <v>1136</v>
      </c>
      <c r="C6" s="326"/>
      <c r="D6" s="358" t="e">
        <f>SUM(D7:D12)</f>
        <v>#REF!</v>
      </c>
    </row>
    <row r="7" spans="1:7" s="323" customFormat="1" ht="21.75" customHeight="1">
      <c r="A7" s="1294"/>
      <c r="B7" s="1294"/>
      <c r="C7" s="339" t="s">
        <v>1201</v>
      </c>
      <c r="D7" s="357">
        <v>1384400</v>
      </c>
      <c r="G7" s="359"/>
    </row>
    <row r="8" spans="1:7" s="323" customFormat="1">
      <c r="A8" s="1289"/>
      <c r="B8" s="1289"/>
      <c r="C8" s="356" t="s">
        <v>1198</v>
      </c>
      <c r="D8" s="357" t="e">
        <f>+#REF!/1000</f>
        <v>#REF!</v>
      </c>
    </row>
    <row r="9" spans="1:7" s="323" customFormat="1">
      <c r="A9" s="1289"/>
      <c r="B9" s="1289"/>
      <c r="C9" s="356" t="s">
        <v>1199</v>
      </c>
      <c r="D9" s="357" t="e">
        <f>+#REF!/1000</f>
        <v>#REF!</v>
      </c>
    </row>
    <row r="10" spans="1:7" s="323" customFormat="1">
      <c r="A10" s="1289"/>
      <c r="B10" s="1289"/>
      <c r="C10" s="356" t="s">
        <v>1200</v>
      </c>
      <c r="D10" s="357" t="e">
        <f>+#REF!/1000</f>
        <v>#REF!</v>
      </c>
    </row>
    <row r="11" spans="1:7" s="323" customFormat="1">
      <c r="A11" s="1289"/>
      <c r="B11" s="1289"/>
      <c r="C11" s="360" t="s">
        <v>1162</v>
      </c>
      <c r="D11" s="357" t="e">
        <f>+#REF!/1000</f>
        <v>#REF!</v>
      </c>
    </row>
    <row r="12" spans="1:7" s="323" customFormat="1">
      <c r="A12" s="1290"/>
      <c r="B12" s="1290"/>
      <c r="C12" s="361" t="s">
        <v>1163</v>
      </c>
      <c r="D12" s="357" t="e">
        <f>+#REF!/1000</f>
        <v>#REF!</v>
      </c>
    </row>
    <row r="13" spans="1:7" s="323" customFormat="1" ht="22.5" customHeight="1">
      <c r="A13" s="327">
        <v>2</v>
      </c>
      <c r="B13" s="328" t="s">
        <v>1186</v>
      </c>
      <c r="C13" s="328"/>
      <c r="D13" s="329">
        <f>+D14+D24+D28+D29+D30</f>
        <v>4538900</v>
      </c>
      <c r="E13" s="330" t="e">
        <f>D13+#REF!+#REF!+D31+#REF!+D35+D39+#REF!+D42+D47+D50+D55+D60+D176+#REF!+D178+D181+#REF!+#REF!+#REF!+#REF!+#REF!+#REF!+#REF!+#REF!+#REF!+#REF!+#REF!+D63+#REF!+D67+D77+#REF!+#REF!+#REF!+#REF!+#REF!+#REF!+#REF!+#REF!+#REF!+#REF!+#REF!+#REF!+#REF!+#REF!+#REF!+#REF!+#REF!+#REF!+#REF!+#REF!+#REF!++#REF!+#REF!+#REF!+#REF!+#REF!+#REF!+#REF!+SUM(#REF!)</f>
        <v>#REF!</v>
      </c>
    </row>
    <row r="14" spans="1:7" s="323" customFormat="1">
      <c r="A14" s="587"/>
      <c r="B14" s="1294"/>
      <c r="C14" s="331" t="s">
        <v>1187</v>
      </c>
      <c r="D14" s="332">
        <f>SUM(D15:D23)</f>
        <v>1522400</v>
      </c>
      <c r="E14" s="330"/>
      <c r="F14" s="330"/>
    </row>
    <row r="15" spans="1:7" s="293" customFormat="1">
      <c r="A15" s="362"/>
      <c r="B15" s="1289"/>
      <c r="C15" s="335" t="s">
        <v>1188</v>
      </c>
      <c r="D15" s="336">
        <v>302000</v>
      </c>
    </row>
    <row r="16" spans="1:7" s="293" customFormat="1">
      <c r="A16" s="1298"/>
      <c r="B16" s="1289"/>
      <c r="C16" s="363" t="s">
        <v>1189</v>
      </c>
      <c r="D16" s="364">
        <v>27000</v>
      </c>
    </row>
    <row r="17" spans="1:6" s="293" customFormat="1">
      <c r="A17" s="1298"/>
      <c r="B17" s="1289"/>
      <c r="C17" s="365" t="s">
        <v>1190</v>
      </c>
      <c r="D17" s="366">
        <v>9000</v>
      </c>
    </row>
    <row r="18" spans="1:6" s="293" customFormat="1" ht="31.5">
      <c r="A18" s="1298"/>
      <c r="B18" s="1289"/>
      <c r="C18" s="335" t="s">
        <v>1170</v>
      </c>
      <c r="D18" s="336">
        <f>164800</f>
        <v>164800</v>
      </c>
    </row>
    <row r="19" spans="1:6" s="293" customFormat="1">
      <c r="A19" s="1298"/>
      <c r="B19" s="1289"/>
      <c r="C19" s="363" t="s">
        <v>1191</v>
      </c>
      <c r="D19" s="366">
        <f>32000</f>
        <v>32000</v>
      </c>
    </row>
    <row r="20" spans="1:6" s="293" customFormat="1">
      <c r="A20" s="1298"/>
      <c r="B20" s="1289"/>
      <c r="C20" s="363" t="s">
        <v>1192</v>
      </c>
      <c r="D20" s="366">
        <v>75000</v>
      </c>
    </row>
    <row r="21" spans="1:6" s="293" customFormat="1">
      <c r="A21" s="1298"/>
      <c r="B21" s="1289"/>
      <c r="C21" s="363" t="s">
        <v>1202</v>
      </c>
      <c r="D21" s="366">
        <f>560000-7400</f>
        <v>552600</v>
      </c>
      <c r="F21" s="770">
        <f>SUM(D18:D23)</f>
        <v>1184400</v>
      </c>
    </row>
    <row r="22" spans="1:6" s="293" customFormat="1">
      <c r="A22" s="1298"/>
      <c r="B22" s="1289"/>
      <c r="C22" s="363" t="s">
        <v>1193</v>
      </c>
      <c r="D22" s="366">
        <f>30000</f>
        <v>30000</v>
      </c>
    </row>
    <row r="23" spans="1:6" s="293" customFormat="1">
      <c r="A23" s="1298"/>
      <c r="B23" s="1289"/>
      <c r="C23" s="363" t="s">
        <v>1446</v>
      </c>
      <c r="D23" s="366">
        <f>330000</f>
        <v>330000</v>
      </c>
    </row>
    <row r="24" spans="1:6" s="323" customFormat="1">
      <c r="A24" s="1298"/>
      <c r="B24" s="1289"/>
      <c r="C24" s="374" t="s">
        <v>1194</v>
      </c>
      <c r="D24" s="375">
        <f>SUM(D25:D27)</f>
        <v>2923200</v>
      </c>
      <c r="E24" s="330"/>
    </row>
    <row r="25" spans="1:6" s="323" customFormat="1">
      <c r="A25" s="1298"/>
      <c r="B25" s="1289"/>
      <c r="C25" s="333" t="s">
        <v>1195</v>
      </c>
      <c r="D25" s="334">
        <v>1600000</v>
      </c>
    </row>
    <row r="26" spans="1:6" s="293" customFormat="1" ht="31.5">
      <c r="A26" s="1298"/>
      <c r="B26" s="1289"/>
      <c r="C26" s="335" t="s">
        <v>1445</v>
      </c>
      <c r="D26" s="336">
        <v>245000</v>
      </c>
    </row>
    <row r="27" spans="1:6" s="293" customFormat="1" ht="36" customHeight="1">
      <c r="A27" s="1298"/>
      <c r="B27" s="1289"/>
      <c r="C27" s="333" t="s">
        <v>1203</v>
      </c>
      <c r="D27" s="336">
        <f>1090000-11800</f>
        <v>1078200</v>
      </c>
    </row>
    <row r="28" spans="1:6" s="293" customFormat="1" ht="19.5" customHeight="1">
      <c r="A28" s="1298"/>
      <c r="B28" s="1289"/>
      <c r="C28" s="434" t="s">
        <v>1171</v>
      </c>
      <c r="D28" s="768">
        <v>10500</v>
      </c>
    </row>
    <row r="29" spans="1:6" s="391" customFormat="1" ht="19.5" customHeight="1">
      <c r="A29" s="591"/>
      <c r="B29" s="588"/>
      <c r="C29" s="390" t="s">
        <v>1266</v>
      </c>
      <c r="D29" s="768">
        <v>55800</v>
      </c>
    </row>
    <row r="30" spans="1:6" s="391" customFormat="1" ht="19.5" customHeight="1">
      <c r="A30" s="591"/>
      <c r="B30" s="588"/>
      <c r="C30" s="769" t="s">
        <v>1267</v>
      </c>
      <c r="D30" s="376">
        <v>27000</v>
      </c>
    </row>
    <row r="31" spans="1:6" s="293" customFormat="1">
      <c r="A31" s="290">
        <v>3</v>
      </c>
      <c r="B31" s="225" t="s">
        <v>225</v>
      </c>
      <c r="C31" s="372"/>
      <c r="D31" s="373">
        <f>SUM(D32:D34)</f>
        <v>245600</v>
      </c>
    </row>
    <row r="32" spans="1:6" s="323" customFormat="1">
      <c r="A32" s="1291"/>
      <c r="B32" s="1288"/>
      <c r="C32" s="333" t="s">
        <v>1204</v>
      </c>
      <c r="D32" s="337">
        <v>62800</v>
      </c>
    </row>
    <row r="33" spans="1:4" s="323" customFormat="1">
      <c r="A33" s="1292"/>
      <c r="B33" s="1289"/>
      <c r="C33" s="354" t="s">
        <v>1172</v>
      </c>
      <c r="D33" s="353">
        <v>103400</v>
      </c>
    </row>
    <row r="34" spans="1:4" s="323" customFormat="1">
      <c r="A34" s="1293"/>
      <c r="B34" s="1290"/>
      <c r="C34" s="354" t="s">
        <v>1205</v>
      </c>
      <c r="D34" s="353">
        <v>79400</v>
      </c>
    </row>
    <row r="35" spans="1:4" s="323" customFormat="1">
      <c r="A35" s="327">
        <v>4</v>
      </c>
      <c r="B35" s="338" t="s">
        <v>1206</v>
      </c>
      <c r="C35" s="339"/>
      <c r="D35" s="340">
        <f>SUM(D36:D38)</f>
        <v>58926</v>
      </c>
    </row>
    <row r="36" spans="1:4" s="323" customFormat="1">
      <c r="A36" s="1291"/>
      <c r="B36" s="1294"/>
      <c r="C36" s="333" t="s">
        <v>1207</v>
      </c>
      <c r="D36" s="341">
        <v>9226</v>
      </c>
    </row>
    <row r="37" spans="1:4" s="323" customFormat="1">
      <c r="A37" s="1292"/>
      <c r="B37" s="1289"/>
      <c r="C37" s="333" t="s">
        <v>1208</v>
      </c>
      <c r="D37" s="341">
        <v>45700</v>
      </c>
    </row>
    <row r="38" spans="1:4" s="323" customFormat="1">
      <c r="A38" s="1293"/>
      <c r="B38" s="1290"/>
      <c r="C38" s="333" t="s">
        <v>1209</v>
      </c>
      <c r="D38" s="337">
        <v>4000</v>
      </c>
    </row>
    <row r="39" spans="1:4" s="323" customFormat="1" ht="17.25" customHeight="1">
      <c r="A39" s="327">
        <v>5</v>
      </c>
      <c r="B39" s="338" t="s">
        <v>1210</v>
      </c>
      <c r="C39" s="339"/>
      <c r="D39" s="340">
        <f>SUM(D40:D40)</f>
        <v>92800</v>
      </c>
    </row>
    <row r="40" spans="1:4" s="323" customFormat="1">
      <c r="A40" s="1291"/>
      <c r="B40" s="1294"/>
      <c r="C40" s="333" t="s">
        <v>1211</v>
      </c>
      <c r="D40" s="342">
        <v>92800</v>
      </c>
    </row>
    <row r="41" spans="1:4" s="323" customFormat="1">
      <c r="A41" s="1293"/>
      <c r="B41" s="1290"/>
      <c r="C41" s="354" t="s">
        <v>1212</v>
      </c>
      <c r="D41" s="377">
        <v>46800</v>
      </c>
    </row>
    <row r="42" spans="1:4" s="323" customFormat="1">
      <c r="A42" s="327">
        <v>6</v>
      </c>
      <c r="B42" s="338" t="s">
        <v>1213</v>
      </c>
      <c r="C42" s="339"/>
      <c r="D42" s="340">
        <f>SUM(D43:D46)</f>
        <v>4162000</v>
      </c>
    </row>
    <row r="43" spans="1:4" s="323" customFormat="1">
      <c r="A43" s="1291"/>
      <c r="B43" s="1294"/>
      <c r="C43" s="354" t="s">
        <v>1214</v>
      </c>
      <c r="D43" s="341">
        <v>39400</v>
      </c>
    </row>
    <row r="44" spans="1:4" s="323" customFormat="1">
      <c r="A44" s="1292"/>
      <c r="B44" s="1289"/>
      <c r="C44" s="354" t="s">
        <v>1215</v>
      </c>
      <c r="D44" s="379">
        <v>42500</v>
      </c>
    </row>
    <row r="45" spans="1:4" s="323" customFormat="1">
      <c r="A45" s="1292"/>
      <c r="B45" s="1289"/>
      <c r="C45" s="239" t="s">
        <v>1447</v>
      </c>
      <c r="D45" s="379">
        <v>243000</v>
      </c>
    </row>
    <row r="46" spans="1:4" s="323" customFormat="1">
      <c r="A46" s="1293"/>
      <c r="B46" s="1290"/>
      <c r="C46" s="354" t="s">
        <v>1225</v>
      </c>
      <c r="D46" s="379">
        <v>3837100</v>
      </c>
    </row>
    <row r="47" spans="1:4" s="323" customFormat="1">
      <c r="A47" s="327">
        <v>7</v>
      </c>
      <c r="B47" s="338" t="s">
        <v>1216</v>
      </c>
      <c r="C47" s="339"/>
      <c r="D47" s="340">
        <f>SUM(D48:D49)</f>
        <v>102500</v>
      </c>
    </row>
    <row r="48" spans="1:4" s="323" customFormat="1" ht="18.75" customHeight="1">
      <c r="A48" s="587"/>
      <c r="B48" s="1294"/>
      <c r="C48" s="333" t="s">
        <v>1217</v>
      </c>
      <c r="D48" s="337">
        <v>77500</v>
      </c>
    </row>
    <row r="49" spans="1:7" s="323" customFormat="1" ht="18.75" customHeight="1">
      <c r="A49" s="587"/>
      <c r="B49" s="1290"/>
      <c r="C49" s="333" t="s">
        <v>1218</v>
      </c>
      <c r="D49" s="342">
        <v>25000</v>
      </c>
    </row>
    <row r="50" spans="1:7" s="323" customFormat="1" ht="22.5" customHeight="1">
      <c r="A50" s="327">
        <v>8</v>
      </c>
      <c r="B50" s="338" t="s">
        <v>1219</v>
      </c>
      <c r="C50" s="348"/>
      <c r="D50" s="340">
        <f>SUM(D51:D54)</f>
        <v>348200</v>
      </c>
    </row>
    <row r="51" spans="1:7" s="323" customFormat="1" ht="35.25" customHeight="1">
      <c r="A51" s="1291"/>
      <c r="B51" s="1294"/>
      <c r="C51" s="771" t="s">
        <v>1450</v>
      </c>
      <c r="D51" s="772">
        <v>76300</v>
      </c>
    </row>
    <row r="52" spans="1:7" s="323" customFormat="1" ht="21" customHeight="1">
      <c r="A52" s="1292"/>
      <c r="B52" s="1289"/>
      <c r="C52" s="333" t="s">
        <v>1449</v>
      </c>
      <c r="D52" s="341">
        <v>174000</v>
      </c>
    </row>
    <row r="53" spans="1:7" s="323" customFormat="1" ht="36" customHeight="1">
      <c r="A53" s="1292"/>
      <c r="B53" s="1289"/>
      <c r="C53" s="333" t="s">
        <v>1220</v>
      </c>
      <c r="D53" s="341">
        <v>58300</v>
      </c>
    </row>
    <row r="54" spans="1:7" s="323" customFormat="1" ht="19.5" customHeight="1">
      <c r="A54" s="1292"/>
      <c r="B54" s="1289"/>
      <c r="C54" s="773" t="s">
        <v>1448</v>
      </c>
      <c r="D54" s="774">
        <v>39600</v>
      </c>
    </row>
    <row r="55" spans="1:7" s="323" customFormat="1">
      <c r="A55" s="327">
        <v>9</v>
      </c>
      <c r="B55" s="338" t="s">
        <v>1221</v>
      </c>
      <c r="C55" s="348"/>
      <c r="D55" s="340">
        <f>SUM(D56:D59)</f>
        <v>377700</v>
      </c>
    </row>
    <row r="56" spans="1:7" s="323" customFormat="1">
      <c r="A56" s="587"/>
      <c r="B56" s="588"/>
      <c r="C56" s="333" t="s">
        <v>1222</v>
      </c>
      <c r="D56" s="341">
        <v>25200</v>
      </c>
    </row>
    <row r="57" spans="1:7" s="323" customFormat="1">
      <c r="A57" s="587"/>
      <c r="B57" s="588"/>
      <c r="C57" s="333" t="s">
        <v>1223</v>
      </c>
      <c r="D57" s="341">
        <f>84800</f>
        <v>84800</v>
      </c>
    </row>
    <row r="58" spans="1:7" s="323" customFormat="1" ht="35.25" customHeight="1">
      <c r="A58" s="587"/>
      <c r="B58" s="588"/>
      <c r="C58" s="283" t="s">
        <v>1451</v>
      </c>
      <c r="D58" s="337">
        <v>117700</v>
      </c>
      <c r="F58" s="330">
        <f>SUM(D58:D58)</f>
        <v>117700</v>
      </c>
      <c r="G58" s="323">
        <v>9200</v>
      </c>
    </row>
    <row r="59" spans="1:7" s="323" customFormat="1">
      <c r="A59" s="587"/>
      <c r="B59" s="588"/>
      <c r="C59" s="333" t="s">
        <v>1240</v>
      </c>
      <c r="D59" s="341">
        <v>150000</v>
      </c>
    </row>
    <row r="60" spans="1:7" s="323" customFormat="1">
      <c r="A60" s="327">
        <v>10</v>
      </c>
      <c r="B60" s="338" t="s">
        <v>1224</v>
      </c>
      <c r="C60" s="339"/>
      <c r="D60" s="340">
        <f>SUM(D61:D62)</f>
        <v>151900</v>
      </c>
    </row>
    <row r="61" spans="1:7" s="323" customFormat="1" ht="19.5" customHeight="1">
      <c r="A61" s="1292"/>
      <c r="B61" s="1289"/>
      <c r="C61" s="233" t="s">
        <v>1453</v>
      </c>
      <c r="D61" s="342">
        <v>96600</v>
      </c>
    </row>
    <row r="62" spans="1:7" s="323" customFormat="1" ht="24" customHeight="1">
      <c r="A62" s="1292"/>
      <c r="B62" s="1289"/>
      <c r="C62" s="233" t="s">
        <v>1452</v>
      </c>
      <c r="D62" s="342">
        <v>55300</v>
      </c>
    </row>
    <row r="63" spans="1:7" ht="18.75" customHeight="1">
      <c r="A63" s="343">
        <v>29</v>
      </c>
      <c r="B63" s="349" t="s">
        <v>1196</v>
      </c>
      <c r="C63" s="344"/>
      <c r="D63" s="350">
        <f>SUM(D66:D66)</f>
        <v>0</v>
      </c>
    </row>
    <row r="64" spans="1:7">
      <c r="A64" s="589"/>
      <c r="B64" s="382"/>
      <c r="C64" s="388"/>
      <c r="D64" s="389"/>
    </row>
    <row r="65" spans="1:4">
      <c r="A65" s="589"/>
      <c r="B65" s="382"/>
      <c r="C65" s="388"/>
      <c r="D65" s="389"/>
    </row>
    <row r="66" spans="1:4">
      <c r="A66" s="370"/>
      <c r="B66" s="371"/>
      <c r="C66" s="346"/>
      <c r="D66" s="347"/>
    </row>
    <row r="67" spans="1:4">
      <c r="A67" s="343">
        <v>31</v>
      </c>
      <c r="B67" s="349" t="s">
        <v>1197</v>
      </c>
      <c r="C67" s="746"/>
      <c r="D67" s="350">
        <f>SUM(D69:D76)</f>
        <v>260119.2</v>
      </c>
    </row>
    <row r="68" spans="1:4" s="738" customFormat="1">
      <c r="A68" s="370"/>
      <c r="B68" s="747"/>
      <c r="C68" s="346" t="s">
        <v>1229</v>
      </c>
      <c r="D68" s="748">
        <f>+D69+D70</f>
        <v>40959.199999999997</v>
      </c>
    </row>
    <row r="69" spans="1:4" s="753" customFormat="1">
      <c r="A69" s="749"/>
      <c r="B69" s="750"/>
      <c r="C69" s="751" t="s">
        <v>1230</v>
      </c>
      <c r="D69" s="752">
        <v>23959.200000000001</v>
      </c>
    </row>
    <row r="70" spans="1:4" s="753" customFormat="1">
      <c r="A70" s="749"/>
      <c r="B70" s="750"/>
      <c r="C70" s="751" t="s">
        <v>1231</v>
      </c>
      <c r="D70" s="752">
        <v>17000</v>
      </c>
    </row>
    <row r="71" spans="1:4">
      <c r="A71" s="589"/>
      <c r="B71" s="382"/>
      <c r="C71" s="351" t="s">
        <v>1233</v>
      </c>
      <c r="D71" s="378">
        <v>10000</v>
      </c>
    </row>
    <row r="72" spans="1:4">
      <c r="A72" s="589"/>
      <c r="B72" s="382"/>
      <c r="C72" s="351" t="s">
        <v>1234</v>
      </c>
      <c r="D72" s="378">
        <v>25000</v>
      </c>
    </row>
    <row r="73" spans="1:4">
      <c r="A73" s="589"/>
      <c r="B73" s="382"/>
      <c r="C73" s="351" t="s">
        <v>1235</v>
      </c>
      <c r="D73" s="378">
        <v>47000</v>
      </c>
    </row>
    <row r="74" spans="1:4" ht="31.5">
      <c r="A74" s="589"/>
      <c r="B74" s="382"/>
      <c r="C74" s="351" t="s">
        <v>1236</v>
      </c>
      <c r="D74" s="378">
        <v>28660</v>
      </c>
    </row>
    <row r="75" spans="1:4" ht="31.5">
      <c r="A75" s="589"/>
      <c r="B75" s="382"/>
      <c r="C75" s="351" t="s">
        <v>1237</v>
      </c>
      <c r="D75" s="378">
        <v>8500</v>
      </c>
    </row>
    <row r="76" spans="1:4" ht="31.5">
      <c r="A76" s="589"/>
      <c r="B76" s="382"/>
      <c r="C76" s="351" t="s">
        <v>1238</v>
      </c>
      <c r="D76" s="378">
        <v>100000</v>
      </c>
    </row>
    <row r="77" spans="1:4">
      <c r="A77" s="343">
        <v>32</v>
      </c>
      <c r="B77" s="349" t="s">
        <v>608</v>
      </c>
      <c r="C77" s="355"/>
      <c r="D77" s="350">
        <f>SUM(D78:D78)</f>
        <v>28000</v>
      </c>
    </row>
    <row r="78" spans="1:4" ht="20.25" customHeight="1">
      <c r="A78" s="754"/>
      <c r="B78" s="755"/>
      <c r="C78" s="355" t="s">
        <v>1239</v>
      </c>
      <c r="D78" s="756">
        <v>28000</v>
      </c>
    </row>
    <row r="79" spans="1:4" s="323" customFormat="1">
      <c r="A79" s="327">
        <v>33</v>
      </c>
      <c r="B79" s="328" t="s">
        <v>1268</v>
      </c>
      <c r="C79" s="339"/>
      <c r="D79" s="329">
        <f>SUM(D80:D82)</f>
        <v>479500</v>
      </c>
    </row>
    <row r="80" spans="1:4" s="323" customFormat="1">
      <c r="A80" s="586"/>
      <c r="B80" s="384"/>
      <c r="C80" s="333" t="s">
        <v>1266</v>
      </c>
      <c r="D80" s="385">
        <v>82600</v>
      </c>
    </row>
    <row r="81" spans="1:4" s="323" customFormat="1">
      <c r="A81" s="324"/>
      <c r="B81" s="325"/>
      <c r="C81" s="325" t="s">
        <v>1270</v>
      </c>
      <c r="D81" s="330">
        <v>133000</v>
      </c>
    </row>
    <row r="82" spans="1:4" s="323" customFormat="1">
      <c r="A82" s="324"/>
      <c r="B82" s="325"/>
      <c r="C82" s="325" t="s">
        <v>1232</v>
      </c>
      <c r="D82" s="330">
        <v>263900</v>
      </c>
    </row>
    <row r="83" spans="1:4" s="323" customFormat="1" ht="26.25" customHeight="1">
      <c r="A83" s="327">
        <v>34</v>
      </c>
      <c r="B83" s="328" t="s">
        <v>1272</v>
      </c>
      <c r="C83" s="339"/>
      <c r="D83" s="329">
        <f>SUM(D84:D89)</f>
        <v>125200</v>
      </c>
    </row>
    <row r="84" spans="1:4" s="323" customFormat="1" ht="31.5">
      <c r="A84" s="324"/>
      <c r="B84" s="325"/>
      <c r="C84" s="325" t="s">
        <v>1278</v>
      </c>
      <c r="D84" s="330">
        <v>6500</v>
      </c>
    </row>
    <row r="85" spans="1:4" s="323" customFormat="1" ht="31.5">
      <c r="A85" s="324"/>
      <c r="B85" s="325"/>
      <c r="C85" s="325" t="s">
        <v>1274</v>
      </c>
      <c r="D85" s="330">
        <v>17400</v>
      </c>
    </row>
    <row r="86" spans="1:4" s="323" customFormat="1" ht="60" customHeight="1">
      <c r="A86" s="324"/>
      <c r="B86" s="325"/>
      <c r="C86" s="325" t="s">
        <v>1273</v>
      </c>
      <c r="D86" s="330">
        <v>19300</v>
      </c>
    </row>
    <row r="87" spans="1:4" s="323" customFormat="1" ht="31.5">
      <c r="A87" s="324"/>
      <c r="B87" s="325"/>
      <c r="C87" s="325" t="s">
        <v>1275</v>
      </c>
      <c r="D87" s="330">
        <v>22000</v>
      </c>
    </row>
    <row r="88" spans="1:4" s="323" customFormat="1" ht="31.5">
      <c r="A88" s="324"/>
      <c r="B88" s="325"/>
      <c r="C88" s="325" t="s">
        <v>1276</v>
      </c>
      <c r="D88" s="330">
        <v>12000</v>
      </c>
    </row>
    <row r="89" spans="1:4" s="323" customFormat="1" ht="31.5">
      <c r="A89" s="324"/>
      <c r="B89" s="325"/>
      <c r="C89" s="325" t="s">
        <v>1277</v>
      </c>
      <c r="D89" s="330">
        <v>48000</v>
      </c>
    </row>
    <row r="90" spans="1:4">
      <c r="A90" s="589"/>
      <c r="B90" s="590"/>
      <c r="C90" s="351"/>
      <c r="D90" s="745"/>
    </row>
    <row r="91" spans="1:4">
      <c r="A91" s="589"/>
      <c r="B91" s="590"/>
      <c r="C91" s="351"/>
      <c r="D91" s="745"/>
    </row>
    <row r="92" spans="1:4">
      <c r="A92" s="589"/>
      <c r="B92" s="590"/>
      <c r="C92" s="351"/>
      <c r="D92" s="745"/>
    </row>
    <row r="93" spans="1:4">
      <c r="A93" s="589"/>
      <c r="B93" s="590"/>
      <c r="C93" s="351"/>
      <c r="D93" s="745"/>
    </row>
    <row r="94" spans="1:4">
      <c r="A94" s="589"/>
      <c r="B94" s="590"/>
      <c r="C94" s="351"/>
      <c r="D94" s="745"/>
    </row>
    <row r="95" spans="1:4">
      <c r="A95" s="589"/>
      <c r="B95" s="590"/>
      <c r="C95" s="351"/>
      <c r="D95" s="745"/>
    </row>
    <row r="96" spans="1:4">
      <c r="A96" s="589"/>
      <c r="B96" s="590"/>
      <c r="C96" s="351"/>
      <c r="D96" s="745"/>
    </row>
    <row r="97" spans="1:4">
      <c r="A97" s="589"/>
      <c r="B97" s="590"/>
      <c r="C97" s="351"/>
      <c r="D97" s="745"/>
    </row>
    <row r="98" spans="1:4">
      <c r="A98" s="589"/>
      <c r="B98" s="590"/>
      <c r="C98" s="351"/>
      <c r="D98" s="745"/>
    </row>
    <row r="99" spans="1:4">
      <c r="A99" s="589"/>
      <c r="B99" s="590"/>
      <c r="C99" s="351"/>
      <c r="D99" s="745"/>
    </row>
    <row r="100" spans="1:4">
      <c r="A100" s="589"/>
      <c r="B100" s="590"/>
      <c r="C100" s="351"/>
      <c r="D100" s="745"/>
    </row>
    <row r="101" spans="1:4">
      <c r="A101" s="589"/>
      <c r="B101" s="590"/>
      <c r="C101" s="351"/>
      <c r="D101" s="745"/>
    </row>
    <row r="102" spans="1:4">
      <c r="A102" s="589"/>
      <c r="B102" s="590"/>
      <c r="C102" s="351"/>
      <c r="D102" s="745"/>
    </row>
    <row r="103" spans="1:4">
      <c r="A103" s="589"/>
      <c r="B103" s="590"/>
      <c r="C103" s="351"/>
      <c r="D103" s="745"/>
    </row>
    <row r="104" spans="1:4">
      <c r="A104" s="589"/>
      <c r="B104" s="590"/>
      <c r="C104" s="351"/>
      <c r="D104" s="745"/>
    </row>
    <row r="105" spans="1:4">
      <c r="A105" s="589"/>
      <c r="B105" s="590"/>
      <c r="C105" s="351"/>
      <c r="D105" s="745"/>
    </row>
    <row r="106" spans="1:4">
      <c r="A106" s="589"/>
      <c r="B106" s="590"/>
      <c r="C106" s="351"/>
      <c r="D106" s="745"/>
    </row>
    <row r="107" spans="1:4">
      <c r="A107" s="589"/>
      <c r="B107" s="590"/>
      <c r="C107" s="351"/>
      <c r="D107" s="745"/>
    </row>
    <row r="108" spans="1:4">
      <c r="A108" s="589"/>
      <c r="B108" s="590"/>
      <c r="C108" s="351"/>
      <c r="D108" s="745"/>
    </row>
    <row r="109" spans="1:4">
      <c r="A109" s="589"/>
      <c r="B109" s="590"/>
      <c r="C109" s="351"/>
      <c r="D109" s="745"/>
    </row>
    <row r="110" spans="1:4">
      <c r="A110" s="589"/>
      <c r="B110" s="590"/>
      <c r="C110" s="351"/>
      <c r="D110" s="745"/>
    </row>
    <row r="111" spans="1:4">
      <c r="A111" s="589"/>
      <c r="B111" s="590"/>
      <c r="C111" s="351"/>
      <c r="D111" s="745"/>
    </row>
    <row r="112" spans="1:4">
      <c r="A112" s="589"/>
      <c r="B112" s="590"/>
      <c r="C112" s="351"/>
      <c r="D112" s="745"/>
    </row>
    <row r="113" spans="1:4">
      <c r="A113" s="589"/>
      <c r="B113" s="590"/>
      <c r="C113" s="351"/>
      <c r="D113" s="745"/>
    </row>
    <row r="114" spans="1:4">
      <c r="A114" s="589"/>
      <c r="B114" s="590"/>
      <c r="C114" s="351"/>
      <c r="D114" s="745"/>
    </row>
    <row r="115" spans="1:4">
      <c r="A115" s="589"/>
      <c r="B115" s="590"/>
      <c r="C115" s="351"/>
      <c r="D115" s="745"/>
    </row>
    <row r="116" spans="1:4">
      <c r="A116" s="589"/>
      <c r="B116" s="590"/>
      <c r="C116" s="351"/>
      <c r="D116" s="745"/>
    </row>
    <row r="117" spans="1:4">
      <c r="A117" s="589"/>
      <c r="B117" s="590"/>
      <c r="C117" s="351"/>
      <c r="D117" s="745"/>
    </row>
    <row r="118" spans="1:4">
      <c r="A118" s="589"/>
      <c r="B118" s="590"/>
      <c r="C118" s="351"/>
      <c r="D118" s="745"/>
    </row>
    <row r="119" spans="1:4">
      <c r="A119" s="589"/>
      <c r="B119" s="590"/>
      <c r="C119" s="351"/>
      <c r="D119" s="745"/>
    </row>
    <row r="120" spans="1:4">
      <c r="A120" s="589"/>
      <c r="B120" s="590"/>
      <c r="C120" s="351"/>
      <c r="D120" s="745"/>
    </row>
    <row r="121" spans="1:4">
      <c r="A121" s="589"/>
      <c r="B121" s="590"/>
      <c r="C121" s="351"/>
      <c r="D121" s="745"/>
    </row>
    <row r="122" spans="1:4">
      <c r="A122" s="589"/>
      <c r="B122" s="590"/>
      <c r="C122" s="351"/>
      <c r="D122" s="745"/>
    </row>
    <row r="123" spans="1:4">
      <c r="A123" s="589"/>
      <c r="B123" s="590"/>
      <c r="C123" s="351"/>
      <c r="D123" s="745"/>
    </row>
    <row r="124" spans="1:4">
      <c r="A124" s="589"/>
      <c r="B124" s="590"/>
      <c r="C124" s="351"/>
      <c r="D124" s="745"/>
    </row>
    <row r="125" spans="1:4">
      <c r="A125" s="589"/>
      <c r="B125" s="590"/>
      <c r="C125" s="351"/>
      <c r="D125" s="745"/>
    </row>
    <row r="126" spans="1:4">
      <c r="A126" s="589"/>
      <c r="B126" s="590"/>
      <c r="C126" s="351"/>
      <c r="D126" s="745"/>
    </row>
    <row r="127" spans="1:4">
      <c r="A127" s="589"/>
      <c r="B127" s="590"/>
      <c r="C127" s="351"/>
      <c r="D127" s="745"/>
    </row>
    <row r="128" spans="1:4">
      <c r="A128" s="589"/>
      <c r="B128" s="590"/>
      <c r="C128" s="351"/>
      <c r="D128" s="745"/>
    </row>
    <row r="129" spans="1:4">
      <c r="A129" s="589"/>
      <c r="B129" s="590"/>
      <c r="C129" s="351"/>
      <c r="D129" s="745"/>
    </row>
    <row r="130" spans="1:4">
      <c r="A130" s="589"/>
      <c r="B130" s="590"/>
      <c r="C130" s="351"/>
      <c r="D130" s="745"/>
    </row>
    <row r="131" spans="1:4">
      <c r="A131" s="589"/>
      <c r="B131" s="590"/>
      <c r="C131" s="351"/>
      <c r="D131" s="745"/>
    </row>
    <row r="132" spans="1:4">
      <c r="A132" s="589"/>
      <c r="B132" s="590"/>
      <c r="C132" s="351"/>
      <c r="D132" s="745"/>
    </row>
    <row r="133" spans="1:4">
      <c r="A133" s="589"/>
      <c r="B133" s="590"/>
      <c r="C133" s="351"/>
      <c r="D133" s="745"/>
    </row>
    <row r="134" spans="1:4">
      <c r="A134" s="589"/>
      <c r="B134" s="590"/>
      <c r="C134" s="351"/>
      <c r="D134" s="745"/>
    </row>
    <row r="135" spans="1:4">
      <c r="A135" s="589"/>
      <c r="B135" s="590"/>
      <c r="C135" s="351"/>
      <c r="D135" s="745"/>
    </row>
    <row r="136" spans="1:4">
      <c r="A136" s="589"/>
      <c r="B136" s="590"/>
      <c r="C136" s="351"/>
      <c r="D136" s="745"/>
    </row>
    <row r="137" spans="1:4">
      <c r="A137" s="589"/>
      <c r="B137" s="590"/>
      <c r="C137" s="351"/>
      <c r="D137" s="745"/>
    </row>
    <row r="138" spans="1:4">
      <c r="A138" s="589"/>
      <c r="B138" s="590"/>
      <c r="C138" s="351"/>
      <c r="D138" s="745"/>
    </row>
    <row r="139" spans="1:4">
      <c r="A139" s="589"/>
      <c r="B139" s="590"/>
      <c r="C139" s="351"/>
      <c r="D139" s="745"/>
    </row>
    <row r="140" spans="1:4">
      <c r="A140" s="589"/>
      <c r="B140" s="590"/>
      <c r="C140" s="351"/>
      <c r="D140" s="745"/>
    </row>
    <row r="141" spans="1:4">
      <c r="A141" s="589"/>
      <c r="B141" s="590"/>
      <c r="C141" s="351"/>
      <c r="D141" s="745"/>
    </row>
    <row r="142" spans="1:4">
      <c r="A142" s="589"/>
      <c r="B142" s="590"/>
      <c r="C142" s="351"/>
      <c r="D142" s="745"/>
    </row>
    <row r="143" spans="1:4">
      <c r="A143" s="589"/>
      <c r="B143" s="590"/>
      <c r="C143" s="351"/>
      <c r="D143" s="745"/>
    </row>
    <row r="144" spans="1:4">
      <c r="A144" s="589"/>
      <c r="B144" s="590"/>
      <c r="C144" s="351"/>
      <c r="D144" s="745"/>
    </row>
    <row r="145" spans="1:4">
      <c r="A145" s="589"/>
      <c r="B145" s="590"/>
      <c r="C145" s="351"/>
      <c r="D145" s="745"/>
    </row>
    <row r="146" spans="1:4">
      <c r="A146" s="589"/>
      <c r="B146" s="590"/>
      <c r="C146" s="351"/>
      <c r="D146" s="745"/>
    </row>
    <row r="147" spans="1:4">
      <c r="A147" s="589"/>
      <c r="B147" s="590"/>
      <c r="C147" s="351"/>
      <c r="D147" s="745"/>
    </row>
    <row r="148" spans="1:4">
      <c r="A148" s="589"/>
      <c r="B148" s="590"/>
      <c r="C148" s="351"/>
      <c r="D148" s="745"/>
    </row>
    <row r="149" spans="1:4">
      <c r="A149" s="589"/>
      <c r="B149" s="590"/>
      <c r="C149" s="351"/>
      <c r="D149" s="745"/>
    </row>
    <row r="150" spans="1:4">
      <c r="A150" s="589"/>
      <c r="B150" s="590"/>
      <c r="C150" s="351"/>
      <c r="D150" s="745"/>
    </row>
    <row r="151" spans="1:4">
      <c r="A151" s="589"/>
      <c r="B151" s="590"/>
      <c r="C151" s="351"/>
      <c r="D151" s="745"/>
    </row>
    <row r="152" spans="1:4">
      <c r="A152" s="589"/>
      <c r="B152" s="590"/>
      <c r="C152" s="351"/>
      <c r="D152" s="745"/>
    </row>
    <row r="153" spans="1:4">
      <c r="A153" s="589"/>
      <c r="B153" s="590"/>
      <c r="C153" s="351"/>
      <c r="D153" s="745"/>
    </row>
    <row r="154" spans="1:4">
      <c r="A154" s="589"/>
      <c r="B154" s="590"/>
      <c r="C154" s="351"/>
      <c r="D154" s="745"/>
    </row>
    <row r="155" spans="1:4">
      <c r="A155" s="589"/>
      <c r="B155" s="590"/>
      <c r="C155" s="351"/>
      <c r="D155" s="745"/>
    </row>
    <row r="156" spans="1:4">
      <c r="A156" s="589"/>
      <c r="B156" s="590"/>
      <c r="C156" s="351"/>
      <c r="D156" s="745"/>
    </row>
    <row r="157" spans="1:4">
      <c r="A157" s="589"/>
      <c r="B157" s="590"/>
      <c r="C157" s="351"/>
      <c r="D157" s="745"/>
    </row>
    <row r="158" spans="1:4">
      <c r="A158" s="589"/>
      <c r="B158" s="590"/>
      <c r="C158" s="351"/>
      <c r="D158" s="745"/>
    </row>
    <row r="159" spans="1:4">
      <c r="A159" s="589"/>
      <c r="B159" s="590"/>
      <c r="C159" s="351"/>
      <c r="D159" s="745"/>
    </row>
    <row r="160" spans="1:4">
      <c r="A160" s="589"/>
      <c r="B160" s="590"/>
      <c r="C160" s="351"/>
      <c r="D160" s="745"/>
    </row>
    <row r="161" spans="1:4">
      <c r="A161" s="589"/>
      <c r="B161" s="590"/>
      <c r="C161" s="351"/>
      <c r="D161" s="745"/>
    </row>
    <row r="162" spans="1:4">
      <c r="A162" s="589"/>
      <c r="B162" s="590"/>
      <c r="C162" s="351"/>
      <c r="D162" s="745"/>
    </row>
    <row r="163" spans="1:4">
      <c r="A163" s="589"/>
      <c r="B163" s="590"/>
      <c r="C163" s="351"/>
      <c r="D163" s="745"/>
    </row>
    <row r="164" spans="1:4">
      <c r="A164" s="589"/>
      <c r="B164" s="590"/>
      <c r="C164" s="351"/>
      <c r="D164" s="745"/>
    </row>
    <row r="165" spans="1:4">
      <c r="A165" s="589"/>
      <c r="B165" s="590"/>
      <c r="C165" s="351"/>
      <c r="D165" s="745"/>
    </row>
    <row r="166" spans="1:4">
      <c r="A166" s="589"/>
      <c r="B166" s="590"/>
      <c r="C166" s="351"/>
      <c r="D166" s="745"/>
    </row>
    <row r="167" spans="1:4">
      <c r="A167" s="589"/>
      <c r="B167" s="590"/>
      <c r="C167" s="351"/>
      <c r="D167" s="745"/>
    </row>
    <row r="168" spans="1:4">
      <c r="A168" s="589"/>
      <c r="B168" s="590"/>
      <c r="C168" s="351"/>
      <c r="D168" s="745"/>
    </row>
    <row r="169" spans="1:4">
      <c r="A169" s="589"/>
      <c r="B169" s="590"/>
      <c r="C169" s="351"/>
      <c r="D169" s="745"/>
    </row>
    <row r="170" spans="1:4">
      <c r="A170" s="589"/>
      <c r="B170" s="590"/>
      <c r="C170" s="351"/>
      <c r="D170" s="745"/>
    </row>
    <row r="171" spans="1:4">
      <c r="A171" s="589"/>
      <c r="B171" s="590"/>
      <c r="C171" s="351"/>
      <c r="D171" s="745"/>
    </row>
    <row r="172" spans="1:4">
      <c r="A172" s="589"/>
      <c r="B172" s="590"/>
      <c r="C172" s="351"/>
      <c r="D172" s="745"/>
    </row>
    <row r="173" spans="1:4">
      <c r="A173" s="589"/>
      <c r="B173" s="590"/>
      <c r="C173" s="351"/>
      <c r="D173" s="745"/>
    </row>
    <row r="174" spans="1:4">
      <c r="A174" s="589"/>
      <c r="B174" s="590"/>
      <c r="C174" s="351"/>
      <c r="D174" s="745"/>
    </row>
    <row r="175" spans="1:4">
      <c r="A175" s="589"/>
      <c r="B175" s="590"/>
      <c r="C175" s="351"/>
      <c r="D175" s="745"/>
    </row>
    <row r="176" spans="1:4" s="323" customFormat="1">
      <c r="A176" s="327">
        <v>16</v>
      </c>
      <c r="B176" s="328" t="s">
        <v>834</v>
      </c>
      <c r="C176" s="348"/>
      <c r="D176" s="329">
        <f>SUM(D177:D177)</f>
        <v>10800</v>
      </c>
    </row>
    <row r="177" spans="1:4" s="323" customFormat="1" ht="19.5" customHeight="1">
      <c r="A177" s="587"/>
      <c r="B177" s="588"/>
      <c r="C177" s="239" t="s">
        <v>1165</v>
      </c>
      <c r="D177" s="341">
        <v>10800</v>
      </c>
    </row>
    <row r="178" spans="1:4">
      <c r="A178" s="343">
        <v>16</v>
      </c>
      <c r="B178" s="349" t="s">
        <v>1226</v>
      </c>
      <c r="C178" s="344"/>
      <c r="D178" s="350">
        <f>SUM(D179:D180)</f>
        <v>0</v>
      </c>
    </row>
    <row r="179" spans="1:4">
      <c r="A179" s="1284"/>
      <c r="B179" s="1286"/>
      <c r="C179" s="346"/>
      <c r="D179" s="352"/>
    </row>
    <row r="180" spans="1:4">
      <c r="A180" s="1284"/>
      <c r="B180" s="1286"/>
      <c r="C180" s="367"/>
      <c r="D180" s="368"/>
    </row>
    <row r="181" spans="1:4" ht="15" customHeight="1">
      <c r="A181" s="343">
        <v>17</v>
      </c>
      <c r="B181" s="349" t="s">
        <v>1227</v>
      </c>
      <c r="C181" s="344"/>
      <c r="D181" s="350">
        <f>SUM(D182:D185)</f>
        <v>1096000</v>
      </c>
    </row>
    <row r="182" spans="1:4">
      <c r="A182" s="1284"/>
      <c r="B182" s="1286"/>
      <c r="C182" s="346" t="s">
        <v>1228</v>
      </c>
      <c r="D182" s="347">
        <v>600000</v>
      </c>
    </row>
    <row r="183" spans="1:4" ht="17.25" customHeight="1">
      <c r="A183" s="1284"/>
      <c r="B183" s="1286"/>
      <c r="C183" s="346" t="s">
        <v>1266</v>
      </c>
      <c r="D183" s="347">
        <v>270000</v>
      </c>
    </row>
    <row r="184" spans="1:4" ht="17.25" customHeight="1">
      <c r="A184" s="1284"/>
      <c r="B184" s="1286"/>
      <c r="C184" s="346" t="s">
        <v>1441</v>
      </c>
      <c r="D184" s="368">
        <v>85000</v>
      </c>
    </row>
    <row r="185" spans="1:4">
      <c r="A185" s="1285"/>
      <c r="B185" s="1287"/>
      <c r="C185" s="346" t="s">
        <v>1442</v>
      </c>
      <c r="D185" s="369">
        <v>141000</v>
      </c>
    </row>
    <row r="213" spans="1:4">
      <c r="A213" s="343">
        <v>32</v>
      </c>
      <c r="B213" s="349" t="s">
        <v>1291</v>
      </c>
      <c r="C213" s="355"/>
      <c r="D213" s="350">
        <f>SUM(D214:D216)</f>
        <v>85000</v>
      </c>
    </row>
    <row r="214" spans="1:4" ht="20.25" customHeight="1">
      <c r="A214" s="754"/>
      <c r="B214" s="755"/>
      <c r="C214" s="355" t="s">
        <v>1292</v>
      </c>
      <c r="D214" s="756">
        <v>20000</v>
      </c>
    </row>
    <row r="215" spans="1:4">
      <c r="C215" s="355" t="s">
        <v>1293</v>
      </c>
      <c r="D215" s="744">
        <v>45000</v>
      </c>
    </row>
    <row r="216" spans="1:4">
      <c r="C216" s="355" t="s">
        <v>1294</v>
      </c>
      <c r="D216" s="744">
        <v>20000</v>
      </c>
    </row>
    <row r="220" spans="1:4" s="322" customFormat="1">
      <c r="A220" s="757"/>
      <c r="B220" s="758" t="s">
        <v>1444</v>
      </c>
      <c r="C220" s="758"/>
      <c r="D220" s="759">
        <f>+D221+D232+D234+D236</f>
        <v>15871000</v>
      </c>
    </row>
    <row r="221" spans="1:4" s="323" customFormat="1">
      <c r="A221" s="633">
        <v>1</v>
      </c>
      <c r="B221" s="760" t="s">
        <v>1224</v>
      </c>
      <c r="C221" s="333"/>
      <c r="D221" s="761">
        <f>SUM(D222:D231)</f>
        <v>11951000</v>
      </c>
    </row>
    <row r="222" spans="1:4" s="323" customFormat="1">
      <c r="A222" s="632"/>
      <c r="B222" s="762"/>
      <c r="C222" s="283" t="s">
        <v>610</v>
      </c>
      <c r="D222" s="342">
        <v>192000</v>
      </c>
    </row>
    <row r="223" spans="1:4" s="323" customFormat="1">
      <c r="A223" s="632"/>
      <c r="B223" s="762"/>
      <c r="C223" s="283" t="s">
        <v>478</v>
      </c>
      <c r="D223" s="337">
        <v>258000</v>
      </c>
    </row>
    <row r="224" spans="1:4" s="323" customFormat="1">
      <c r="A224" s="632"/>
      <c r="B224" s="762"/>
      <c r="C224" s="283" t="s">
        <v>1183</v>
      </c>
      <c r="D224" s="337">
        <v>354000</v>
      </c>
    </row>
    <row r="225" spans="1:4" s="323" customFormat="1">
      <c r="A225" s="632"/>
      <c r="B225" s="762"/>
      <c r="C225" s="283" t="s">
        <v>860</v>
      </c>
      <c r="D225" s="337">
        <v>600000</v>
      </c>
    </row>
    <row r="226" spans="1:4" s="323" customFormat="1">
      <c r="A226" s="632"/>
      <c r="B226" s="762"/>
      <c r="C226" s="283" t="s">
        <v>1178</v>
      </c>
      <c r="D226" s="337">
        <v>2200000</v>
      </c>
    </row>
    <row r="227" spans="1:4" s="323" customFormat="1">
      <c r="A227" s="632"/>
      <c r="B227" s="762"/>
      <c r="C227" s="283" t="s">
        <v>1179</v>
      </c>
      <c r="D227" s="337">
        <v>610000</v>
      </c>
    </row>
    <row r="228" spans="1:4" s="323" customFormat="1">
      <c r="A228" s="632"/>
      <c r="B228" s="762"/>
      <c r="C228" s="283" t="s">
        <v>1180</v>
      </c>
      <c r="D228" s="337">
        <v>5200000</v>
      </c>
    </row>
    <row r="229" spans="1:4" s="323" customFormat="1">
      <c r="A229" s="632"/>
      <c r="B229" s="762"/>
      <c r="C229" s="283" t="s">
        <v>1181</v>
      </c>
      <c r="D229" s="337">
        <v>220000</v>
      </c>
    </row>
    <row r="230" spans="1:4" s="323" customFormat="1">
      <c r="A230" s="632"/>
      <c r="B230" s="762"/>
      <c r="C230" s="396" t="s">
        <v>1290</v>
      </c>
      <c r="D230" s="337">
        <v>1577000</v>
      </c>
    </row>
    <row r="231" spans="1:4" s="323" customFormat="1">
      <c r="A231" s="632"/>
      <c r="B231" s="762"/>
      <c r="C231" s="763" t="s">
        <v>1324</v>
      </c>
      <c r="D231" s="337">
        <v>740000</v>
      </c>
    </row>
    <row r="232" spans="1:4" s="322" customFormat="1">
      <c r="A232" s="633">
        <v>2</v>
      </c>
      <c r="B232" s="515" t="s">
        <v>1312</v>
      </c>
      <c r="C232" s="374"/>
      <c r="D232" s="375">
        <f>+D233</f>
        <v>250000</v>
      </c>
    </row>
    <row r="233" spans="1:4" s="323" customFormat="1">
      <c r="A233" s="632"/>
      <c r="B233" s="762"/>
      <c r="C233" s="396" t="s">
        <v>1310</v>
      </c>
      <c r="D233" s="337">
        <v>250000</v>
      </c>
    </row>
    <row r="234" spans="1:4" s="322" customFormat="1">
      <c r="A234" s="633">
        <v>3</v>
      </c>
      <c r="B234" s="515" t="s">
        <v>1313</v>
      </c>
      <c r="C234" s="374"/>
      <c r="D234" s="375">
        <f>+D235</f>
        <v>350000</v>
      </c>
    </row>
    <row r="235" spans="1:4" s="323" customFormat="1">
      <c r="A235" s="632"/>
      <c r="B235" s="762"/>
      <c r="C235" s="396" t="s">
        <v>1311</v>
      </c>
      <c r="D235" s="337">
        <v>350000</v>
      </c>
    </row>
    <row r="236" spans="1:4" s="322" customFormat="1">
      <c r="A236" s="633">
        <v>4</v>
      </c>
      <c r="B236" s="515" t="s">
        <v>1314</v>
      </c>
      <c r="C236" s="374"/>
      <c r="D236" s="375">
        <f>+D237+D238</f>
        <v>3320000</v>
      </c>
    </row>
    <row r="237" spans="1:4" s="323" customFormat="1">
      <c r="A237" s="632"/>
      <c r="B237" s="762"/>
      <c r="C237" s="396" t="s">
        <v>1315</v>
      </c>
      <c r="D237" s="337">
        <v>2819000</v>
      </c>
    </row>
    <row r="238" spans="1:4" s="323" customFormat="1">
      <c r="A238" s="764"/>
      <c r="B238" s="765"/>
      <c r="C238" s="766" t="s">
        <v>1372</v>
      </c>
      <c r="D238" s="767">
        <v>501000</v>
      </c>
    </row>
  </sheetData>
  <mergeCells count="24">
    <mergeCell ref="B43:B46"/>
    <mergeCell ref="A1:D1"/>
    <mergeCell ref="A2:D2"/>
    <mergeCell ref="C3:D3"/>
    <mergeCell ref="B14:B28"/>
    <mergeCell ref="A16:A28"/>
    <mergeCell ref="B7:B12"/>
    <mergeCell ref="A7:A12"/>
    <mergeCell ref="A182:A185"/>
    <mergeCell ref="B182:B185"/>
    <mergeCell ref="A179:A180"/>
    <mergeCell ref="B179:B180"/>
    <mergeCell ref="B32:B34"/>
    <mergeCell ref="A32:A34"/>
    <mergeCell ref="A36:A38"/>
    <mergeCell ref="B36:B38"/>
    <mergeCell ref="A40:A41"/>
    <mergeCell ref="B40:B41"/>
    <mergeCell ref="A43:A46"/>
    <mergeCell ref="B48:B49"/>
    <mergeCell ref="B51:B54"/>
    <mergeCell ref="A51:A54"/>
    <mergeCell ref="A61:A62"/>
    <mergeCell ref="B61:B62"/>
  </mergeCells>
  <pageMargins left="0.24" right="0.18" top="0.39" bottom="0.27" header="0.3" footer="0.2"/>
  <pageSetup paperSize="8"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FFFF00"/>
  </sheetPr>
  <dimension ref="A1:K44"/>
  <sheetViews>
    <sheetView workbookViewId="0">
      <selection activeCell="R30" sqref="R30"/>
    </sheetView>
  </sheetViews>
  <sheetFormatPr defaultColWidth="9" defaultRowHeight="15"/>
  <cols>
    <col min="1" max="1" width="7" style="143" customWidth="1"/>
    <col min="2" max="2" width="44.5" style="143" customWidth="1"/>
    <col min="3" max="4" width="14.5" style="143" customWidth="1"/>
    <col min="5" max="11" width="13.125" style="143" hidden="1" customWidth="1"/>
    <col min="12" max="12" width="12.125" style="143" bestFit="1" customWidth="1"/>
    <col min="13" max="16384" width="9" style="143"/>
  </cols>
  <sheetData>
    <row r="1" spans="1:11" ht="15.75">
      <c r="A1" s="1159"/>
      <c r="B1" s="1159"/>
      <c r="D1" s="719" t="s">
        <v>261</v>
      </c>
    </row>
    <row r="2" spans="1:11" s="231" customFormat="1" ht="23.25" customHeight="1">
      <c r="A2" s="1162" t="s">
        <v>206</v>
      </c>
      <c r="B2" s="1163"/>
      <c r="C2" s="1163"/>
      <c r="D2" s="1163"/>
      <c r="F2" s="1162" t="s">
        <v>53</v>
      </c>
      <c r="G2" s="1162"/>
      <c r="H2" s="1162"/>
      <c r="I2" s="1162"/>
      <c r="J2" s="1162"/>
    </row>
    <row r="3" spans="1:11" s="231" customFormat="1" ht="18">
      <c r="A3" s="1164" t="s">
        <v>1477</v>
      </c>
      <c r="B3" s="1165"/>
      <c r="C3" s="1165"/>
      <c r="D3" s="1165"/>
      <c r="F3" s="1164" t="s">
        <v>54</v>
      </c>
      <c r="G3" s="1165"/>
      <c r="H3" s="1165"/>
      <c r="I3" s="1165"/>
    </row>
    <row r="4" spans="1:11" s="248" customFormat="1" ht="18.600000000000001" customHeight="1">
      <c r="A4" s="1166" t="str">
        <f>'3.TH-HX'!A3:I3</f>
        <v xml:space="preserve">(Kèm theo Nghị quyết  số      /NQ-HĐND ngày       /12/2024 của Hội đồng nhân dân huyện Na Rì) </v>
      </c>
      <c r="B4" s="1166"/>
      <c r="C4" s="1166"/>
      <c r="D4" s="1166"/>
      <c r="E4" s="1166"/>
      <c r="F4" s="1166"/>
      <c r="G4" s="1166"/>
      <c r="H4" s="1166"/>
      <c r="I4" s="1166"/>
      <c r="J4" s="720"/>
    </row>
    <row r="5" spans="1:11" ht="21.95" customHeight="1">
      <c r="C5" s="1160" t="s">
        <v>75</v>
      </c>
      <c r="D5" s="1161"/>
      <c r="E5" s="721"/>
      <c r="H5" s="1167" t="s">
        <v>75</v>
      </c>
      <c r="I5" s="1167"/>
      <c r="J5" s="1167"/>
    </row>
    <row r="6" spans="1:11" s="231" customFormat="1" ht="42" customHeight="1">
      <c r="A6" s="291" t="s">
        <v>71</v>
      </c>
      <c r="B6" s="291" t="s">
        <v>79</v>
      </c>
      <c r="C6" s="291" t="s">
        <v>204</v>
      </c>
      <c r="D6" s="291" t="s">
        <v>77</v>
      </c>
      <c r="E6" s="291" t="s">
        <v>78</v>
      </c>
      <c r="F6" s="291" t="s">
        <v>180</v>
      </c>
      <c r="G6" s="291" t="s">
        <v>79</v>
      </c>
      <c r="H6" s="291" t="s">
        <v>76</v>
      </c>
      <c r="I6" s="291" t="s">
        <v>55</v>
      </c>
      <c r="J6" s="291" t="s">
        <v>56</v>
      </c>
    </row>
    <row r="7" spans="1:11" s="231" customFormat="1" ht="20.100000000000001" customHeight="1">
      <c r="A7" s="722" t="s">
        <v>36</v>
      </c>
      <c r="B7" s="722" t="s">
        <v>37</v>
      </c>
      <c r="C7" s="722">
        <v>1</v>
      </c>
      <c r="D7" s="722">
        <v>2</v>
      </c>
      <c r="E7" s="291"/>
      <c r="F7" s="291"/>
      <c r="G7" s="291"/>
      <c r="H7" s="291"/>
      <c r="I7" s="291"/>
      <c r="J7" s="291"/>
    </row>
    <row r="8" spans="1:11" s="711" customFormat="1" ht="21.75" customHeight="1">
      <c r="A8" s="723"/>
      <c r="B8" s="724" t="s">
        <v>80</v>
      </c>
      <c r="C8" s="723">
        <f>C9+C39+C40+C41</f>
        <v>664800000</v>
      </c>
      <c r="D8" s="723">
        <f>D9+D39+D40+D41</f>
        <v>664800000</v>
      </c>
      <c r="E8" s="723" t="e">
        <f t="shared" ref="E8:K8" si="0">E9+E39+E41</f>
        <v>#REF!</v>
      </c>
      <c r="F8" s="723" t="e">
        <f t="shared" si="0"/>
        <v>#VALUE!</v>
      </c>
      <c r="G8" s="723" t="e">
        <f t="shared" si="0"/>
        <v>#VALUE!</v>
      </c>
      <c r="H8" s="723">
        <f t="shared" si="0"/>
        <v>266115000</v>
      </c>
      <c r="I8" s="723">
        <f t="shared" si="0"/>
        <v>266115000</v>
      </c>
      <c r="J8" s="723">
        <f t="shared" si="0"/>
        <v>0</v>
      </c>
      <c r="K8" s="723">
        <f t="shared" si="0"/>
        <v>0</v>
      </c>
    </row>
    <row r="9" spans="1:11" s="711" customFormat="1" ht="21.75" customHeight="1">
      <c r="A9" s="705" t="s">
        <v>44</v>
      </c>
      <c r="B9" s="706" t="s">
        <v>192</v>
      </c>
      <c r="C9" s="707">
        <v>29845000</v>
      </c>
      <c r="D9" s="707">
        <f>C9</f>
        <v>29845000</v>
      </c>
      <c r="E9" s="708">
        <f t="shared" ref="E9:E38" si="1">C9-D9</f>
        <v>0</v>
      </c>
      <c r="F9" s="709" t="s">
        <v>44</v>
      </c>
      <c r="G9" s="710" t="s">
        <v>81</v>
      </c>
      <c r="H9" s="708"/>
      <c r="I9" s="708"/>
      <c r="J9" s="708"/>
    </row>
    <row r="10" spans="1:11" s="711" customFormat="1" ht="18.75" customHeight="1">
      <c r="A10" s="709" t="s">
        <v>36</v>
      </c>
      <c r="B10" s="710" t="s">
        <v>82</v>
      </c>
      <c r="C10" s="708">
        <f t="shared" ref="C10:K10" si="2">C11+C14+C19+C26+C29+C30+C31+C32+C33+C37+C38</f>
        <v>32000000</v>
      </c>
      <c r="D10" s="708">
        <f t="shared" si="2"/>
        <v>32000000</v>
      </c>
      <c r="E10" s="708">
        <f t="shared" si="2"/>
        <v>0</v>
      </c>
      <c r="F10" s="708">
        <f t="shared" si="2"/>
        <v>66</v>
      </c>
      <c r="G10" s="708" t="e">
        <f t="shared" si="2"/>
        <v>#VALUE!</v>
      </c>
      <c r="H10" s="708">
        <f t="shared" si="2"/>
        <v>17980000</v>
      </c>
      <c r="I10" s="708">
        <f t="shared" si="2"/>
        <v>23181000</v>
      </c>
      <c r="J10" s="708">
        <f t="shared" si="2"/>
        <v>-1751000</v>
      </c>
      <c r="K10" s="708">
        <f t="shared" ca="1" si="2"/>
        <v>23000000</v>
      </c>
    </row>
    <row r="11" spans="1:11" s="711" customFormat="1" ht="21.75" customHeight="1">
      <c r="A11" s="712">
        <v>1</v>
      </c>
      <c r="B11" s="713" t="s">
        <v>497</v>
      </c>
      <c r="C11" s="708">
        <f>SUM(C12:C13)</f>
        <v>310000</v>
      </c>
      <c r="D11" s="708">
        <f>SUM(D12:D13)</f>
        <v>310000</v>
      </c>
      <c r="E11" s="708">
        <f t="shared" si="1"/>
        <v>0</v>
      </c>
      <c r="F11" s="712">
        <v>1</v>
      </c>
      <c r="G11" s="713" t="s">
        <v>83</v>
      </c>
      <c r="H11" s="708">
        <f>SUM(H12:H13)</f>
        <v>80000</v>
      </c>
      <c r="I11" s="708">
        <f>SUM(I12:I13)</f>
        <v>5000</v>
      </c>
      <c r="J11" s="708">
        <f>SUM(J12:J13)</f>
        <v>75000</v>
      </c>
      <c r="K11" s="711" t="e">
        <f ca="1">I10-K10</f>
        <v>#REF!</v>
      </c>
    </row>
    <row r="12" spans="1:11" s="716" customFormat="1" ht="19.5" customHeight="1">
      <c r="A12" s="637" t="s">
        <v>58</v>
      </c>
      <c r="B12" s="714" t="s">
        <v>498</v>
      </c>
      <c r="C12" s="715">
        <v>310000</v>
      </c>
      <c r="D12" s="715">
        <f>+C12</f>
        <v>310000</v>
      </c>
      <c r="E12" s="708">
        <f t="shared" si="1"/>
        <v>0</v>
      </c>
      <c r="F12" s="637" t="s">
        <v>58</v>
      </c>
      <c r="G12" s="714" t="s">
        <v>84</v>
      </c>
      <c r="H12" s="715">
        <v>80000</v>
      </c>
      <c r="I12" s="715"/>
      <c r="J12" s="715">
        <f>H12-I12</f>
        <v>80000</v>
      </c>
    </row>
    <row r="13" spans="1:11" s="716" customFormat="1" ht="19.5" customHeight="1">
      <c r="A13" s="717"/>
      <c r="B13" s="714" t="s">
        <v>501</v>
      </c>
      <c r="C13" s="715"/>
      <c r="D13" s="715">
        <f>'2.Chi tiet thu xa'!C10</f>
        <v>0</v>
      </c>
      <c r="E13" s="708">
        <f t="shared" si="1"/>
        <v>0</v>
      </c>
      <c r="F13" s="717"/>
      <c r="G13" s="714" t="s">
        <v>90</v>
      </c>
      <c r="H13" s="715"/>
      <c r="I13" s="715">
        <v>5000</v>
      </c>
      <c r="J13" s="715">
        <f t="shared" ref="J13:J19" si="3">H13-I13</f>
        <v>-5000</v>
      </c>
    </row>
    <row r="14" spans="1:11" s="711" customFormat="1" ht="21.75" customHeight="1">
      <c r="A14" s="712">
        <v>2</v>
      </c>
      <c r="B14" s="713" t="s">
        <v>193</v>
      </c>
      <c r="C14" s="708">
        <f>SUM(C15:C18)</f>
        <v>30000</v>
      </c>
      <c r="D14" s="708">
        <f>SUM(D15:D18)</f>
        <v>30000</v>
      </c>
      <c r="E14" s="708">
        <f t="shared" si="1"/>
        <v>0</v>
      </c>
      <c r="F14" s="712">
        <v>2</v>
      </c>
      <c r="G14" s="713" t="s">
        <v>85</v>
      </c>
      <c r="H14" s="708">
        <f>SUM(H15:H18)</f>
        <v>60000</v>
      </c>
      <c r="I14" s="708">
        <f>SUM(I15:I18)</f>
        <v>28000</v>
      </c>
      <c r="J14" s="708">
        <f t="shared" si="3"/>
        <v>32000</v>
      </c>
    </row>
    <row r="15" spans="1:11" s="716" customFormat="1" ht="18" customHeight="1">
      <c r="A15" s="718"/>
      <c r="B15" s="714" t="s">
        <v>498</v>
      </c>
      <c r="C15" s="715">
        <v>10000</v>
      </c>
      <c r="D15" s="715">
        <f>+C15</f>
        <v>10000</v>
      </c>
      <c r="E15" s="708">
        <f t="shared" si="1"/>
        <v>0</v>
      </c>
      <c r="F15" s="718"/>
      <c r="G15" s="714" t="s">
        <v>84</v>
      </c>
      <c r="H15" s="715">
        <v>50000</v>
      </c>
      <c r="I15" s="715">
        <f t="shared" ref="I15:I29" si="4">D15</f>
        <v>10000</v>
      </c>
      <c r="J15" s="715">
        <f t="shared" si="3"/>
        <v>40000</v>
      </c>
    </row>
    <row r="16" spans="1:11" s="716" customFormat="1" ht="18" customHeight="1">
      <c r="A16" s="717"/>
      <c r="B16" s="714" t="s">
        <v>499</v>
      </c>
      <c r="C16" s="715">
        <v>15000</v>
      </c>
      <c r="D16" s="715">
        <f>+C16</f>
        <v>15000</v>
      </c>
      <c r="E16" s="708">
        <f t="shared" si="1"/>
        <v>0</v>
      </c>
      <c r="F16" s="717"/>
      <c r="G16" s="714" t="s">
        <v>88</v>
      </c>
      <c r="H16" s="715">
        <v>10000</v>
      </c>
      <c r="I16" s="715">
        <f t="shared" si="4"/>
        <v>15000</v>
      </c>
      <c r="J16" s="715">
        <f t="shared" si="3"/>
        <v>-5000</v>
      </c>
    </row>
    <row r="17" spans="1:11" s="716" customFormat="1" ht="18" customHeight="1">
      <c r="A17" s="717"/>
      <c r="B17" s="714" t="s">
        <v>501</v>
      </c>
      <c r="C17" s="715">
        <v>5000</v>
      </c>
      <c r="D17" s="715">
        <f>+C17</f>
        <v>5000</v>
      </c>
      <c r="E17" s="708">
        <f t="shared" si="1"/>
        <v>0</v>
      </c>
      <c r="F17" s="717"/>
      <c r="G17" s="714" t="s">
        <v>90</v>
      </c>
      <c r="H17" s="715"/>
      <c r="I17" s="715">
        <v>3000</v>
      </c>
      <c r="J17" s="715">
        <f t="shared" si="3"/>
        <v>-3000</v>
      </c>
    </row>
    <row r="18" spans="1:11" s="716" customFormat="1" ht="18" customHeight="1">
      <c r="A18" s="717"/>
      <c r="B18" s="714" t="s">
        <v>500</v>
      </c>
      <c r="C18" s="715">
        <f>D18</f>
        <v>0</v>
      </c>
      <c r="D18" s="715">
        <f>'2.Chi tiet thu xa'!C15</f>
        <v>0</v>
      </c>
      <c r="E18" s="708">
        <f t="shared" si="1"/>
        <v>0</v>
      </c>
      <c r="F18" s="717"/>
      <c r="G18" s="714" t="s">
        <v>89</v>
      </c>
      <c r="H18" s="715">
        <f>I18</f>
        <v>0</v>
      </c>
      <c r="I18" s="715">
        <f t="shared" si="4"/>
        <v>0</v>
      </c>
      <c r="J18" s="715">
        <f t="shared" si="3"/>
        <v>0</v>
      </c>
    </row>
    <row r="19" spans="1:11" s="711" customFormat="1" ht="21.75" customHeight="1">
      <c r="A19" s="712">
        <v>3</v>
      </c>
      <c r="B19" s="713" t="s">
        <v>191</v>
      </c>
      <c r="C19" s="708">
        <f>SUM(C20:C25)</f>
        <v>9150000</v>
      </c>
      <c r="D19" s="708">
        <f>SUM(D20:D25)</f>
        <v>9150000</v>
      </c>
      <c r="E19" s="708">
        <f t="shared" si="1"/>
        <v>0</v>
      </c>
      <c r="F19" s="712">
        <v>3</v>
      </c>
      <c r="G19" s="713" t="s">
        <v>86</v>
      </c>
      <c r="H19" s="708">
        <f>SUM(H20:H25)</f>
        <v>6270000</v>
      </c>
      <c r="I19" s="708">
        <f t="shared" si="4"/>
        <v>9150000</v>
      </c>
      <c r="J19" s="708">
        <f t="shared" si="3"/>
        <v>-2880000</v>
      </c>
    </row>
    <row r="20" spans="1:11" s="716" customFormat="1" ht="16.5" customHeight="1">
      <c r="A20" s="717"/>
      <c r="B20" s="714" t="s">
        <v>498</v>
      </c>
      <c r="C20" s="715">
        <v>6475000</v>
      </c>
      <c r="D20" s="715">
        <f>+C20</f>
        <v>6475000</v>
      </c>
      <c r="E20" s="708">
        <f t="shared" si="1"/>
        <v>0</v>
      </c>
      <c r="F20" s="717"/>
      <c r="G20" s="714" t="s">
        <v>87</v>
      </c>
      <c r="H20" s="715">
        <v>5070000</v>
      </c>
      <c r="I20" s="715">
        <f t="shared" si="4"/>
        <v>6475000</v>
      </c>
      <c r="J20" s="715"/>
    </row>
    <row r="21" spans="1:11" s="716" customFormat="1" ht="16.5" customHeight="1">
      <c r="A21" s="717"/>
      <c r="B21" s="714" t="s">
        <v>499</v>
      </c>
      <c r="C21" s="715">
        <v>470000</v>
      </c>
      <c r="D21" s="715">
        <f>+C21</f>
        <v>470000</v>
      </c>
      <c r="E21" s="708">
        <f t="shared" si="1"/>
        <v>0</v>
      </c>
      <c r="F21" s="717"/>
      <c r="G21" s="714" t="s">
        <v>88</v>
      </c>
      <c r="H21" s="715">
        <v>200000</v>
      </c>
      <c r="I21" s="715">
        <f t="shared" si="4"/>
        <v>470000</v>
      </c>
      <c r="J21" s="715"/>
    </row>
    <row r="22" spans="1:11" s="716" customFormat="1" ht="16.5" customHeight="1">
      <c r="A22" s="717"/>
      <c r="B22" s="714" t="s">
        <v>500</v>
      </c>
      <c r="C22" s="715">
        <v>2200000</v>
      </c>
      <c r="D22" s="715">
        <f>+C22</f>
        <v>2200000</v>
      </c>
      <c r="E22" s="708">
        <f t="shared" si="1"/>
        <v>0</v>
      </c>
      <c r="F22" s="717"/>
      <c r="G22" s="714" t="s">
        <v>89</v>
      </c>
      <c r="H22" s="715">
        <v>1000000</v>
      </c>
      <c r="I22" s="715">
        <f t="shared" si="4"/>
        <v>2200000</v>
      </c>
      <c r="J22" s="715"/>
    </row>
    <row r="23" spans="1:11" s="716" customFormat="1" ht="16.5" customHeight="1">
      <c r="A23" s="717"/>
      <c r="B23" s="714" t="s">
        <v>501</v>
      </c>
      <c r="C23" s="715"/>
      <c r="D23" s="715">
        <f>+C23</f>
        <v>0</v>
      </c>
      <c r="E23" s="708">
        <f t="shared" si="1"/>
        <v>0</v>
      </c>
      <c r="F23" s="717"/>
      <c r="G23" s="714" t="s">
        <v>90</v>
      </c>
      <c r="H23" s="715"/>
      <c r="I23" s="715">
        <f t="shared" si="4"/>
        <v>0</v>
      </c>
      <c r="J23" s="715"/>
    </row>
    <row r="24" spans="1:11" s="716" customFormat="1" ht="16.5" customHeight="1">
      <c r="A24" s="717"/>
      <c r="B24" s="714" t="s">
        <v>502</v>
      </c>
      <c r="C24" s="715">
        <v>5000</v>
      </c>
      <c r="D24" s="715">
        <f>+C24</f>
        <v>5000</v>
      </c>
      <c r="E24" s="708"/>
      <c r="F24" s="717"/>
      <c r="G24" s="714"/>
      <c r="H24" s="715"/>
      <c r="I24" s="715">
        <f t="shared" si="4"/>
        <v>5000</v>
      </c>
      <c r="J24" s="715"/>
    </row>
    <row r="25" spans="1:11" s="716" customFormat="1" ht="16.5" customHeight="1">
      <c r="A25" s="717"/>
      <c r="B25" s="714" t="s">
        <v>503</v>
      </c>
      <c r="C25" s="715">
        <f>D25</f>
        <v>0</v>
      </c>
      <c r="D25" s="715">
        <f>'2.Chi tiet thu xa'!C22</f>
        <v>0</v>
      </c>
      <c r="E25" s="708">
        <f t="shared" si="1"/>
        <v>0</v>
      </c>
      <c r="F25" s="717"/>
      <c r="G25" s="714" t="s">
        <v>91</v>
      </c>
      <c r="H25" s="715">
        <f>I25</f>
        <v>0</v>
      </c>
      <c r="I25" s="715">
        <f t="shared" si="4"/>
        <v>0</v>
      </c>
      <c r="J25" s="715"/>
    </row>
    <row r="26" spans="1:11" s="711" customFormat="1" ht="18.600000000000001" customHeight="1">
      <c r="A26" s="712">
        <v>4</v>
      </c>
      <c r="B26" s="713" t="s">
        <v>92</v>
      </c>
      <c r="C26" s="708">
        <f>SUM(C27+C28)</f>
        <v>6000000</v>
      </c>
      <c r="D26" s="708">
        <f>SUM(D27+D28)</f>
        <v>6000000</v>
      </c>
      <c r="E26" s="708">
        <f t="shared" si="1"/>
        <v>0</v>
      </c>
      <c r="F26" s="712">
        <v>4</v>
      </c>
      <c r="G26" s="713" t="s">
        <v>92</v>
      </c>
      <c r="H26" s="708">
        <f>SUM(H27:H28)</f>
        <v>2160000</v>
      </c>
      <c r="I26" s="708">
        <f>SUM(I27:I28)</f>
        <v>6000000</v>
      </c>
      <c r="J26" s="708">
        <f>SUM(J27:J28)</f>
        <v>0</v>
      </c>
    </row>
    <row r="27" spans="1:11" s="716" customFormat="1" ht="18.75" customHeight="1">
      <c r="A27" s="718"/>
      <c r="B27" s="714" t="s">
        <v>504</v>
      </c>
      <c r="C27" s="715">
        <v>400000</v>
      </c>
      <c r="D27" s="715">
        <f>+C27</f>
        <v>400000</v>
      </c>
      <c r="E27" s="708">
        <f t="shared" si="1"/>
        <v>0</v>
      </c>
      <c r="F27" s="718"/>
      <c r="G27" s="714" t="s">
        <v>93</v>
      </c>
      <c r="H27" s="715">
        <v>250000</v>
      </c>
      <c r="I27" s="708">
        <f t="shared" si="4"/>
        <v>400000</v>
      </c>
      <c r="J27" s="715"/>
    </row>
    <row r="28" spans="1:11" s="716" customFormat="1" ht="18.75" customHeight="1">
      <c r="A28" s="718"/>
      <c r="B28" s="714" t="s">
        <v>505</v>
      </c>
      <c r="C28" s="715">
        <v>5600000</v>
      </c>
      <c r="D28" s="715">
        <f>+C28</f>
        <v>5600000</v>
      </c>
      <c r="E28" s="708">
        <f t="shared" si="1"/>
        <v>0</v>
      </c>
      <c r="F28" s="718"/>
      <c r="G28" s="714" t="s">
        <v>94</v>
      </c>
      <c r="H28" s="715">
        <v>1910000</v>
      </c>
      <c r="I28" s="708">
        <f t="shared" si="4"/>
        <v>5600000</v>
      </c>
      <c r="J28" s="715"/>
    </row>
    <row r="29" spans="1:11" s="711" customFormat="1" ht="20.25" customHeight="1">
      <c r="A29" s="712">
        <v>5</v>
      </c>
      <c r="B29" s="713" t="s">
        <v>190</v>
      </c>
      <c r="C29" s="708">
        <v>10000</v>
      </c>
      <c r="D29" s="708">
        <f>'2.Chi tiet thu xa'!C27</f>
        <v>10000</v>
      </c>
      <c r="E29" s="708">
        <f t="shared" si="1"/>
        <v>0</v>
      </c>
      <c r="F29" s="712">
        <v>5</v>
      </c>
      <c r="G29" s="713" t="s">
        <v>95</v>
      </c>
      <c r="H29" s="708">
        <v>20000</v>
      </c>
      <c r="I29" s="708">
        <f t="shared" si="4"/>
        <v>10000</v>
      </c>
      <c r="J29" s="708"/>
    </row>
    <row r="30" spans="1:11" s="711" customFormat="1" ht="21.75" customHeight="1">
      <c r="A30" s="712">
        <v>6</v>
      </c>
      <c r="B30" s="713" t="s">
        <v>96</v>
      </c>
      <c r="C30" s="708"/>
      <c r="D30" s="708">
        <f>'2.Chi tiet thu xa'!C28</f>
        <v>0</v>
      </c>
      <c r="E30" s="708">
        <f t="shared" si="1"/>
        <v>0</v>
      </c>
      <c r="F30" s="712">
        <v>6</v>
      </c>
      <c r="G30" s="713" t="s">
        <v>96</v>
      </c>
      <c r="H30" s="708"/>
      <c r="I30" s="708"/>
      <c r="J30" s="708"/>
    </row>
    <row r="31" spans="1:11" s="711" customFormat="1" ht="21.75" customHeight="1">
      <c r="A31" s="712">
        <v>7</v>
      </c>
      <c r="B31" s="713" t="s">
        <v>97</v>
      </c>
      <c r="C31" s="708">
        <v>7000000</v>
      </c>
      <c r="D31" s="708">
        <f>+C31</f>
        <v>7000000</v>
      </c>
      <c r="E31" s="708">
        <f t="shared" si="1"/>
        <v>0</v>
      </c>
      <c r="F31" s="712">
        <v>7</v>
      </c>
      <c r="G31" s="713" t="s">
        <v>97</v>
      </c>
      <c r="H31" s="708">
        <v>4200000</v>
      </c>
      <c r="I31" s="708">
        <f>H31*90%</f>
        <v>3780000</v>
      </c>
      <c r="J31" s="708">
        <f>H31-I31</f>
        <v>420000</v>
      </c>
      <c r="K31" s="711">
        <v>90</v>
      </c>
    </row>
    <row r="32" spans="1:11" s="711" customFormat="1" ht="21.75" customHeight="1">
      <c r="A32" s="712">
        <v>8</v>
      </c>
      <c r="B32" s="713" t="s">
        <v>194</v>
      </c>
      <c r="C32" s="708">
        <v>3200000</v>
      </c>
      <c r="D32" s="708">
        <f>+C32</f>
        <v>3200000</v>
      </c>
      <c r="E32" s="708">
        <f t="shared" si="1"/>
        <v>0</v>
      </c>
      <c r="F32" s="712">
        <v>8</v>
      </c>
      <c r="G32" s="713" t="s">
        <v>98</v>
      </c>
      <c r="H32" s="708">
        <v>2110000</v>
      </c>
      <c r="I32" s="708">
        <f>D32</f>
        <v>3200000</v>
      </c>
      <c r="J32" s="708">
        <f>H32-I32</f>
        <v>-1090000</v>
      </c>
    </row>
    <row r="33" spans="1:10" s="711" customFormat="1" ht="21.75" customHeight="1">
      <c r="A33" s="712">
        <v>9</v>
      </c>
      <c r="B33" s="713" t="s">
        <v>99</v>
      </c>
      <c r="C33" s="708">
        <v>2500000</v>
      </c>
      <c r="D33" s="708">
        <f>+C33</f>
        <v>2500000</v>
      </c>
      <c r="E33" s="708">
        <f t="shared" si="1"/>
        <v>0</v>
      </c>
      <c r="F33" s="712">
        <v>9</v>
      </c>
      <c r="G33" s="713" t="s">
        <v>99</v>
      </c>
      <c r="H33" s="708">
        <f>SUM(H34:H36)</f>
        <v>1410000</v>
      </c>
      <c r="I33" s="708">
        <f>SUM(I34:I36)</f>
        <v>0</v>
      </c>
      <c r="J33" s="708">
        <f>H33-I33</f>
        <v>1410000</v>
      </c>
    </row>
    <row r="34" spans="1:10" s="711" customFormat="1" ht="18.75" hidden="1" customHeight="1">
      <c r="A34" s="712"/>
      <c r="B34" s="714" t="s">
        <v>506</v>
      </c>
      <c r="C34" s="715"/>
      <c r="D34" s="715"/>
      <c r="E34" s="708">
        <f t="shared" si="1"/>
        <v>0</v>
      </c>
      <c r="F34" s="712"/>
      <c r="G34" s="713"/>
      <c r="H34" s="715"/>
      <c r="I34" s="708">
        <f>D34</f>
        <v>0</v>
      </c>
      <c r="J34" s="708"/>
    </row>
    <row r="35" spans="1:10" s="716" customFormat="1" ht="18.75" hidden="1" customHeight="1">
      <c r="A35" s="718"/>
      <c r="B35" s="714" t="s">
        <v>507</v>
      </c>
      <c r="C35" s="715"/>
      <c r="D35" s="715"/>
      <c r="E35" s="708">
        <f t="shared" si="1"/>
        <v>0</v>
      </c>
      <c r="F35" s="718"/>
      <c r="G35" s="714" t="s">
        <v>101</v>
      </c>
      <c r="H35" s="715">
        <v>1410000</v>
      </c>
      <c r="I35" s="708">
        <f>D35</f>
        <v>0</v>
      </c>
      <c r="J35" s="715"/>
    </row>
    <row r="36" spans="1:10" s="716" customFormat="1" ht="18.75" hidden="1" customHeight="1">
      <c r="A36" s="718"/>
      <c r="B36" s="714" t="s">
        <v>508</v>
      </c>
      <c r="C36" s="715"/>
      <c r="D36" s="715"/>
      <c r="E36" s="708">
        <f t="shared" si="1"/>
        <v>0</v>
      </c>
      <c r="F36" s="718"/>
      <c r="G36" s="714" t="s">
        <v>100</v>
      </c>
      <c r="H36" s="715"/>
      <c r="I36" s="708">
        <f>D36</f>
        <v>0</v>
      </c>
      <c r="J36" s="715"/>
    </row>
    <row r="37" spans="1:10" s="711" customFormat="1" ht="19.5" customHeight="1">
      <c r="A37" s="712">
        <v>10</v>
      </c>
      <c r="B37" s="713" t="s">
        <v>102</v>
      </c>
      <c r="C37" s="708"/>
      <c r="D37" s="708">
        <f>'2.Chi tiet thu xa'!C35</f>
        <v>0</v>
      </c>
      <c r="E37" s="708">
        <f t="shared" si="1"/>
        <v>0</v>
      </c>
      <c r="F37" s="712">
        <v>10</v>
      </c>
      <c r="G37" s="713" t="s">
        <v>102</v>
      </c>
      <c r="H37" s="708">
        <v>380000</v>
      </c>
      <c r="I37" s="708">
        <f>D37</f>
        <v>0</v>
      </c>
      <c r="J37" s="708"/>
    </row>
    <row r="38" spans="1:10" s="711" customFormat="1" ht="19.5" customHeight="1">
      <c r="A38" s="712">
        <v>11</v>
      </c>
      <c r="B38" s="713" t="s">
        <v>103</v>
      </c>
      <c r="C38" s="708">
        <v>3800000</v>
      </c>
      <c r="D38" s="708">
        <f>+C38</f>
        <v>3800000</v>
      </c>
      <c r="E38" s="708">
        <f t="shared" si="1"/>
        <v>0</v>
      </c>
      <c r="F38" s="712">
        <v>11</v>
      </c>
      <c r="G38" s="713" t="s">
        <v>103</v>
      </c>
      <c r="H38" s="708">
        <v>1290000</v>
      </c>
      <c r="I38" s="708">
        <f>H38-282000</f>
        <v>1008000</v>
      </c>
      <c r="J38" s="708">
        <f>H38-I38</f>
        <v>282000</v>
      </c>
    </row>
    <row r="39" spans="1:10" s="711" customFormat="1" ht="19.5" customHeight="1">
      <c r="A39" s="709" t="s">
        <v>37</v>
      </c>
      <c r="B39" s="725" t="s">
        <v>104</v>
      </c>
      <c r="C39" s="636">
        <v>400504000</v>
      </c>
      <c r="D39" s="708">
        <f>C39</f>
        <v>400504000</v>
      </c>
      <c r="E39" s="726" t="e">
        <f>#REF!-C39</f>
        <v>#REF!</v>
      </c>
      <c r="F39" s="727" t="s">
        <v>37</v>
      </c>
      <c r="G39" s="728" t="s">
        <v>104</v>
      </c>
      <c r="H39" s="729">
        <v>266115000</v>
      </c>
      <c r="I39" s="729">
        <f>H39</f>
        <v>266115000</v>
      </c>
      <c r="J39" s="730">
        <f>I39-H39</f>
        <v>0</v>
      </c>
    </row>
    <row r="40" spans="1:10" s="711" customFormat="1" ht="19.5" customHeight="1">
      <c r="A40" s="709" t="s">
        <v>179</v>
      </c>
      <c r="B40" s="725" t="s">
        <v>640</v>
      </c>
      <c r="C40" s="731">
        <v>135144000</v>
      </c>
      <c r="D40" s="732">
        <f>+C40</f>
        <v>135144000</v>
      </c>
      <c r="E40" s="733"/>
      <c r="F40" s="734"/>
      <c r="G40" s="735"/>
      <c r="H40" s="687"/>
      <c r="I40" s="687"/>
      <c r="J40" s="733"/>
    </row>
    <row r="41" spans="1:10" ht="19.5" customHeight="1">
      <c r="A41" s="709" t="s">
        <v>259</v>
      </c>
      <c r="B41" s="728" t="s">
        <v>210</v>
      </c>
      <c r="C41" s="729">
        <v>99307000</v>
      </c>
      <c r="D41" s="736">
        <f>C41</f>
        <v>99307000</v>
      </c>
    </row>
    <row r="42" spans="1:10" ht="15.75">
      <c r="A42" s="737"/>
      <c r="B42" s="737"/>
      <c r="C42" s="803"/>
      <c r="D42" s="737"/>
      <c r="E42" s="737"/>
      <c r="F42" s="737"/>
      <c r="G42" s="737"/>
      <c r="H42" s="737"/>
    </row>
    <row r="43" spans="1:10">
      <c r="C43" s="560"/>
    </row>
    <row r="44" spans="1:10" ht="15.75">
      <c r="C44" s="737"/>
      <c r="D44" s="737"/>
    </row>
  </sheetData>
  <mergeCells count="8">
    <mergeCell ref="A1:B1"/>
    <mergeCell ref="C5:D5"/>
    <mergeCell ref="A2:D2"/>
    <mergeCell ref="A3:D3"/>
    <mergeCell ref="A4:I4"/>
    <mergeCell ref="F2:J2"/>
    <mergeCell ref="H5:J5"/>
    <mergeCell ref="F3:I3"/>
  </mergeCells>
  <phoneticPr fontId="16" type="noConversion"/>
  <pageMargins left="1.07" right="0.35" top="0.16" bottom="0.24" header="0.33" footer="0.2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sheetPr>
  <dimension ref="A1:AO40"/>
  <sheetViews>
    <sheetView workbookViewId="0">
      <pane xSplit="2" ySplit="6" topLeftCell="G7" activePane="bottomRight" state="frozen"/>
      <selection activeCell="J22" sqref="J22"/>
      <selection pane="topRight" activeCell="J22" sqref="J22"/>
      <selection pane="bottomLeft" activeCell="J22" sqref="J22"/>
      <selection pane="bottomRight" activeCell="Q3" sqref="Q3:X3"/>
    </sheetView>
  </sheetViews>
  <sheetFormatPr defaultColWidth="9" defaultRowHeight="15.75"/>
  <cols>
    <col min="1" max="1" width="5" style="2" customWidth="1"/>
    <col min="2" max="2" width="27.875" style="2" customWidth="1"/>
    <col min="3" max="4" width="14.625" style="2" customWidth="1"/>
    <col min="5" max="8" width="13.875" style="2" customWidth="1"/>
    <col min="9" max="9" width="10.5" style="2" customWidth="1"/>
    <col min="10" max="18" width="11.125" style="2" customWidth="1"/>
    <col min="19" max="19" width="10.875" style="2" customWidth="1"/>
    <col min="20" max="20" width="11.625" style="2" customWidth="1"/>
    <col min="21" max="21" width="10.625" style="2" customWidth="1"/>
    <col min="22" max="22" width="11.375" style="2" customWidth="1"/>
    <col min="23" max="24" width="11.625" style="2" customWidth="1"/>
    <col min="25" max="34" width="11.125" style="2" customWidth="1"/>
    <col min="35" max="35" width="13" style="2" customWidth="1"/>
    <col min="36" max="36" width="13.25" style="2" customWidth="1"/>
    <col min="37" max="38" width="16.125" style="2" customWidth="1"/>
    <col min="39" max="40" width="11.125" style="2" hidden="1" customWidth="1"/>
    <col min="41" max="41" width="11.125" style="2" bestFit="1" customWidth="1"/>
    <col min="42" max="16384" width="9" style="2"/>
  </cols>
  <sheetData>
    <row r="1" spans="1:41" ht="15.75" customHeight="1">
      <c r="G1" s="1168" t="s">
        <v>262</v>
      </c>
      <c r="H1" s="1168"/>
      <c r="P1" s="1" t="s">
        <v>262</v>
      </c>
      <c r="R1" s="1"/>
      <c r="W1" s="1168" t="s">
        <v>262</v>
      </c>
      <c r="X1" s="1168"/>
      <c r="AK1" s="1168" t="s">
        <v>262</v>
      </c>
      <c r="AL1" s="1168"/>
    </row>
    <row r="2" spans="1:41" s="6" customFormat="1">
      <c r="C2" s="6" t="s">
        <v>1439</v>
      </c>
      <c r="I2" s="1169" t="s">
        <v>1439</v>
      </c>
      <c r="J2" s="1169"/>
      <c r="K2" s="1169"/>
      <c r="L2" s="1169"/>
      <c r="M2" s="1169"/>
      <c r="N2" s="1169"/>
      <c r="O2" s="1169"/>
      <c r="P2" s="1169"/>
      <c r="Q2" s="1169" t="s">
        <v>1439</v>
      </c>
      <c r="R2" s="1169"/>
      <c r="S2" s="1169"/>
      <c r="T2" s="1169"/>
      <c r="U2" s="1169"/>
      <c r="V2" s="1169"/>
      <c r="W2" s="1169"/>
      <c r="X2" s="1169"/>
      <c r="Y2" s="1169" t="s">
        <v>1439</v>
      </c>
      <c r="Z2" s="1169"/>
      <c r="AA2" s="1169"/>
      <c r="AB2" s="1169"/>
      <c r="AC2" s="1169"/>
      <c r="AD2" s="1169"/>
      <c r="AE2" s="1169"/>
      <c r="AF2" s="1169"/>
      <c r="AG2" s="1169" t="s">
        <v>1439</v>
      </c>
      <c r="AH2" s="1169"/>
      <c r="AI2" s="1169"/>
      <c r="AJ2" s="1169"/>
      <c r="AK2" s="1169"/>
      <c r="AL2" s="1169"/>
      <c r="AM2" s="1169"/>
      <c r="AN2" s="1169"/>
    </row>
    <row r="3" spans="1:41" s="3" customFormat="1" ht="15" customHeight="1">
      <c r="A3" s="141"/>
      <c r="B3" s="141"/>
      <c r="C3" s="698" t="s">
        <v>1559</v>
      </c>
      <c r="D3" s="698"/>
      <c r="E3" s="698"/>
      <c r="F3" s="698"/>
      <c r="G3" s="698"/>
      <c r="H3" s="698"/>
      <c r="I3" s="1171" t="s">
        <v>1559</v>
      </c>
      <c r="J3" s="1171"/>
      <c r="K3" s="1171"/>
      <c r="L3" s="1171"/>
      <c r="M3" s="1171"/>
      <c r="N3" s="1171"/>
      <c r="O3" s="1171"/>
      <c r="P3" s="1171"/>
      <c r="Q3" s="1171" t="s">
        <v>1559</v>
      </c>
      <c r="R3" s="1171"/>
      <c r="S3" s="1171"/>
      <c r="T3" s="1171"/>
      <c r="U3" s="1171"/>
      <c r="V3" s="1171"/>
      <c r="W3" s="1171"/>
      <c r="X3" s="1171"/>
      <c r="Y3" s="1171" t="s">
        <v>1559</v>
      </c>
      <c r="Z3" s="1171"/>
      <c r="AA3" s="1171"/>
      <c r="AB3" s="1171"/>
      <c r="AC3" s="1171"/>
      <c r="AD3" s="1171"/>
      <c r="AE3" s="1171"/>
      <c r="AF3" s="1171"/>
      <c r="AG3" s="1171" t="s">
        <v>1559</v>
      </c>
      <c r="AH3" s="1171"/>
      <c r="AI3" s="1171"/>
      <c r="AJ3" s="1171"/>
      <c r="AK3" s="1171"/>
      <c r="AL3" s="1171"/>
      <c r="AM3" s="1171"/>
      <c r="AN3" s="1171"/>
    </row>
    <row r="4" spans="1:41" s="3" customFormat="1">
      <c r="B4" s="699"/>
      <c r="C4" s="699"/>
      <c r="D4" s="699"/>
      <c r="E4" s="699"/>
      <c r="F4" s="699"/>
      <c r="G4" s="1174" t="s">
        <v>174</v>
      </c>
      <c r="H4" s="1174"/>
      <c r="I4" s="699"/>
      <c r="J4" s="699"/>
      <c r="L4" s="699"/>
      <c r="M4" s="699"/>
      <c r="N4" s="699"/>
      <c r="O4" s="699" t="s">
        <v>174</v>
      </c>
      <c r="P4" s="699"/>
      <c r="Q4" s="699"/>
      <c r="R4" s="699"/>
      <c r="S4" s="699"/>
      <c r="T4" s="699"/>
      <c r="U4" s="699"/>
      <c r="V4" s="699"/>
      <c r="W4" s="699" t="s">
        <v>174</v>
      </c>
      <c r="X4" s="699"/>
      <c r="Z4" s="699"/>
      <c r="AA4" s="699"/>
      <c r="AB4" s="699"/>
      <c r="AD4" s="699"/>
      <c r="AE4" s="699" t="s">
        <v>174</v>
      </c>
      <c r="AF4" s="699"/>
      <c r="AG4" s="699"/>
      <c r="AH4" s="699"/>
      <c r="AI4" s="1170" t="s">
        <v>174</v>
      </c>
      <c r="AJ4" s="1170"/>
      <c r="AK4" s="1170"/>
      <c r="AL4" s="1170"/>
      <c r="AM4" s="1170"/>
      <c r="AN4" s="1170"/>
    </row>
    <row r="5" spans="1:41" s="6" customFormat="1" ht="19.5" customHeight="1">
      <c r="A5" s="1173" t="s">
        <v>180</v>
      </c>
      <c r="B5" s="1173" t="s">
        <v>108</v>
      </c>
      <c r="C5" s="1173" t="s">
        <v>105</v>
      </c>
      <c r="D5" s="1173"/>
      <c r="E5" s="1173" t="s">
        <v>22</v>
      </c>
      <c r="F5" s="1173"/>
      <c r="G5" s="1173" t="s">
        <v>23</v>
      </c>
      <c r="H5" s="1173"/>
      <c r="I5" s="1173" t="s">
        <v>24</v>
      </c>
      <c r="J5" s="1173"/>
      <c r="K5" s="1173" t="s">
        <v>25</v>
      </c>
      <c r="L5" s="1173"/>
      <c r="M5" s="1173" t="s">
        <v>26</v>
      </c>
      <c r="N5" s="1173"/>
      <c r="O5" s="1173" t="s">
        <v>27</v>
      </c>
      <c r="P5" s="1173"/>
      <c r="Q5" s="1173" t="s">
        <v>28</v>
      </c>
      <c r="R5" s="1173"/>
      <c r="S5" s="1173" t="s">
        <v>29</v>
      </c>
      <c r="T5" s="1173"/>
      <c r="U5" s="1173" t="s">
        <v>286</v>
      </c>
      <c r="V5" s="1173"/>
      <c r="W5" s="1173" t="s">
        <v>296</v>
      </c>
      <c r="X5" s="1173"/>
      <c r="Y5" s="1173" t="s">
        <v>289</v>
      </c>
      <c r="Z5" s="1173"/>
      <c r="AA5" s="1173" t="s">
        <v>288</v>
      </c>
      <c r="AB5" s="1173"/>
      <c r="AC5" s="1173" t="s">
        <v>30</v>
      </c>
      <c r="AD5" s="1173"/>
      <c r="AE5" s="1173" t="s">
        <v>31</v>
      </c>
      <c r="AF5" s="1173"/>
      <c r="AG5" s="1173" t="s">
        <v>32</v>
      </c>
      <c r="AH5" s="1173"/>
      <c r="AI5" s="1173" t="s">
        <v>43</v>
      </c>
      <c r="AJ5" s="1173"/>
      <c r="AK5" s="1173" t="s">
        <v>128</v>
      </c>
      <c r="AL5" s="1173"/>
      <c r="AM5" s="1173" t="s">
        <v>106</v>
      </c>
      <c r="AN5" s="1173" t="s">
        <v>203</v>
      </c>
    </row>
    <row r="6" spans="1:41" s="12" customFormat="1" ht="19.5" customHeight="1">
      <c r="A6" s="1173"/>
      <c r="B6" s="1173"/>
      <c r="C6" s="4" t="s">
        <v>57</v>
      </c>
      <c r="D6" s="4" t="s">
        <v>107</v>
      </c>
      <c r="E6" s="4" t="s">
        <v>57</v>
      </c>
      <c r="F6" s="4" t="s">
        <v>107</v>
      </c>
      <c r="G6" s="4" t="s">
        <v>57</v>
      </c>
      <c r="H6" s="4" t="s">
        <v>107</v>
      </c>
      <c r="I6" s="4" t="s">
        <v>57</v>
      </c>
      <c r="J6" s="4" t="s">
        <v>107</v>
      </c>
      <c r="K6" s="4" t="s">
        <v>57</v>
      </c>
      <c r="L6" s="4" t="s">
        <v>107</v>
      </c>
      <c r="M6" s="4" t="s">
        <v>57</v>
      </c>
      <c r="N6" s="4" t="s">
        <v>107</v>
      </c>
      <c r="O6" s="4" t="s">
        <v>57</v>
      </c>
      <c r="P6" s="4" t="s">
        <v>107</v>
      </c>
      <c r="Q6" s="4" t="s">
        <v>57</v>
      </c>
      <c r="R6" s="4" t="s">
        <v>107</v>
      </c>
      <c r="S6" s="4" t="s">
        <v>57</v>
      </c>
      <c r="T6" s="4" t="s">
        <v>107</v>
      </c>
      <c r="U6" s="4" t="s">
        <v>57</v>
      </c>
      <c r="V6" s="4" t="s">
        <v>107</v>
      </c>
      <c r="W6" s="4" t="s">
        <v>57</v>
      </c>
      <c r="X6" s="4" t="s">
        <v>107</v>
      </c>
      <c r="Y6" s="4" t="s">
        <v>57</v>
      </c>
      <c r="Z6" s="4" t="s">
        <v>107</v>
      </c>
      <c r="AA6" s="4" t="s">
        <v>57</v>
      </c>
      <c r="AB6" s="4" t="s">
        <v>107</v>
      </c>
      <c r="AC6" s="4" t="s">
        <v>57</v>
      </c>
      <c r="AD6" s="4" t="s">
        <v>107</v>
      </c>
      <c r="AE6" s="4" t="s">
        <v>57</v>
      </c>
      <c r="AF6" s="4" t="s">
        <v>107</v>
      </c>
      <c r="AG6" s="4" t="s">
        <v>57</v>
      </c>
      <c r="AH6" s="4" t="s">
        <v>107</v>
      </c>
      <c r="AI6" s="4" t="s">
        <v>57</v>
      </c>
      <c r="AJ6" s="4" t="s">
        <v>107</v>
      </c>
      <c r="AK6" s="4" t="s">
        <v>57</v>
      </c>
      <c r="AL6" s="4" t="s">
        <v>107</v>
      </c>
      <c r="AM6" s="1173"/>
      <c r="AN6" s="1173"/>
    </row>
    <row r="7" spans="1:41" s="6" customFormat="1" ht="17.25" customHeight="1">
      <c r="A7" s="14"/>
      <c r="B7" s="700" t="s">
        <v>109</v>
      </c>
      <c r="C7" s="24">
        <f>C8+C11+C16+C23+C27+C28+C29+C30+C31+C35+C36</f>
        <v>6590000</v>
      </c>
      <c r="D7" s="24">
        <f t="shared" ref="D7:AN7" si="0">D8+D11+D16+D23+D27+D28+D29+D30+D31+D35+D36</f>
        <v>4190000</v>
      </c>
      <c r="E7" s="24">
        <f t="shared" si="0"/>
        <v>268000</v>
      </c>
      <c r="F7" s="24">
        <f t="shared" si="0"/>
        <v>152000</v>
      </c>
      <c r="G7" s="24">
        <f t="shared" si="0"/>
        <v>275000</v>
      </c>
      <c r="H7" s="24">
        <f t="shared" si="0"/>
        <v>141000</v>
      </c>
      <c r="I7" s="24">
        <f t="shared" si="0"/>
        <v>215000</v>
      </c>
      <c r="J7" s="24">
        <f t="shared" si="0"/>
        <v>158000</v>
      </c>
      <c r="K7" s="24">
        <f t="shared" si="0"/>
        <v>215000</v>
      </c>
      <c r="L7" s="24">
        <f t="shared" si="0"/>
        <v>150000</v>
      </c>
      <c r="M7" s="24">
        <f t="shared" si="0"/>
        <v>180000</v>
      </c>
      <c r="N7" s="24">
        <f t="shared" si="0"/>
        <v>134000</v>
      </c>
      <c r="O7" s="24">
        <f t="shared" si="0"/>
        <v>200000</v>
      </c>
      <c r="P7" s="24">
        <f t="shared" si="0"/>
        <v>143000</v>
      </c>
      <c r="Q7" s="24">
        <f t="shared" si="0"/>
        <v>375000</v>
      </c>
      <c r="R7" s="24">
        <f t="shared" si="0"/>
        <v>269000</v>
      </c>
      <c r="S7" s="24">
        <f t="shared" si="0"/>
        <v>240000</v>
      </c>
      <c r="T7" s="24">
        <f t="shared" si="0"/>
        <v>205000</v>
      </c>
      <c r="U7" s="24">
        <f t="shared" si="0"/>
        <v>286000</v>
      </c>
      <c r="V7" s="24">
        <f t="shared" si="0"/>
        <v>193000</v>
      </c>
      <c r="W7" s="24">
        <f t="shared" si="0"/>
        <v>438000</v>
      </c>
      <c r="X7" s="24">
        <f t="shared" si="0"/>
        <v>278000</v>
      </c>
      <c r="Y7" s="24">
        <f t="shared" si="0"/>
        <v>435000</v>
      </c>
      <c r="Z7" s="24">
        <f t="shared" si="0"/>
        <v>334000</v>
      </c>
      <c r="AA7" s="24">
        <f t="shared" si="0"/>
        <v>305000</v>
      </c>
      <c r="AB7" s="24">
        <f t="shared" si="0"/>
        <v>170000</v>
      </c>
      <c r="AC7" s="24">
        <f t="shared" si="0"/>
        <v>290000</v>
      </c>
      <c r="AD7" s="24">
        <f t="shared" si="0"/>
        <v>180000</v>
      </c>
      <c r="AE7" s="24">
        <f t="shared" si="0"/>
        <v>138000</v>
      </c>
      <c r="AF7" s="24">
        <f t="shared" si="0"/>
        <v>88000</v>
      </c>
      <c r="AG7" s="24">
        <f t="shared" si="0"/>
        <v>480000</v>
      </c>
      <c r="AH7" s="24">
        <f t="shared" si="0"/>
        <v>376000</v>
      </c>
      <c r="AI7" s="24">
        <f t="shared" si="0"/>
        <v>240000</v>
      </c>
      <c r="AJ7" s="24">
        <f t="shared" si="0"/>
        <v>174000</v>
      </c>
      <c r="AK7" s="24">
        <f t="shared" si="0"/>
        <v>2010000</v>
      </c>
      <c r="AL7" s="24">
        <f t="shared" si="0"/>
        <v>1045000</v>
      </c>
      <c r="AM7" s="24">
        <f t="shared" si="0"/>
        <v>22082000</v>
      </c>
      <c r="AN7" s="24">
        <f t="shared" si="0"/>
        <v>-15467000</v>
      </c>
      <c r="AO7" s="5"/>
    </row>
    <row r="8" spans="1:41" s="12" customFormat="1" ht="12.75" customHeight="1">
      <c r="A8" s="152">
        <v>1</v>
      </c>
      <c r="B8" s="701" t="s">
        <v>496</v>
      </c>
      <c r="C8" s="153">
        <f>SUM(C9:C10)</f>
        <v>0</v>
      </c>
      <c r="D8" s="153">
        <f>SUM(D9:D10)</f>
        <v>0</v>
      </c>
      <c r="E8" s="153">
        <f t="shared" ref="E8:AM8" si="1">SUM(E9:E10)</f>
        <v>0</v>
      </c>
      <c r="F8" s="153">
        <f t="shared" si="1"/>
        <v>0</v>
      </c>
      <c r="G8" s="153">
        <f t="shared" si="1"/>
        <v>0</v>
      </c>
      <c r="H8" s="153">
        <f t="shared" si="1"/>
        <v>0</v>
      </c>
      <c r="I8" s="153">
        <f t="shared" si="1"/>
        <v>0</v>
      </c>
      <c r="J8" s="153">
        <f t="shared" si="1"/>
        <v>0</v>
      </c>
      <c r="K8" s="153">
        <f t="shared" si="1"/>
        <v>0</v>
      </c>
      <c r="L8" s="153">
        <f t="shared" si="1"/>
        <v>0</v>
      </c>
      <c r="M8" s="153">
        <f t="shared" si="1"/>
        <v>0</v>
      </c>
      <c r="N8" s="153">
        <f t="shared" si="1"/>
        <v>0</v>
      </c>
      <c r="O8" s="153">
        <f t="shared" si="1"/>
        <v>0</v>
      </c>
      <c r="P8" s="153">
        <f t="shared" si="1"/>
        <v>0</v>
      </c>
      <c r="Q8" s="153">
        <f t="shared" si="1"/>
        <v>0</v>
      </c>
      <c r="R8" s="153">
        <f t="shared" si="1"/>
        <v>0</v>
      </c>
      <c r="S8" s="153">
        <f t="shared" si="1"/>
        <v>0</v>
      </c>
      <c r="T8" s="153">
        <f t="shared" si="1"/>
        <v>0</v>
      </c>
      <c r="U8" s="153">
        <f t="shared" si="1"/>
        <v>0</v>
      </c>
      <c r="V8" s="153">
        <f t="shared" si="1"/>
        <v>0</v>
      </c>
      <c r="W8" s="153">
        <f t="shared" si="1"/>
        <v>0</v>
      </c>
      <c r="X8" s="153">
        <f t="shared" si="1"/>
        <v>0</v>
      </c>
      <c r="Y8" s="153">
        <f t="shared" si="1"/>
        <v>0</v>
      </c>
      <c r="Z8" s="153">
        <f t="shared" si="1"/>
        <v>0</v>
      </c>
      <c r="AA8" s="153">
        <f t="shared" si="1"/>
        <v>0</v>
      </c>
      <c r="AB8" s="153">
        <f t="shared" si="1"/>
        <v>0</v>
      </c>
      <c r="AC8" s="153">
        <f t="shared" si="1"/>
        <v>0</v>
      </c>
      <c r="AD8" s="153">
        <f t="shared" si="1"/>
        <v>0</v>
      </c>
      <c r="AE8" s="153">
        <f t="shared" si="1"/>
        <v>0</v>
      </c>
      <c r="AF8" s="153">
        <f t="shared" si="1"/>
        <v>0</v>
      </c>
      <c r="AG8" s="153">
        <f t="shared" si="1"/>
        <v>0</v>
      </c>
      <c r="AH8" s="153">
        <f t="shared" si="1"/>
        <v>0</v>
      </c>
      <c r="AI8" s="153">
        <f t="shared" si="1"/>
        <v>0</v>
      </c>
      <c r="AJ8" s="153">
        <f t="shared" si="1"/>
        <v>0</v>
      </c>
      <c r="AK8" s="153">
        <f t="shared" si="1"/>
        <v>0</v>
      </c>
      <c r="AL8" s="153">
        <f t="shared" si="1"/>
        <v>0</v>
      </c>
      <c r="AM8" s="153">
        <f t="shared" si="1"/>
        <v>290000</v>
      </c>
      <c r="AN8" s="153">
        <f>SUM(AN9:AN10)</f>
        <v>-290000</v>
      </c>
      <c r="AO8" s="154"/>
    </row>
    <row r="9" spans="1:41" s="1" customFormat="1" ht="12.75" customHeight="1">
      <c r="A9" s="9" t="s">
        <v>58</v>
      </c>
      <c r="B9" s="9" t="s">
        <v>498</v>
      </c>
      <c r="C9" s="11">
        <f>E9+G9+I9+K9+M9+O9+Q9+S9+U9+W9+Y9+AA9+AC9+AE9+AG9+AI9+AK9</f>
        <v>0</v>
      </c>
      <c r="D9" s="151">
        <f>F9+H9+J9+L9+N9+P9+R9+T9+V9+X9+Z9+AB9+AD9+AF9+AH9+AJ9+AL9</f>
        <v>0</v>
      </c>
      <c r="E9" s="155">
        <v>0</v>
      </c>
      <c r="F9" s="155">
        <v>0</v>
      </c>
      <c r="G9" s="155">
        <v>0</v>
      </c>
      <c r="H9" s="155">
        <v>0</v>
      </c>
      <c r="I9" s="155">
        <v>0</v>
      </c>
      <c r="J9" s="155"/>
      <c r="K9" s="155">
        <v>0</v>
      </c>
      <c r="L9" s="155"/>
      <c r="M9" s="11">
        <v>0</v>
      </c>
      <c r="N9" s="11"/>
      <c r="O9" s="11">
        <v>0</v>
      </c>
      <c r="P9" s="11"/>
      <c r="Q9" s="11">
        <v>0</v>
      </c>
      <c r="R9" s="11"/>
      <c r="S9" s="11">
        <v>0</v>
      </c>
      <c r="T9" s="11"/>
      <c r="U9" s="11">
        <v>0</v>
      </c>
      <c r="V9" s="11"/>
      <c r="W9" s="11">
        <v>0</v>
      </c>
      <c r="X9" s="11"/>
      <c r="Y9" s="11">
        <v>0</v>
      </c>
      <c r="Z9" s="11"/>
      <c r="AA9" s="11">
        <v>0</v>
      </c>
      <c r="AB9" s="11"/>
      <c r="AC9" s="11">
        <v>0</v>
      </c>
      <c r="AD9" s="11"/>
      <c r="AE9" s="11"/>
      <c r="AF9" s="11"/>
      <c r="AG9" s="11"/>
      <c r="AH9" s="11"/>
      <c r="AI9" s="11">
        <v>0</v>
      </c>
      <c r="AJ9" s="11"/>
      <c r="AK9" s="11">
        <v>0</v>
      </c>
      <c r="AL9" s="11"/>
      <c r="AM9" s="11">
        <v>290000</v>
      </c>
      <c r="AN9" s="11">
        <f>C9-AM9</f>
        <v>-290000</v>
      </c>
    </row>
    <row r="10" spans="1:41" s="1" customFormat="1" ht="12.75" customHeight="1">
      <c r="A10" s="9"/>
      <c r="B10" s="9" t="s">
        <v>501</v>
      </c>
      <c r="C10" s="11">
        <f t="shared" ref="C10:D36" si="2">E10+G10+I10+K10+M10+O10+Q10+S10+U10+W10+Y10+AA10+AC10+AE10+AG10+AI10+AK10</f>
        <v>0</v>
      </c>
      <c r="D10" s="151">
        <f t="shared" si="2"/>
        <v>0</v>
      </c>
      <c r="E10" s="155"/>
      <c r="F10" s="155"/>
      <c r="G10" s="155"/>
      <c r="H10" s="155"/>
      <c r="I10" s="155"/>
      <c r="J10" s="155"/>
      <c r="K10" s="155"/>
      <c r="L10" s="155"/>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56"/>
    </row>
    <row r="11" spans="1:41" s="12" customFormat="1" ht="12.75" customHeight="1">
      <c r="A11" s="17">
        <v>2</v>
      </c>
      <c r="B11" s="702" t="s">
        <v>85</v>
      </c>
      <c r="C11" s="11">
        <f t="shared" si="2"/>
        <v>0</v>
      </c>
      <c r="D11" s="151">
        <f t="shared" si="2"/>
        <v>0</v>
      </c>
      <c r="E11" s="30">
        <f t="shared" ref="E11:AL11" si="3">SUM(E12:E14)</f>
        <v>0</v>
      </c>
      <c r="F11" s="30">
        <f t="shared" si="3"/>
        <v>0</v>
      </c>
      <c r="G11" s="30">
        <f t="shared" si="3"/>
        <v>0</v>
      </c>
      <c r="H11" s="30">
        <f t="shared" si="3"/>
        <v>0</v>
      </c>
      <c r="I11" s="30">
        <f t="shared" si="3"/>
        <v>0</v>
      </c>
      <c r="J11" s="30">
        <f t="shared" si="3"/>
        <v>0</v>
      </c>
      <c r="K11" s="30">
        <f t="shared" si="3"/>
        <v>0</v>
      </c>
      <c r="L11" s="30">
        <f t="shared" si="3"/>
        <v>0</v>
      </c>
      <c r="M11" s="30">
        <f t="shared" si="3"/>
        <v>0</v>
      </c>
      <c r="N11" s="30">
        <f t="shared" si="3"/>
        <v>0</v>
      </c>
      <c r="O11" s="30">
        <f t="shared" si="3"/>
        <v>0</v>
      </c>
      <c r="P11" s="30">
        <f t="shared" si="3"/>
        <v>0</v>
      </c>
      <c r="Q11" s="30">
        <f t="shared" si="3"/>
        <v>0</v>
      </c>
      <c r="R11" s="30">
        <f t="shared" si="3"/>
        <v>0</v>
      </c>
      <c r="S11" s="30">
        <f t="shared" si="3"/>
        <v>0</v>
      </c>
      <c r="T11" s="30">
        <f t="shared" si="3"/>
        <v>0</v>
      </c>
      <c r="U11" s="30">
        <f t="shared" si="3"/>
        <v>0</v>
      </c>
      <c r="V11" s="30">
        <f t="shared" si="3"/>
        <v>0</v>
      </c>
      <c r="W11" s="30">
        <f t="shared" si="3"/>
        <v>0</v>
      </c>
      <c r="X11" s="30">
        <f t="shared" si="3"/>
        <v>0</v>
      </c>
      <c r="Y11" s="30">
        <f t="shared" si="3"/>
        <v>0</v>
      </c>
      <c r="Z11" s="30">
        <f t="shared" si="3"/>
        <v>0</v>
      </c>
      <c r="AA11" s="30">
        <f t="shared" si="3"/>
        <v>0</v>
      </c>
      <c r="AB11" s="30">
        <f t="shared" si="3"/>
        <v>0</v>
      </c>
      <c r="AC11" s="30">
        <f t="shared" si="3"/>
        <v>0</v>
      </c>
      <c r="AD11" s="30">
        <f t="shared" si="3"/>
        <v>0</v>
      </c>
      <c r="AE11" s="30">
        <f t="shared" si="3"/>
        <v>0</v>
      </c>
      <c r="AF11" s="30">
        <f t="shared" si="3"/>
        <v>0</v>
      </c>
      <c r="AG11" s="30">
        <f t="shared" si="3"/>
        <v>0</v>
      </c>
      <c r="AH11" s="30">
        <f t="shared" si="3"/>
        <v>0</v>
      </c>
      <c r="AI11" s="30">
        <f t="shared" si="3"/>
        <v>0</v>
      </c>
      <c r="AJ11" s="30">
        <f t="shared" si="3"/>
        <v>0</v>
      </c>
      <c r="AK11" s="30">
        <f t="shared" si="3"/>
        <v>0</v>
      </c>
      <c r="AL11" s="30">
        <f t="shared" si="3"/>
        <v>0</v>
      </c>
      <c r="AM11" s="30">
        <f>SUM(AM12:AM15)</f>
        <v>100000</v>
      </c>
      <c r="AN11" s="30">
        <f>SUM(AN12:AN15)</f>
        <v>-75000</v>
      </c>
    </row>
    <row r="12" spans="1:41" s="1" customFormat="1" ht="12.75" customHeight="1">
      <c r="A12" s="29"/>
      <c r="B12" s="9" t="s">
        <v>498</v>
      </c>
      <c r="C12" s="11">
        <f t="shared" si="2"/>
        <v>0</v>
      </c>
      <c r="D12" s="151">
        <f t="shared" si="2"/>
        <v>0</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v>20000</v>
      </c>
      <c r="AN12" s="11"/>
    </row>
    <row r="13" spans="1:41" s="1" customFormat="1" ht="12.75" customHeight="1">
      <c r="A13" s="9"/>
      <c r="B13" s="9" t="s">
        <v>499</v>
      </c>
      <c r="C13" s="11">
        <f t="shared" si="2"/>
        <v>0</v>
      </c>
      <c r="D13" s="151">
        <f t="shared" si="2"/>
        <v>0</v>
      </c>
      <c r="E13" s="11"/>
      <c r="F13" s="11"/>
      <c r="G13" s="11"/>
      <c r="H13" s="11"/>
      <c r="I13" s="11"/>
      <c r="J13" s="11"/>
      <c r="K13" s="11"/>
      <c r="L13" s="11"/>
      <c r="M13" s="11"/>
      <c r="N13" s="11"/>
      <c r="O13" s="11"/>
      <c r="P13" s="11"/>
      <c r="Q13" s="11"/>
      <c r="R13" s="11"/>
      <c r="S13" s="11"/>
      <c r="T13" s="11"/>
      <c r="U13" s="11">
        <v>0</v>
      </c>
      <c r="V13" s="11"/>
      <c r="W13" s="11"/>
      <c r="X13" s="11"/>
      <c r="Y13" s="11"/>
      <c r="Z13" s="11"/>
      <c r="AA13" s="11"/>
      <c r="AB13" s="11"/>
      <c r="AC13" s="11"/>
      <c r="AD13" s="11"/>
      <c r="AE13" s="11"/>
      <c r="AF13" s="11"/>
      <c r="AG13" s="11"/>
      <c r="AH13" s="11"/>
      <c r="AI13" s="11"/>
      <c r="AJ13" s="11"/>
      <c r="AK13" s="11"/>
      <c r="AL13" s="11"/>
      <c r="AM13" s="11">
        <v>75000</v>
      </c>
      <c r="AN13" s="11">
        <f>C13-AM13</f>
        <v>-75000</v>
      </c>
    </row>
    <row r="14" spans="1:41" s="1" customFormat="1" ht="12.75" customHeight="1">
      <c r="A14" s="9"/>
      <c r="B14" s="9" t="s">
        <v>501</v>
      </c>
      <c r="C14" s="11">
        <f t="shared" si="2"/>
        <v>0</v>
      </c>
      <c r="D14" s="151">
        <f t="shared" si="2"/>
        <v>0</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v>5000</v>
      </c>
      <c r="AN14" s="11"/>
    </row>
    <row r="15" spans="1:41" s="1" customFormat="1" ht="12.75" customHeight="1">
      <c r="A15" s="9"/>
      <c r="B15" s="9" t="s">
        <v>500</v>
      </c>
      <c r="C15" s="11">
        <f t="shared" si="2"/>
        <v>0</v>
      </c>
      <c r="D15" s="151">
        <f t="shared" si="2"/>
        <v>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row>
    <row r="16" spans="1:41" s="6" customFormat="1" ht="15.75" customHeight="1">
      <c r="A16" s="18">
        <v>3</v>
      </c>
      <c r="B16" s="288" t="s">
        <v>191</v>
      </c>
      <c r="C16" s="21">
        <f t="shared" si="2"/>
        <v>2400000</v>
      </c>
      <c r="D16" s="20">
        <f t="shared" si="2"/>
        <v>0</v>
      </c>
      <c r="E16" s="21">
        <f>SUM(E17:E22)</f>
        <v>116000</v>
      </c>
      <c r="F16" s="21">
        <f>SUM(F17:F22)</f>
        <v>0</v>
      </c>
      <c r="G16" s="21">
        <f t="shared" ref="G16:AL16" si="4">SUM(G17:G22)</f>
        <v>134000</v>
      </c>
      <c r="H16" s="21">
        <f t="shared" si="4"/>
        <v>0</v>
      </c>
      <c r="I16" s="21">
        <f t="shared" si="4"/>
        <v>57000</v>
      </c>
      <c r="J16" s="21">
        <f t="shared" si="4"/>
        <v>0</v>
      </c>
      <c r="K16" s="21">
        <f t="shared" si="4"/>
        <v>65000</v>
      </c>
      <c r="L16" s="21">
        <f t="shared" si="4"/>
        <v>0</v>
      </c>
      <c r="M16" s="21">
        <f t="shared" si="4"/>
        <v>46000</v>
      </c>
      <c r="N16" s="21">
        <f t="shared" si="4"/>
        <v>0</v>
      </c>
      <c r="O16" s="21">
        <f t="shared" si="4"/>
        <v>57000</v>
      </c>
      <c r="P16" s="21">
        <f t="shared" si="4"/>
        <v>0</v>
      </c>
      <c r="Q16" s="21">
        <f t="shared" si="4"/>
        <v>106000</v>
      </c>
      <c r="R16" s="21">
        <f t="shared" si="4"/>
        <v>0</v>
      </c>
      <c r="S16" s="21">
        <f t="shared" si="4"/>
        <v>35000</v>
      </c>
      <c r="T16" s="21">
        <f t="shared" si="4"/>
        <v>0</v>
      </c>
      <c r="U16" s="21">
        <f t="shared" si="4"/>
        <v>93000</v>
      </c>
      <c r="V16" s="21">
        <f t="shared" si="4"/>
        <v>0</v>
      </c>
      <c r="W16" s="21">
        <f t="shared" si="4"/>
        <v>160000</v>
      </c>
      <c r="X16" s="21">
        <f t="shared" si="4"/>
        <v>0</v>
      </c>
      <c r="Y16" s="21">
        <f t="shared" si="4"/>
        <v>101000</v>
      </c>
      <c r="Z16" s="21">
        <f t="shared" si="4"/>
        <v>0</v>
      </c>
      <c r="AA16" s="21">
        <f t="shared" si="4"/>
        <v>135000</v>
      </c>
      <c r="AB16" s="21">
        <f t="shared" si="4"/>
        <v>0</v>
      </c>
      <c r="AC16" s="21">
        <f t="shared" si="4"/>
        <v>110000</v>
      </c>
      <c r="AD16" s="21">
        <f t="shared" si="4"/>
        <v>0</v>
      </c>
      <c r="AE16" s="21">
        <f t="shared" si="4"/>
        <v>50000</v>
      </c>
      <c r="AF16" s="21">
        <f t="shared" si="4"/>
        <v>0</v>
      </c>
      <c r="AG16" s="21">
        <f t="shared" si="4"/>
        <v>104000</v>
      </c>
      <c r="AH16" s="21">
        <f t="shared" si="4"/>
        <v>0</v>
      </c>
      <c r="AI16" s="21">
        <f t="shared" si="4"/>
        <v>66000</v>
      </c>
      <c r="AJ16" s="21">
        <f t="shared" si="4"/>
        <v>0</v>
      </c>
      <c r="AK16" s="21">
        <f t="shared" si="4"/>
        <v>965000</v>
      </c>
      <c r="AL16" s="21">
        <f t="shared" si="4"/>
        <v>0</v>
      </c>
      <c r="AM16" s="21">
        <f>SUM(AM17:AM22)</f>
        <v>6200000</v>
      </c>
      <c r="AN16" s="21">
        <f>SUM(AN17:AN22)</f>
        <v>-3800000</v>
      </c>
    </row>
    <row r="17" spans="1:41" ht="16.5" customHeight="1">
      <c r="A17" s="7"/>
      <c r="B17" s="7" t="s">
        <v>498</v>
      </c>
      <c r="C17" s="13">
        <f>E17+G17+I17+K17+M17+O17+Q17+S17+U17+W17+Y17+AA17+AC17+AE17+AG17+AI17+AK17</f>
        <v>2395000</v>
      </c>
      <c r="D17" s="20">
        <f t="shared" si="2"/>
        <v>0</v>
      </c>
      <c r="E17" s="13">
        <v>116000</v>
      </c>
      <c r="F17" s="13">
        <v>0</v>
      </c>
      <c r="G17" s="13">
        <v>134000</v>
      </c>
      <c r="H17" s="13"/>
      <c r="I17" s="13">
        <v>55000</v>
      </c>
      <c r="J17" s="13"/>
      <c r="K17" s="13">
        <v>65000</v>
      </c>
      <c r="L17" s="13"/>
      <c r="M17" s="13">
        <v>46000</v>
      </c>
      <c r="N17" s="13"/>
      <c r="O17" s="13">
        <v>57000</v>
      </c>
      <c r="P17" s="13"/>
      <c r="Q17" s="13">
        <v>106000</v>
      </c>
      <c r="R17" s="13"/>
      <c r="S17" s="13">
        <v>35000</v>
      </c>
      <c r="T17" s="13"/>
      <c r="U17" s="13">
        <v>93000</v>
      </c>
      <c r="V17" s="13"/>
      <c r="W17" s="13">
        <v>160000</v>
      </c>
      <c r="X17" s="13"/>
      <c r="Y17" s="13">
        <v>101000</v>
      </c>
      <c r="Z17" s="13"/>
      <c r="AA17" s="13">
        <v>135000</v>
      </c>
      <c r="AB17" s="13"/>
      <c r="AC17" s="13">
        <v>110000</v>
      </c>
      <c r="AD17" s="13"/>
      <c r="AE17" s="13">
        <v>50000</v>
      </c>
      <c r="AF17" s="13"/>
      <c r="AG17" s="13">
        <v>104000</v>
      </c>
      <c r="AH17" s="13"/>
      <c r="AI17" s="13">
        <v>66000</v>
      </c>
      <c r="AJ17" s="13"/>
      <c r="AK17" s="13">
        <v>962000</v>
      </c>
      <c r="AL17" s="13"/>
      <c r="AM17" s="13">
        <v>3500000</v>
      </c>
      <c r="AN17" s="13">
        <f t="shared" ref="AN17:AN22" si="5">C17-AM17</f>
        <v>-1105000</v>
      </c>
    </row>
    <row r="18" spans="1:41" s="1" customFormat="1" ht="12.75" customHeight="1">
      <c r="A18" s="9"/>
      <c r="B18" s="9" t="s">
        <v>499</v>
      </c>
      <c r="C18" s="11">
        <f t="shared" si="2"/>
        <v>0</v>
      </c>
      <c r="D18" s="151">
        <f>F18+H18+J18+L18+N18+P18+R18+T18+V18+X18+Z18+AB18+AD18+AF18+AH18+AJ18+AL18</f>
        <v>0</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v>200000</v>
      </c>
      <c r="AN18" s="11">
        <f t="shared" si="5"/>
        <v>-200000</v>
      </c>
    </row>
    <row r="19" spans="1:41" s="1" customFormat="1" ht="12.75" customHeight="1">
      <c r="A19" s="9"/>
      <c r="B19" s="9" t="s">
        <v>500</v>
      </c>
      <c r="C19" s="11">
        <f t="shared" si="2"/>
        <v>0</v>
      </c>
      <c r="D19" s="151">
        <f t="shared" si="2"/>
        <v>0</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v>2500000</v>
      </c>
      <c r="AN19" s="11">
        <f t="shared" si="5"/>
        <v>-2500000</v>
      </c>
    </row>
    <row r="20" spans="1:41" ht="16.5" customHeight="1">
      <c r="A20" s="7"/>
      <c r="B20" s="7" t="s">
        <v>501</v>
      </c>
      <c r="C20" s="13">
        <f t="shared" si="2"/>
        <v>0</v>
      </c>
      <c r="D20" s="20">
        <f t="shared" si="2"/>
        <v>0</v>
      </c>
      <c r="E20" s="13"/>
      <c r="F20" s="13"/>
      <c r="G20" s="13"/>
      <c r="H20" s="13"/>
      <c r="I20" s="13"/>
      <c r="J20" s="13">
        <f>I20</f>
        <v>0</v>
      </c>
      <c r="K20" s="13"/>
      <c r="L20" s="13"/>
      <c r="M20" s="13"/>
      <c r="N20" s="13">
        <f>M20</f>
        <v>0</v>
      </c>
      <c r="O20" s="13"/>
      <c r="P20" s="13">
        <f>O20</f>
        <v>0</v>
      </c>
      <c r="Q20" s="13"/>
      <c r="R20" s="13">
        <f>Q20</f>
        <v>0</v>
      </c>
      <c r="S20" s="13"/>
      <c r="T20" s="13">
        <f>S20</f>
        <v>0</v>
      </c>
      <c r="U20" s="13"/>
      <c r="V20" s="13">
        <f>U20</f>
        <v>0</v>
      </c>
      <c r="W20" s="13"/>
      <c r="X20" s="13">
        <f>W20</f>
        <v>0</v>
      </c>
      <c r="Y20" s="13"/>
      <c r="Z20" s="13">
        <f>Y20</f>
        <v>0</v>
      </c>
      <c r="AA20" s="13"/>
      <c r="AB20" s="13">
        <f>AA20</f>
        <v>0</v>
      </c>
      <c r="AC20" s="13"/>
      <c r="AD20" s="13">
        <f>AC20</f>
        <v>0</v>
      </c>
      <c r="AE20" s="13"/>
      <c r="AF20" s="13">
        <f>AE20</f>
        <v>0</v>
      </c>
      <c r="AG20" s="13"/>
      <c r="AH20" s="13">
        <f>AG20</f>
        <v>0</v>
      </c>
      <c r="AI20" s="13"/>
      <c r="AJ20" s="13">
        <f>AI20</f>
        <v>0</v>
      </c>
      <c r="AK20" s="13"/>
      <c r="AL20" s="13">
        <f>AK20</f>
        <v>0</v>
      </c>
      <c r="AM20" s="13"/>
      <c r="AN20" s="13">
        <f t="shared" si="5"/>
        <v>0</v>
      </c>
    </row>
    <row r="21" spans="1:41" ht="16.5" customHeight="1">
      <c r="A21" s="7"/>
      <c r="B21" s="7" t="s">
        <v>502</v>
      </c>
      <c r="C21" s="13">
        <f t="shared" si="2"/>
        <v>5000</v>
      </c>
      <c r="D21" s="20">
        <f t="shared" si="2"/>
        <v>0</v>
      </c>
      <c r="E21" s="13"/>
      <c r="F21" s="13"/>
      <c r="G21" s="13"/>
      <c r="H21" s="13"/>
      <c r="I21" s="13">
        <v>2000</v>
      </c>
      <c r="J21" s="13"/>
      <c r="K21" s="13"/>
      <c r="L21" s="13"/>
      <c r="M21" s="13"/>
      <c r="N21" s="13"/>
      <c r="O21" s="13"/>
      <c r="P21" s="13"/>
      <c r="Q21" s="13"/>
      <c r="R21" s="13"/>
      <c r="S21" s="13"/>
      <c r="T21" s="13"/>
      <c r="U21" s="13"/>
      <c r="V21" s="13"/>
      <c r="W21" s="13">
        <v>0</v>
      </c>
      <c r="X21" s="13"/>
      <c r="Y21" s="13"/>
      <c r="Z21" s="13"/>
      <c r="AA21" s="13"/>
      <c r="AB21" s="13"/>
      <c r="AC21" s="13"/>
      <c r="AD21" s="13"/>
      <c r="AE21" s="13"/>
      <c r="AF21" s="13"/>
      <c r="AG21" s="13"/>
      <c r="AH21" s="13"/>
      <c r="AI21" s="13"/>
      <c r="AJ21" s="13"/>
      <c r="AK21" s="13">
        <v>3000</v>
      </c>
      <c r="AL21" s="13"/>
      <c r="AM21" s="13">
        <v>0</v>
      </c>
      <c r="AN21" s="13">
        <f>C21-AM21</f>
        <v>5000</v>
      </c>
    </row>
    <row r="22" spans="1:41" ht="16.5" customHeight="1">
      <c r="A22" s="7"/>
      <c r="B22" s="7" t="s">
        <v>503</v>
      </c>
      <c r="C22" s="13">
        <f t="shared" si="2"/>
        <v>0</v>
      </c>
      <c r="D22" s="20">
        <f t="shared" si="2"/>
        <v>0</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f t="shared" si="5"/>
        <v>0</v>
      </c>
    </row>
    <row r="23" spans="1:41" s="6" customFormat="1" ht="16.5" customHeight="1">
      <c r="A23" s="18">
        <v>4</v>
      </c>
      <c r="B23" s="703" t="s">
        <v>92</v>
      </c>
      <c r="C23" s="21">
        <f t="shared" si="2"/>
        <v>400000</v>
      </c>
      <c r="D23" s="20">
        <f t="shared" si="2"/>
        <v>400000</v>
      </c>
      <c r="E23" s="21">
        <f t="shared" ref="E23:AL23" si="6">E24+E25+E26</f>
        <v>10000</v>
      </c>
      <c r="F23" s="21">
        <f t="shared" si="6"/>
        <v>10000</v>
      </c>
      <c r="G23" s="21">
        <f t="shared" si="6"/>
        <v>10000</v>
      </c>
      <c r="H23" s="21">
        <f t="shared" si="6"/>
        <v>10000</v>
      </c>
      <c r="I23" s="21">
        <f t="shared" si="6"/>
        <v>20000</v>
      </c>
      <c r="J23" s="21">
        <f t="shared" si="6"/>
        <v>20000</v>
      </c>
      <c r="K23" s="21">
        <f t="shared" si="6"/>
        <v>15000</v>
      </c>
      <c r="L23" s="21">
        <f t="shared" si="6"/>
        <v>15000</v>
      </c>
      <c r="M23" s="21">
        <f t="shared" si="6"/>
        <v>15000</v>
      </c>
      <c r="N23" s="21">
        <f t="shared" si="6"/>
        <v>15000</v>
      </c>
      <c r="O23" s="21">
        <f t="shared" si="6"/>
        <v>20000</v>
      </c>
      <c r="P23" s="21">
        <f t="shared" si="6"/>
        <v>20000</v>
      </c>
      <c r="Q23" s="21">
        <f t="shared" si="6"/>
        <v>28000</v>
      </c>
      <c r="R23" s="21">
        <f t="shared" si="6"/>
        <v>28000</v>
      </c>
      <c r="S23" s="21">
        <f t="shared" si="6"/>
        <v>28000</v>
      </c>
      <c r="T23" s="21">
        <f t="shared" si="6"/>
        <v>28000</v>
      </c>
      <c r="U23" s="21">
        <f t="shared" si="6"/>
        <v>15000</v>
      </c>
      <c r="V23" s="21">
        <f t="shared" si="6"/>
        <v>15000</v>
      </c>
      <c r="W23" s="21">
        <f t="shared" si="6"/>
        <v>20000</v>
      </c>
      <c r="X23" s="21">
        <f t="shared" si="6"/>
        <v>20000</v>
      </c>
      <c r="Y23" s="21">
        <f t="shared" si="6"/>
        <v>35000</v>
      </c>
      <c r="Z23" s="21">
        <f t="shared" si="6"/>
        <v>35000</v>
      </c>
      <c r="AA23" s="21">
        <f t="shared" si="6"/>
        <v>10000</v>
      </c>
      <c r="AB23" s="21">
        <f t="shared" si="6"/>
        <v>10000</v>
      </c>
      <c r="AC23" s="21">
        <f t="shared" si="6"/>
        <v>20000</v>
      </c>
      <c r="AD23" s="21">
        <f t="shared" si="6"/>
        <v>20000</v>
      </c>
      <c r="AE23" s="21">
        <f t="shared" si="6"/>
        <v>12000</v>
      </c>
      <c r="AF23" s="21">
        <f t="shared" si="6"/>
        <v>12000</v>
      </c>
      <c r="AG23" s="21">
        <f t="shared" si="6"/>
        <v>34000</v>
      </c>
      <c r="AH23" s="21">
        <f t="shared" si="6"/>
        <v>34000</v>
      </c>
      <c r="AI23" s="21">
        <f t="shared" si="6"/>
        <v>18000</v>
      </c>
      <c r="AJ23" s="21">
        <f t="shared" si="6"/>
        <v>18000</v>
      </c>
      <c r="AK23" s="21">
        <f t="shared" si="6"/>
        <v>90000</v>
      </c>
      <c r="AL23" s="21">
        <f t="shared" si="6"/>
        <v>90000</v>
      </c>
      <c r="AM23" s="21">
        <f>AM24+AM25+AM26</f>
        <v>4200000</v>
      </c>
      <c r="AN23" s="21">
        <f>AN24+AN25+AN26</f>
        <v>-3800000</v>
      </c>
    </row>
    <row r="24" spans="1:41" ht="16.5" customHeight="1">
      <c r="A24" s="22"/>
      <c r="B24" s="7" t="s">
        <v>504</v>
      </c>
      <c r="C24" s="13">
        <f t="shared" si="2"/>
        <v>400000</v>
      </c>
      <c r="D24" s="145">
        <f t="shared" si="2"/>
        <v>400000</v>
      </c>
      <c r="E24" s="13">
        <v>10000</v>
      </c>
      <c r="F24" s="13">
        <f>E24</f>
        <v>10000</v>
      </c>
      <c r="G24" s="13">
        <v>10000</v>
      </c>
      <c r="H24" s="13">
        <f>G24</f>
        <v>10000</v>
      </c>
      <c r="I24" s="13">
        <v>20000</v>
      </c>
      <c r="J24" s="13">
        <f>I24</f>
        <v>20000</v>
      </c>
      <c r="K24" s="13">
        <v>15000</v>
      </c>
      <c r="L24" s="13">
        <f>K24</f>
        <v>15000</v>
      </c>
      <c r="M24" s="13">
        <v>15000</v>
      </c>
      <c r="N24" s="13">
        <f>M24</f>
        <v>15000</v>
      </c>
      <c r="O24" s="13">
        <v>20000</v>
      </c>
      <c r="P24" s="13">
        <f>O24</f>
        <v>20000</v>
      </c>
      <c r="Q24" s="13">
        <v>28000</v>
      </c>
      <c r="R24" s="13">
        <f>Q24</f>
        <v>28000</v>
      </c>
      <c r="S24" s="13">
        <v>28000</v>
      </c>
      <c r="T24" s="13">
        <f>S24</f>
        <v>28000</v>
      </c>
      <c r="U24" s="13">
        <v>15000</v>
      </c>
      <c r="V24" s="13">
        <f>U24</f>
        <v>15000</v>
      </c>
      <c r="W24" s="13">
        <v>20000</v>
      </c>
      <c r="X24" s="13">
        <f>W24</f>
        <v>20000</v>
      </c>
      <c r="Y24" s="13">
        <v>35000</v>
      </c>
      <c r="Z24" s="13">
        <f>Y24</f>
        <v>35000</v>
      </c>
      <c r="AA24" s="13">
        <v>10000</v>
      </c>
      <c r="AB24" s="13">
        <f>AA24</f>
        <v>10000</v>
      </c>
      <c r="AC24" s="13">
        <v>20000</v>
      </c>
      <c r="AD24" s="13">
        <f>AC24</f>
        <v>20000</v>
      </c>
      <c r="AE24" s="13">
        <v>12000</v>
      </c>
      <c r="AF24" s="13">
        <f>AE24</f>
        <v>12000</v>
      </c>
      <c r="AG24" s="13">
        <v>34000</v>
      </c>
      <c r="AH24" s="13">
        <f>AG24</f>
        <v>34000</v>
      </c>
      <c r="AI24" s="13">
        <v>18000</v>
      </c>
      <c r="AJ24" s="13">
        <f>AI24</f>
        <v>18000</v>
      </c>
      <c r="AK24" s="13">
        <v>90000</v>
      </c>
      <c r="AL24" s="13">
        <f>AK24</f>
        <v>90000</v>
      </c>
      <c r="AM24" s="13"/>
      <c r="AN24" s="13">
        <f t="shared" ref="AN24:AN36" si="7">C24-AM24</f>
        <v>400000</v>
      </c>
      <c r="AO24" s="8"/>
    </row>
    <row r="25" spans="1:41" ht="16.5" customHeight="1">
      <c r="A25" s="22"/>
      <c r="B25" s="7" t="s">
        <v>638</v>
      </c>
      <c r="C25" s="13">
        <f t="shared" si="2"/>
        <v>0</v>
      </c>
      <c r="D25" s="145">
        <f t="shared" si="2"/>
        <v>0</v>
      </c>
      <c r="E25" s="13">
        <v>0</v>
      </c>
      <c r="F25" s="13"/>
      <c r="G25" s="13"/>
      <c r="H25" s="13"/>
      <c r="I25" s="13">
        <v>0</v>
      </c>
      <c r="J25" s="13"/>
      <c r="K25" s="13">
        <v>0</v>
      </c>
      <c r="L25" s="13"/>
      <c r="M25" s="13">
        <v>0</v>
      </c>
      <c r="N25" s="13"/>
      <c r="O25" s="13">
        <v>0</v>
      </c>
      <c r="P25" s="13"/>
      <c r="Q25" s="13">
        <v>0</v>
      </c>
      <c r="R25" s="13"/>
      <c r="S25" s="13">
        <v>0</v>
      </c>
      <c r="T25" s="13"/>
      <c r="U25" s="13">
        <v>0</v>
      </c>
      <c r="V25" s="13"/>
      <c r="W25" s="13">
        <v>0</v>
      </c>
      <c r="X25" s="13"/>
      <c r="Y25" s="13">
        <v>0</v>
      </c>
      <c r="Z25" s="13"/>
      <c r="AA25" s="13">
        <v>0</v>
      </c>
      <c r="AB25" s="13"/>
      <c r="AC25" s="13">
        <v>0</v>
      </c>
      <c r="AD25" s="13"/>
      <c r="AE25" s="13"/>
      <c r="AF25" s="13">
        <f>AE25</f>
        <v>0</v>
      </c>
      <c r="AG25" s="13"/>
      <c r="AH25" s="13"/>
      <c r="AI25" s="13">
        <v>0</v>
      </c>
      <c r="AJ25" s="13"/>
      <c r="AK25" s="13">
        <v>0</v>
      </c>
      <c r="AL25" s="13"/>
      <c r="AM25" s="13">
        <v>3540000</v>
      </c>
      <c r="AN25" s="13">
        <f t="shared" si="7"/>
        <v>-3540000</v>
      </c>
    </row>
    <row r="26" spans="1:41" ht="16.5" customHeight="1">
      <c r="A26" s="22"/>
      <c r="B26" s="7" t="s">
        <v>639</v>
      </c>
      <c r="C26" s="13">
        <f t="shared" si="2"/>
        <v>0</v>
      </c>
      <c r="D26" s="20">
        <f t="shared" si="2"/>
        <v>0</v>
      </c>
      <c r="E26" s="13">
        <v>0</v>
      </c>
      <c r="F26" s="13"/>
      <c r="G26" s="13"/>
      <c r="H26" s="13"/>
      <c r="I26" s="13">
        <v>0</v>
      </c>
      <c r="J26" s="13"/>
      <c r="K26" s="13">
        <v>0</v>
      </c>
      <c r="L26" s="13"/>
      <c r="M26" s="13">
        <v>0</v>
      </c>
      <c r="N26" s="13"/>
      <c r="O26" s="13">
        <v>0</v>
      </c>
      <c r="P26" s="13"/>
      <c r="Q26" s="13">
        <v>0</v>
      </c>
      <c r="R26" s="13"/>
      <c r="S26" s="13">
        <v>0</v>
      </c>
      <c r="T26" s="13"/>
      <c r="U26" s="13">
        <v>0</v>
      </c>
      <c r="V26" s="13"/>
      <c r="W26" s="13">
        <v>0</v>
      </c>
      <c r="X26" s="13"/>
      <c r="Y26" s="13">
        <v>0</v>
      </c>
      <c r="Z26" s="13"/>
      <c r="AA26" s="13">
        <v>0</v>
      </c>
      <c r="AB26" s="13"/>
      <c r="AC26" s="13">
        <v>0</v>
      </c>
      <c r="AD26" s="13"/>
      <c r="AE26" s="13"/>
      <c r="AF26" s="13">
        <f>AE26</f>
        <v>0</v>
      </c>
      <c r="AG26" s="13"/>
      <c r="AH26" s="13"/>
      <c r="AI26" s="13">
        <v>0</v>
      </c>
      <c r="AJ26" s="13"/>
      <c r="AK26" s="13">
        <v>0</v>
      </c>
      <c r="AL26" s="13"/>
      <c r="AM26" s="13">
        <v>660000</v>
      </c>
      <c r="AN26" s="13">
        <f t="shared" si="7"/>
        <v>-660000</v>
      </c>
    </row>
    <row r="27" spans="1:41" s="6" customFormat="1" ht="15.75" customHeight="1">
      <c r="A27" s="18">
        <v>5</v>
      </c>
      <c r="B27" s="703" t="s">
        <v>190</v>
      </c>
      <c r="C27" s="21">
        <f t="shared" si="2"/>
        <v>10000</v>
      </c>
      <c r="D27" s="20">
        <f t="shared" si="2"/>
        <v>10000</v>
      </c>
      <c r="E27" s="21">
        <v>0</v>
      </c>
      <c r="F27" s="21">
        <f>E27</f>
        <v>0</v>
      </c>
      <c r="G27" s="21"/>
      <c r="H27" s="21">
        <f>G27</f>
        <v>0</v>
      </c>
      <c r="I27" s="21"/>
      <c r="J27" s="21">
        <f>I27</f>
        <v>0</v>
      </c>
      <c r="K27" s="21"/>
      <c r="L27" s="21"/>
      <c r="M27" s="21"/>
      <c r="N27" s="21"/>
      <c r="O27" s="21"/>
      <c r="P27" s="21"/>
      <c r="Q27" s="21"/>
      <c r="R27" s="21">
        <f>Q27</f>
        <v>0</v>
      </c>
      <c r="S27" s="21"/>
      <c r="T27" s="21"/>
      <c r="U27" s="21"/>
      <c r="V27" s="21">
        <f>U27</f>
        <v>0</v>
      </c>
      <c r="W27" s="21">
        <v>2000</v>
      </c>
      <c r="X27" s="21">
        <f>+W27</f>
        <v>2000</v>
      </c>
      <c r="Y27" s="21"/>
      <c r="Z27" s="21"/>
      <c r="AA27" s="21"/>
      <c r="AB27" s="21">
        <f>AA27</f>
        <v>0</v>
      </c>
      <c r="AC27" s="21"/>
      <c r="AD27" s="21"/>
      <c r="AE27" s="21"/>
      <c r="AF27" s="21"/>
      <c r="AG27" s="21"/>
      <c r="AH27" s="21"/>
      <c r="AI27" s="21"/>
      <c r="AJ27" s="21"/>
      <c r="AK27" s="21">
        <v>8000</v>
      </c>
      <c r="AL27" s="21">
        <f>AK27</f>
        <v>8000</v>
      </c>
      <c r="AM27" s="21"/>
      <c r="AN27" s="21">
        <f t="shared" si="7"/>
        <v>10000</v>
      </c>
    </row>
    <row r="28" spans="1:41" s="6" customFormat="1" ht="15.75" customHeight="1">
      <c r="A28" s="18">
        <v>6</v>
      </c>
      <c r="B28" s="703" t="s">
        <v>96</v>
      </c>
      <c r="C28" s="13">
        <f t="shared" si="2"/>
        <v>0</v>
      </c>
      <c r="D28" s="20">
        <f t="shared" si="2"/>
        <v>0</v>
      </c>
      <c r="E28" s="21"/>
      <c r="F28" s="21"/>
      <c r="G28" s="21"/>
      <c r="H28" s="21"/>
      <c r="I28" s="21"/>
      <c r="J28" s="21"/>
      <c r="K28" s="21"/>
      <c r="L28" s="21"/>
      <c r="M28" s="21"/>
      <c r="N28" s="21"/>
      <c r="O28" s="21">
        <v>0</v>
      </c>
      <c r="P28" s="21"/>
      <c r="Q28" s="21">
        <v>0</v>
      </c>
      <c r="R28" s="21"/>
      <c r="S28" s="21"/>
      <c r="T28" s="21"/>
      <c r="U28" s="21"/>
      <c r="V28" s="21"/>
      <c r="W28" s="21">
        <v>0</v>
      </c>
      <c r="X28" s="21"/>
      <c r="Y28" s="21">
        <v>0</v>
      </c>
      <c r="Z28" s="21"/>
      <c r="AA28" s="21">
        <v>0</v>
      </c>
      <c r="AB28" s="21"/>
      <c r="AC28" s="21">
        <v>0</v>
      </c>
      <c r="AD28" s="21"/>
      <c r="AE28" s="21"/>
      <c r="AF28" s="21"/>
      <c r="AG28" s="21"/>
      <c r="AH28" s="21"/>
      <c r="AI28" s="21"/>
      <c r="AJ28" s="21"/>
      <c r="AK28" s="21"/>
      <c r="AL28" s="21"/>
      <c r="AM28" s="21"/>
      <c r="AN28" s="21">
        <f t="shared" si="7"/>
        <v>0</v>
      </c>
    </row>
    <row r="29" spans="1:41" s="6" customFormat="1" ht="17.25" customHeight="1">
      <c r="A29" s="18">
        <v>7</v>
      </c>
      <c r="B29" s="703" t="s">
        <v>97</v>
      </c>
      <c r="C29" s="13">
        <f t="shared" si="2"/>
        <v>0</v>
      </c>
      <c r="D29" s="20">
        <f t="shared" si="2"/>
        <v>0</v>
      </c>
      <c r="E29" s="21"/>
      <c r="F29" s="21"/>
      <c r="G29" s="21"/>
      <c r="H29" s="21"/>
      <c r="I29" s="21"/>
      <c r="J29" s="21"/>
      <c r="K29" s="21">
        <v>0</v>
      </c>
      <c r="L29" s="21"/>
      <c r="M29" s="21">
        <v>0</v>
      </c>
      <c r="N29" s="21"/>
      <c r="O29" s="21"/>
      <c r="P29" s="21"/>
      <c r="Q29" s="21"/>
      <c r="R29" s="21"/>
      <c r="S29" s="21"/>
      <c r="T29" s="21"/>
      <c r="U29" s="21">
        <v>0</v>
      </c>
      <c r="V29" s="21"/>
      <c r="W29" s="21"/>
      <c r="X29" s="21"/>
      <c r="Y29" s="21"/>
      <c r="Z29" s="21"/>
      <c r="AA29" s="21">
        <v>0</v>
      </c>
      <c r="AB29" s="21"/>
      <c r="AC29" s="21"/>
      <c r="AD29" s="21"/>
      <c r="AE29" s="21">
        <v>0</v>
      </c>
      <c r="AF29" s="21"/>
      <c r="AG29" s="21"/>
      <c r="AH29" s="21"/>
      <c r="AI29" s="21"/>
      <c r="AJ29" s="21"/>
      <c r="AK29" s="21">
        <v>0</v>
      </c>
      <c r="AL29" s="21"/>
      <c r="AM29" s="21">
        <v>6500000</v>
      </c>
      <c r="AN29" s="21">
        <f t="shared" si="7"/>
        <v>-6500000</v>
      </c>
    </row>
    <row r="30" spans="1:41" s="6" customFormat="1" ht="17.25" customHeight="1">
      <c r="A30" s="18">
        <v>8</v>
      </c>
      <c r="B30" s="703" t="s">
        <v>189</v>
      </c>
      <c r="C30" s="21">
        <f>E30+G30+I30+K30+M30+O30+Q30+S30+U30+W30+Y30+AA30+AC30+AE30+AG30+AI30+AK30</f>
        <v>3400000</v>
      </c>
      <c r="D30" s="20">
        <f t="shared" si="2"/>
        <v>3400000</v>
      </c>
      <c r="E30" s="21">
        <v>129000</v>
      </c>
      <c r="F30" s="21">
        <f>E30</f>
        <v>129000</v>
      </c>
      <c r="G30" s="21">
        <v>106000</v>
      </c>
      <c r="H30" s="21">
        <f>+G30</f>
        <v>106000</v>
      </c>
      <c r="I30" s="21">
        <v>125000</v>
      </c>
      <c r="J30" s="21">
        <f>I30</f>
        <v>125000</v>
      </c>
      <c r="K30" s="21">
        <v>125000</v>
      </c>
      <c r="L30" s="21">
        <f>K30</f>
        <v>125000</v>
      </c>
      <c r="M30" s="21">
        <v>112000</v>
      </c>
      <c r="N30" s="21">
        <f>M30</f>
        <v>112000</v>
      </c>
      <c r="O30" s="21">
        <v>116000</v>
      </c>
      <c r="P30" s="21">
        <f>O30</f>
        <v>116000</v>
      </c>
      <c r="Q30" s="21">
        <v>224000</v>
      </c>
      <c r="R30" s="21">
        <f>Q30</f>
        <v>224000</v>
      </c>
      <c r="S30" s="21">
        <v>170000</v>
      </c>
      <c r="T30" s="21">
        <f>S30</f>
        <v>170000</v>
      </c>
      <c r="U30" s="21">
        <v>154000</v>
      </c>
      <c r="V30" s="21">
        <f>U30</f>
        <v>154000</v>
      </c>
      <c r="W30" s="21">
        <v>230000</v>
      </c>
      <c r="X30" s="21">
        <f>W30</f>
        <v>230000</v>
      </c>
      <c r="Y30" s="21">
        <v>290000</v>
      </c>
      <c r="Z30" s="21">
        <f>Y30</f>
        <v>290000</v>
      </c>
      <c r="AA30" s="21">
        <v>137000</v>
      </c>
      <c r="AB30" s="21">
        <f>AA30</f>
        <v>137000</v>
      </c>
      <c r="AC30" s="21">
        <v>143000</v>
      </c>
      <c r="AD30" s="21">
        <f>AC30</f>
        <v>143000</v>
      </c>
      <c r="AE30" s="21">
        <v>68000</v>
      </c>
      <c r="AF30" s="21">
        <f>AE30</f>
        <v>68000</v>
      </c>
      <c r="AG30" s="21">
        <v>330000</v>
      </c>
      <c r="AH30" s="21">
        <f>AG30</f>
        <v>330000</v>
      </c>
      <c r="AI30" s="21">
        <v>145000</v>
      </c>
      <c r="AJ30" s="21">
        <f>AI30</f>
        <v>145000</v>
      </c>
      <c r="AK30" s="21">
        <v>796000</v>
      </c>
      <c r="AL30" s="21">
        <f>AK30</f>
        <v>796000</v>
      </c>
      <c r="AM30" s="21">
        <v>-320000</v>
      </c>
      <c r="AN30" s="21">
        <f t="shared" si="7"/>
        <v>3720000</v>
      </c>
    </row>
    <row r="31" spans="1:41" s="6" customFormat="1" ht="18" customHeight="1">
      <c r="A31" s="18">
        <v>9</v>
      </c>
      <c r="B31" s="703" t="s">
        <v>99</v>
      </c>
      <c r="C31" s="21">
        <f t="shared" si="2"/>
        <v>354000</v>
      </c>
      <c r="D31" s="20">
        <f t="shared" si="2"/>
        <v>354000</v>
      </c>
      <c r="E31" s="21">
        <f t="shared" ref="E31:AL31" si="8">SUM(E32:E34)</f>
        <v>12000</v>
      </c>
      <c r="F31" s="21">
        <f t="shared" si="8"/>
        <v>12000</v>
      </c>
      <c r="G31" s="21">
        <f>SUM(G32:G34)</f>
        <v>24000</v>
      </c>
      <c r="H31" s="21">
        <f t="shared" si="8"/>
        <v>24000</v>
      </c>
      <c r="I31" s="21">
        <f t="shared" si="8"/>
        <v>12000</v>
      </c>
      <c r="J31" s="21">
        <f t="shared" si="8"/>
        <v>12000</v>
      </c>
      <c r="K31" s="21">
        <f t="shared" si="8"/>
        <v>9000</v>
      </c>
      <c r="L31" s="21">
        <f t="shared" si="8"/>
        <v>9000</v>
      </c>
      <c r="M31" s="21">
        <f t="shared" si="8"/>
        <v>6000</v>
      </c>
      <c r="N31" s="21">
        <f t="shared" si="8"/>
        <v>6000</v>
      </c>
      <c r="O31" s="21">
        <f t="shared" si="8"/>
        <v>6000</v>
      </c>
      <c r="P31" s="21">
        <f t="shared" si="8"/>
        <v>6000</v>
      </c>
      <c r="Q31" s="21">
        <f t="shared" si="8"/>
        <v>16000</v>
      </c>
      <c r="R31" s="21">
        <f t="shared" si="8"/>
        <v>16000</v>
      </c>
      <c r="S31" s="21">
        <f t="shared" si="8"/>
        <v>6000</v>
      </c>
      <c r="T31" s="21">
        <f t="shared" si="8"/>
        <v>6000</v>
      </c>
      <c r="U31" s="21">
        <f t="shared" si="8"/>
        <v>23000</v>
      </c>
      <c r="V31" s="21">
        <f t="shared" si="8"/>
        <v>23000</v>
      </c>
      <c r="W31" s="21">
        <f t="shared" si="8"/>
        <v>25000</v>
      </c>
      <c r="X31" s="21">
        <f t="shared" si="8"/>
        <v>25000</v>
      </c>
      <c r="Y31" s="21">
        <f t="shared" si="8"/>
        <v>8000</v>
      </c>
      <c r="Z31" s="21">
        <f t="shared" si="8"/>
        <v>8000</v>
      </c>
      <c r="AA31" s="21">
        <f t="shared" si="8"/>
        <v>22000</v>
      </c>
      <c r="AB31" s="21">
        <f t="shared" si="8"/>
        <v>22000</v>
      </c>
      <c r="AC31" s="21">
        <f t="shared" si="8"/>
        <v>16000</v>
      </c>
      <c r="AD31" s="21">
        <f t="shared" si="8"/>
        <v>16000</v>
      </c>
      <c r="AE31" s="21">
        <f>SUM(AE32:AE34)</f>
        <v>7000</v>
      </c>
      <c r="AF31" s="21">
        <f t="shared" si="8"/>
        <v>7000</v>
      </c>
      <c r="AG31" s="21">
        <f t="shared" si="8"/>
        <v>11000</v>
      </c>
      <c r="AH31" s="21">
        <f t="shared" si="8"/>
        <v>11000</v>
      </c>
      <c r="AI31" s="21">
        <f t="shared" si="8"/>
        <v>10000</v>
      </c>
      <c r="AJ31" s="21">
        <f t="shared" si="8"/>
        <v>10000</v>
      </c>
      <c r="AK31" s="21">
        <f t="shared" si="8"/>
        <v>141000</v>
      </c>
      <c r="AL31" s="21">
        <f t="shared" si="8"/>
        <v>141000</v>
      </c>
      <c r="AM31" s="21">
        <f>SUM(AM32:AM34)</f>
        <v>1638000</v>
      </c>
      <c r="AN31" s="21">
        <f t="shared" si="7"/>
        <v>-1284000</v>
      </c>
    </row>
    <row r="32" spans="1:41" ht="15" customHeight="1">
      <c r="A32" s="22"/>
      <c r="B32" s="7" t="s">
        <v>506</v>
      </c>
      <c r="C32" s="13">
        <f t="shared" si="2"/>
        <v>193600</v>
      </c>
      <c r="D32" s="145">
        <f t="shared" si="2"/>
        <v>193600</v>
      </c>
      <c r="E32" s="13">
        <v>8700</v>
      </c>
      <c r="F32" s="13">
        <f>E32</f>
        <v>8700</v>
      </c>
      <c r="G32" s="13">
        <v>14800</v>
      </c>
      <c r="H32" s="13">
        <f>G32</f>
        <v>14800</v>
      </c>
      <c r="I32" s="13">
        <v>3600</v>
      </c>
      <c r="J32" s="13">
        <f>I32</f>
        <v>3600</v>
      </c>
      <c r="K32" s="13">
        <v>4400</v>
      </c>
      <c r="L32" s="13">
        <f>+K32</f>
        <v>4400</v>
      </c>
      <c r="M32" s="13">
        <v>2100</v>
      </c>
      <c r="N32" s="13">
        <f>M32</f>
        <v>2100</v>
      </c>
      <c r="O32" s="13">
        <v>1500</v>
      </c>
      <c r="P32" s="13">
        <f>O32</f>
        <v>1500</v>
      </c>
      <c r="Q32" s="13">
        <v>8200</v>
      </c>
      <c r="R32" s="13">
        <f>Q32</f>
        <v>8200</v>
      </c>
      <c r="S32" s="13">
        <v>1800</v>
      </c>
      <c r="T32" s="13">
        <f>S32</f>
        <v>1800</v>
      </c>
      <c r="U32" s="13">
        <v>12000</v>
      </c>
      <c r="V32" s="13">
        <f>U32</f>
        <v>12000</v>
      </c>
      <c r="W32" s="13">
        <v>11400</v>
      </c>
      <c r="X32" s="13">
        <f>W32</f>
        <v>11400</v>
      </c>
      <c r="Y32" s="13">
        <v>3500</v>
      </c>
      <c r="Z32" s="13">
        <f>Y32</f>
        <v>3500</v>
      </c>
      <c r="AA32" s="13">
        <v>15100</v>
      </c>
      <c r="AB32" s="13">
        <f>AA32</f>
        <v>15100</v>
      </c>
      <c r="AC32" s="13">
        <v>8100</v>
      </c>
      <c r="AD32" s="13">
        <f>AC32</f>
        <v>8100</v>
      </c>
      <c r="AE32" s="13">
        <v>3000</v>
      </c>
      <c r="AF32" s="13">
        <f>AE32</f>
        <v>3000</v>
      </c>
      <c r="AG32" s="13">
        <v>5300</v>
      </c>
      <c r="AH32" s="13">
        <f>AG32</f>
        <v>5300</v>
      </c>
      <c r="AI32" s="13">
        <v>3900</v>
      </c>
      <c r="AJ32" s="13">
        <f>+AI32</f>
        <v>3900</v>
      </c>
      <c r="AK32" s="13">
        <v>86200</v>
      </c>
      <c r="AL32" s="13">
        <f>AK32</f>
        <v>86200</v>
      </c>
      <c r="AM32" s="13">
        <v>71000</v>
      </c>
      <c r="AN32" s="13">
        <f t="shared" si="7"/>
        <v>122600</v>
      </c>
    </row>
    <row r="33" spans="1:40" ht="15" customHeight="1">
      <c r="A33" s="22"/>
      <c r="B33" s="7" t="s">
        <v>507</v>
      </c>
      <c r="C33" s="13">
        <f t="shared" si="2"/>
        <v>160400</v>
      </c>
      <c r="D33" s="145">
        <f t="shared" si="2"/>
        <v>160400</v>
      </c>
      <c r="E33" s="13">
        <v>3300</v>
      </c>
      <c r="F33" s="13">
        <f>E33</f>
        <v>3300</v>
      </c>
      <c r="G33" s="13">
        <v>9200</v>
      </c>
      <c r="H33" s="13">
        <f>G33</f>
        <v>9200</v>
      </c>
      <c r="I33" s="13">
        <v>8400</v>
      </c>
      <c r="J33" s="13">
        <f>I33</f>
        <v>8400</v>
      </c>
      <c r="K33" s="13">
        <v>4600</v>
      </c>
      <c r="L33" s="13">
        <f>+K33</f>
        <v>4600</v>
      </c>
      <c r="M33" s="13">
        <v>3900</v>
      </c>
      <c r="N33" s="13">
        <f>M33</f>
        <v>3900</v>
      </c>
      <c r="O33" s="13">
        <v>4500</v>
      </c>
      <c r="P33" s="13">
        <f>O33</f>
        <v>4500</v>
      </c>
      <c r="Q33" s="13">
        <v>7800</v>
      </c>
      <c r="R33" s="13">
        <f>Q33</f>
        <v>7800</v>
      </c>
      <c r="S33" s="13">
        <v>4200</v>
      </c>
      <c r="T33" s="13">
        <f>S33</f>
        <v>4200</v>
      </c>
      <c r="U33" s="13">
        <v>11000</v>
      </c>
      <c r="V33" s="13">
        <f>U33</f>
        <v>11000</v>
      </c>
      <c r="W33" s="13">
        <v>13600</v>
      </c>
      <c r="X33" s="13">
        <f>W33</f>
        <v>13600</v>
      </c>
      <c r="Y33" s="13">
        <v>4500</v>
      </c>
      <c r="Z33" s="13">
        <f>Y33</f>
        <v>4500</v>
      </c>
      <c r="AA33" s="13">
        <v>6900</v>
      </c>
      <c r="AB33" s="13">
        <f>AA33</f>
        <v>6900</v>
      </c>
      <c r="AC33" s="13">
        <v>7900</v>
      </c>
      <c r="AD33" s="13">
        <f>AC33</f>
        <v>7900</v>
      </c>
      <c r="AE33" s="13">
        <v>4000</v>
      </c>
      <c r="AF33" s="13">
        <f>AE33</f>
        <v>4000</v>
      </c>
      <c r="AG33" s="13">
        <v>5700</v>
      </c>
      <c r="AH33" s="13">
        <f>AG33</f>
        <v>5700</v>
      </c>
      <c r="AI33" s="13">
        <v>6100</v>
      </c>
      <c r="AJ33" s="13">
        <f>+AI33</f>
        <v>6100</v>
      </c>
      <c r="AK33" s="13">
        <v>54800</v>
      </c>
      <c r="AL33" s="13">
        <f>AK33</f>
        <v>54800</v>
      </c>
      <c r="AM33" s="13">
        <f>2100000-1133000</f>
        <v>967000</v>
      </c>
      <c r="AN33" s="13">
        <f t="shared" si="7"/>
        <v>-806600</v>
      </c>
    </row>
    <row r="34" spans="1:40" ht="15" customHeight="1">
      <c r="A34" s="22"/>
      <c r="B34" s="7" t="s">
        <v>509</v>
      </c>
      <c r="C34" s="13">
        <f t="shared" si="2"/>
        <v>0</v>
      </c>
      <c r="D34" s="20">
        <f t="shared" si="2"/>
        <v>0</v>
      </c>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v>0</v>
      </c>
      <c r="AL34" s="13">
        <f>AK34</f>
        <v>0</v>
      </c>
      <c r="AM34" s="13">
        <v>600000</v>
      </c>
      <c r="AN34" s="13">
        <f t="shared" si="7"/>
        <v>-600000</v>
      </c>
    </row>
    <row r="35" spans="1:40" s="6" customFormat="1" ht="16.5" customHeight="1">
      <c r="A35" s="18">
        <v>10</v>
      </c>
      <c r="B35" s="703" t="s">
        <v>102</v>
      </c>
      <c r="C35" s="13">
        <f t="shared" si="2"/>
        <v>0</v>
      </c>
      <c r="D35" s="20">
        <f t="shared" si="2"/>
        <v>0</v>
      </c>
      <c r="E35" s="21"/>
      <c r="F35" s="21">
        <f>E35</f>
        <v>0</v>
      </c>
      <c r="G35" s="21"/>
      <c r="H35" s="21">
        <f>G35</f>
        <v>0</v>
      </c>
      <c r="I35" s="21"/>
      <c r="J35" s="21">
        <f>I35</f>
        <v>0</v>
      </c>
      <c r="K35" s="21"/>
      <c r="L35" s="21">
        <f>K35</f>
        <v>0</v>
      </c>
      <c r="M35" s="21"/>
      <c r="N35" s="21">
        <f>M35</f>
        <v>0</v>
      </c>
      <c r="O35" s="21"/>
      <c r="P35" s="21">
        <f>O35</f>
        <v>0</v>
      </c>
      <c r="Q35" s="21"/>
      <c r="R35" s="21">
        <f>Q35</f>
        <v>0</v>
      </c>
      <c r="S35" s="21"/>
      <c r="T35" s="21">
        <f>S35</f>
        <v>0</v>
      </c>
      <c r="U35" s="21"/>
      <c r="V35" s="21">
        <f>U35</f>
        <v>0</v>
      </c>
      <c r="W35" s="21"/>
      <c r="X35" s="21">
        <f>W35</f>
        <v>0</v>
      </c>
      <c r="Y35" s="21"/>
      <c r="Z35" s="21">
        <f>Y35</f>
        <v>0</v>
      </c>
      <c r="AA35" s="21"/>
      <c r="AB35" s="21">
        <f>AA35</f>
        <v>0</v>
      </c>
      <c r="AC35" s="21"/>
      <c r="AD35" s="21">
        <f>AC35</f>
        <v>0</v>
      </c>
      <c r="AE35" s="21"/>
      <c r="AF35" s="21">
        <f>AE35</f>
        <v>0</v>
      </c>
      <c r="AG35" s="21"/>
      <c r="AH35" s="21">
        <f>AG35</f>
        <v>0</v>
      </c>
      <c r="AI35" s="21"/>
      <c r="AJ35" s="21">
        <f>AI35</f>
        <v>0</v>
      </c>
      <c r="AK35" s="21"/>
      <c r="AL35" s="21">
        <f>AK35</f>
        <v>0</v>
      </c>
      <c r="AM35" s="21"/>
      <c r="AN35" s="21">
        <f t="shared" si="7"/>
        <v>0</v>
      </c>
    </row>
    <row r="36" spans="1:40" s="6" customFormat="1" ht="17.25" customHeight="1">
      <c r="A36" s="19">
        <v>11</v>
      </c>
      <c r="B36" s="704" t="s">
        <v>103</v>
      </c>
      <c r="C36" s="23">
        <f t="shared" si="2"/>
        <v>26000</v>
      </c>
      <c r="D36" s="142">
        <f t="shared" si="2"/>
        <v>26000</v>
      </c>
      <c r="E36" s="23">
        <v>1000</v>
      </c>
      <c r="F36" s="23">
        <f>E36</f>
        <v>1000</v>
      </c>
      <c r="G36" s="23">
        <v>1000</v>
      </c>
      <c r="H36" s="23">
        <f>G36</f>
        <v>1000</v>
      </c>
      <c r="I36" s="23">
        <v>1000</v>
      </c>
      <c r="J36" s="23">
        <f>I36</f>
        <v>1000</v>
      </c>
      <c r="K36" s="23">
        <v>1000</v>
      </c>
      <c r="L36" s="23">
        <f>K36</f>
        <v>1000</v>
      </c>
      <c r="M36" s="23">
        <v>1000</v>
      </c>
      <c r="N36" s="23">
        <f>M36</f>
        <v>1000</v>
      </c>
      <c r="O36" s="23">
        <v>1000</v>
      </c>
      <c r="P36" s="23">
        <f>O36</f>
        <v>1000</v>
      </c>
      <c r="Q36" s="23">
        <v>1000</v>
      </c>
      <c r="R36" s="23">
        <f>Q36</f>
        <v>1000</v>
      </c>
      <c r="S36" s="23">
        <v>1000</v>
      </c>
      <c r="T36" s="23">
        <f>S36</f>
        <v>1000</v>
      </c>
      <c r="U36" s="23">
        <v>1000</v>
      </c>
      <c r="V36" s="23">
        <f>U36</f>
        <v>1000</v>
      </c>
      <c r="W36" s="23">
        <v>1000</v>
      </c>
      <c r="X36" s="23">
        <f>W36</f>
        <v>1000</v>
      </c>
      <c r="Y36" s="23">
        <v>1000</v>
      </c>
      <c r="Z36" s="23">
        <f>Y36</f>
        <v>1000</v>
      </c>
      <c r="AA36" s="23">
        <v>1000</v>
      </c>
      <c r="AB36" s="23">
        <f>AA36</f>
        <v>1000</v>
      </c>
      <c r="AC36" s="23">
        <v>1000</v>
      </c>
      <c r="AD36" s="23">
        <f>AC36</f>
        <v>1000</v>
      </c>
      <c r="AE36" s="23">
        <v>1000</v>
      </c>
      <c r="AF36" s="23">
        <f>AE36</f>
        <v>1000</v>
      </c>
      <c r="AG36" s="23">
        <v>1000</v>
      </c>
      <c r="AH36" s="23">
        <f>AG36</f>
        <v>1000</v>
      </c>
      <c r="AI36" s="23">
        <v>1000</v>
      </c>
      <c r="AJ36" s="23">
        <f>AI36</f>
        <v>1000</v>
      </c>
      <c r="AK36" s="23">
        <v>10000</v>
      </c>
      <c r="AL36" s="23">
        <f>AK36</f>
        <v>10000</v>
      </c>
      <c r="AM36" s="23">
        <f>3500000-26000</f>
        <v>3474000</v>
      </c>
      <c r="AN36" s="23">
        <f t="shared" si="7"/>
        <v>-3448000</v>
      </c>
    </row>
    <row r="37" spans="1:40" ht="36" customHeight="1">
      <c r="C37" s="25"/>
      <c r="D37" s="26"/>
      <c r="E37" s="27"/>
      <c r="F37" s="26"/>
      <c r="G37" s="26"/>
      <c r="H37" s="26"/>
      <c r="I37" s="26"/>
      <c r="J37" s="26"/>
      <c r="K37" s="26"/>
      <c r="L37" s="26"/>
      <c r="M37" s="1172"/>
      <c r="N37" s="1172"/>
      <c r="O37" s="1172"/>
      <c r="P37" s="1172"/>
      <c r="Q37" s="1172"/>
      <c r="R37" s="1172"/>
      <c r="S37" s="1172"/>
      <c r="T37" s="1172"/>
      <c r="U37" s="1172"/>
      <c r="V37" s="1172"/>
      <c r="W37" s="1172"/>
      <c r="X37" s="1172"/>
      <c r="Y37" s="1172"/>
      <c r="Z37" s="1172"/>
      <c r="AA37" s="1172"/>
      <c r="AB37" s="1172"/>
      <c r="AC37" s="1172"/>
      <c r="AD37" s="1172"/>
      <c r="AE37" s="1172"/>
      <c r="AF37" s="1172"/>
      <c r="AG37" s="1172"/>
      <c r="AH37" s="1172"/>
      <c r="AI37" s="1172"/>
      <c r="AJ37" s="1172"/>
      <c r="AK37" s="1172"/>
      <c r="AL37" s="1172"/>
      <c r="AM37" s="1172"/>
      <c r="AN37" s="1172"/>
    </row>
    <row r="38" spans="1:40">
      <c r="A38" s="6"/>
      <c r="B38" s="6"/>
      <c r="C38" s="28"/>
      <c r="AM38" s="8"/>
    </row>
    <row r="39" spans="1:40">
      <c r="A39" s="141"/>
      <c r="B39" s="141"/>
      <c r="AE39" s="8"/>
      <c r="AF39" s="8"/>
    </row>
    <row r="40" spans="1:40">
      <c r="A40" s="157"/>
    </row>
  </sheetData>
  <mergeCells count="39">
    <mergeCell ref="A5:A6"/>
    <mergeCell ref="B5:B6"/>
    <mergeCell ref="C5:D5"/>
    <mergeCell ref="E5:F5"/>
    <mergeCell ref="AK5:AL5"/>
    <mergeCell ref="I5:J5"/>
    <mergeCell ref="G5:H5"/>
    <mergeCell ref="K5:L5"/>
    <mergeCell ref="M5:N5"/>
    <mergeCell ref="O5:P5"/>
    <mergeCell ref="Q5:R5"/>
    <mergeCell ref="S5:T5"/>
    <mergeCell ref="AI37:AN37"/>
    <mergeCell ref="AE5:AF5"/>
    <mergeCell ref="AG5:AH5"/>
    <mergeCell ref="AN5:AN6"/>
    <mergeCell ref="W5:X5"/>
    <mergeCell ref="Y5:Z5"/>
    <mergeCell ref="AI5:AJ5"/>
    <mergeCell ref="AA5:AB5"/>
    <mergeCell ref="AC5:AD5"/>
    <mergeCell ref="AM5:AM6"/>
    <mergeCell ref="M37:T37"/>
    <mergeCell ref="U37:AB37"/>
    <mergeCell ref="AC37:AH37"/>
    <mergeCell ref="U5:V5"/>
    <mergeCell ref="G1:H1"/>
    <mergeCell ref="W1:X1"/>
    <mergeCell ref="G4:H4"/>
    <mergeCell ref="I2:P2"/>
    <mergeCell ref="I3:P3"/>
    <mergeCell ref="Q2:X2"/>
    <mergeCell ref="Q3:X3"/>
    <mergeCell ref="AK1:AL1"/>
    <mergeCell ref="Y2:AF2"/>
    <mergeCell ref="AI4:AN4"/>
    <mergeCell ref="Y3:AF3"/>
    <mergeCell ref="AG2:AN2"/>
    <mergeCell ref="AG3:AN3"/>
  </mergeCells>
  <phoneticPr fontId="16" type="noConversion"/>
  <pageMargins left="1.0900000000000001" right="0.33" top="0.25" bottom="0.2" header="0.2" footer="0.2"/>
  <pageSetup paperSize="9" firstPageNumber="5" orientation="landscape" verticalDpi="0"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FFFF00"/>
  </sheetPr>
  <dimension ref="A1:M76"/>
  <sheetViews>
    <sheetView workbookViewId="0">
      <pane xSplit="2" ySplit="6" topLeftCell="C37" activePane="bottomRight" state="frozen"/>
      <selection activeCell="J22" sqref="J22"/>
      <selection pane="topRight" activeCell="J22" sqref="J22"/>
      <selection pane="bottomLeft" activeCell="J22" sqref="J22"/>
      <selection pane="bottomRight" activeCell="A2" sqref="A2:I2"/>
    </sheetView>
  </sheetViews>
  <sheetFormatPr defaultColWidth="9" defaultRowHeight="15.75"/>
  <cols>
    <col min="1" max="1" width="6.375" style="311" customWidth="1"/>
    <col min="2" max="2" width="51.75" style="311" customWidth="1"/>
    <col min="3" max="3" width="14" style="691" customWidth="1"/>
    <col min="4" max="4" width="13.875" style="691" customWidth="1"/>
    <col min="5" max="5" width="13.625" style="691" customWidth="1"/>
    <col min="6" max="6" width="13.5" style="691" customWidth="1"/>
    <col min="7" max="7" width="12.625" style="691" customWidth="1"/>
    <col min="8" max="8" width="11.25" style="452" customWidth="1"/>
    <col min="9" max="9" width="10.5" style="795" customWidth="1"/>
    <col min="10" max="12" width="14" style="452" customWidth="1"/>
    <col min="13" max="13" width="13.75" style="311" bestFit="1" customWidth="1"/>
    <col min="14" max="16384" width="9" style="311"/>
  </cols>
  <sheetData>
    <row r="1" spans="1:13">
      <c r="H1" s="1178" t="s">
        <v>263</v>
      </c>
      <c r="I1" s="1178"/>
      <c r="J1" s="782"/>
    </row>
    <row r="2" spans="1:13" s="784" customFormat="1" ht="23.25" customHeight="1">
      <c r="A2" s="1162" t="s">
        <v>1560</v>
      </c>
      <c r="B2" s="1175"/>
      <c r="C2" s="1175"/>
      <c r="D2" s="1175"/>
      <c r="E2" s="1175"/>
      <c r="F2" s="1175"/>
      <c r="G2" s="1175"/>
      <c r="H2" s="1175"/>
      <c r="I2" s="1175"/>
      <c r="J2" s="688"/>
      <c r="K2" s="783"/>
      <c r="L2" s="783"/>
    </row>
    <row r="3" spans="1:13" s="317" customFormat="1" ht="19.7" customHeight="1">
      <c r="A3" s="1166" t="s">
        <v>1559</v>
      </c>
      <c r="B3" s="1166"/>
      <c r="C3" s="1166"/>
      <c r="D3" s="1166"/>
      <c r="E3" s="1166"/>
      <c r="F3" s="1166"/>
      <c r="G3" s="1166"/>
      <c r="H3" s="1166"/>
      <c r="I3" s="1166"/>
      <c r="J3" s="689"/>
      <c r="K3" s="680"/>
      <c r="L3" s="680"/>
    </row>
    <row r="4" spans="1:13" s="317" customFormat="1">
      <c r="C4" s="785"/>
      <c r="D4" s="785"/>
      <c r="E4" s="785"/>
      <c r="F4" s="1176" t="s">
        <v>283</v>
      </c>
      <c r="G4" s="1176"/>
      <c r="H4" s="1177"/>
      <c r="I4" s="1177"/>
      <c r="J4" s="690"/>
      <c r="K4" s="680"/>
      <c r="L4" s="680"/>
    </row>
    <row r="5" spans="1:13" s="408" customFormat="1" ht="26.25" customHeight="1">
      <c r="A5" s="1181" t="s">
        <v>71</v>
      </c>
      <c r="B5" s="1183" t="s">
        <v>167</v>
      </c>
      <c r="C5" s="1184" t="s">
        <v>127</v>
      </c>
      <c r="D5" s="1186" t="s">
        <v>117</v>
      </c>
      <c r="E5" s="1187"/>
      <c r="F5" s="1187"/>
      <c r="G5" s="1188"/>
      <c r="H5" s="1179" t="s">
        <v>118</v>
      </c>
      <c r="I5" s="1180"/>
      <c r="J5" s="786"/>
      <c r="K5" s="409"/>
      <c r="L5" s="409"/>
    </row>
    <row r="6" spans="1:13" s="408" customFormat="1" ht="36" customHeight="1">
      <c r="A6" s="1182"/>
      <c r="B6" s="1182"/>
      <c r="C6" s="1185"/>
      <c r="D6" s="692" t="s">
        <v>175</v>
      </c>
      <c r="E6" s="692" t="s">
        <v>119</v>
      </c>
      <c r="F6" s="692" t="s">
        <v>120</v>
      </c>
      <c r="G6" s="692" t="s">
        <v>302</v>
      </c>
      <c r="H6" s="787" t="s">
        <v>136</v>
      </c>
      <c r="I6" s="788" t="s">
        <v>121</v>
      </c>
      <c r="J6" s="789"/>
      <c r="K6" s="409"/>
      <c r="L6" s="409"/>
    </row>
    <row r="7" spans="1:13" s="408" customFormat="1" ht="18.75" customHeight="1">
      <c r="A7" s="922" t="s">
        <v>36</v>
      </c>
      <c r="B7" s="922" t="s">
        <v>37</v>
      </c>
      <c r="C7" s="922">
        <v>1</v>
      </c>
      <c r="D7" s="922">
        <v>2</v>
      </c>
      <c r="E7" s="922">
        <v>3</v>
      </c>
      <c r="F7" s="922">
        <v>4</v>
      </c>
      <c r="G7" s="922">
        <v>5</v>
      </c>
      <c r="H7" s="922">
        <v>6</v>
      </c>
      <c r="I7" s="922">
        <v>7</v>
      </c>
      <c r="J7" s="790"/>
      <c r="K7" s="409"/>
      <c r="L7" s="409"/>
    </row>
    <row r="8" spans="1:13" s="408" customFormat="1" ht="24.6" customHeight="1">
      <c r="A8" s="791"/>
      <c r="B8" s="791" t="s">
        <v>116</v>
      </c>
      <c r="C8" s="693">
        <f>+C9+C30</f>
        <v>664800000</v>
      </c>
      <c r="D8" s="693">
        <f>+D9+D30</f>
        <v>664800000</v>
      </c>
      <c r="E8" s="693">
        <f>+E9+E30</f>
        <v>448232711.06292003</v>
      </c>
      <c r="F8" s="693">
        <f>+F9+F30</f>
        <v>169923339.472</v>
      </c>
      <c r="G8" s="693">
        <f>+G9+G30</f>
        <v>46643949.46508</v>
      </c>
      <c r="H8" s="792">
        <f>+D8-C8</f>
        <v>0</v>
      </c>
      <c r="I8" s="793">
        <f>D8/C8*100</f>
        <v>100</v>
      </c>
      <c r="J8" s="678"/>
      <c r="K8" s="409"/>
      <c r="L8" s="409"/>
    </row>
    <row r="9" spans="1:13" s="408" customFormat="1" ht="22.5" customHeight="1">
      <c r="A9" s="290" t="s">
        <v>36</v>
      </c>
      <c r="B9" s="927" t="s">
        <v>122</v>
      </c>
      <c r="C9" s="928">
        <f t="shared" ref="C9:H9" si="0">+C10+C13+C28</f>
        <v>565493000</v>
      </c>
      <c r="D9" s="928">
        <f>+D10+D13+D28</f>
        <v>565493000</v>
      </c>
      <c r="E9" s="928">
        <f t="shared" si="0"/>
        <v>415702747.06292003</v>
      </c>
      <c r="F9" s="928">
        <f t="shared" si="0"/>
        <v>121680699.47199999</v>
      </c>
      <c r="G9" s="928">
        <f t="shared" si="0"/>
        <v>28109553.46508</v>
      </c>
      <c r="H9" s="929">
        <f t="shared" si="0"/>
        <v>0</v>
      </c>
      <c r="I9" s="833">
        <f>D9/C9*100</f>
        <v>100</v>
      </c>
      <c r="J9" s="678"/>
      <c r="K9" s="409"/>
      <c r="L9" s="409"/>
    </row>
    <row r="10" spans="1:13" s="408" customFormat="1" ht="22.5" customHeight="1">
      <c r="A10" s="923" t="s">
        <v>39</v>
      </c>
      <c r="B10" s="924" t="s">
        <v>158</v>
      </c>
      <c r="C10" s="925">
        <f t="shared" ref="C10:H10" si="1">SUM(C11:C12)</f>
        <v>21191000</v>
      </c>
      <c r="D10" s="925">
        <f t="shared" si="1"/>
        <v>21191000</v>
      </c>
      <c r="E10" s="925">
        <f t="shared" si="1"/>
        <v>19831834.285</v>
      </c>
      <c r="F10" s="925">
        <f t="shared" si="1"/>
        <v>0</v>
      </c>
      <c r="G10" s="925">
        <f t="shared" si="1"/>
        <v>1359165.7150000001</v>
      </c>
      <c r="H10" s="925">
        <f t="shared" si="1"/>
        <v>0</v>
      </c>
      <c r="I10" s="926">
        <f t="shared" ref="I10:I31" si="2">D10/C10*100</f>
        <v>100</v>
      </c>
      <c r="J10" s="678"/>
      <c r="K10" s="409"/>
      <c r="L10" s="409"/>
    </row>
    <row r="11" spans="1:13" ht="19.5" customHeight="1">
      <c r="A11" s="794">
        <v>1</v>
      </c>
      <c r="B11" s="239" t="s">
        <v>157</v>
      </c>
      <c r="C11" s="437">
        <v>15334000</v>
      </c>
      <c r="D11" s="437">
        <f>SUM(E11:G11)</f>
        <v>15334000</v>
      </c>
      <c r="E11" s="437">
        <f>+'6.Vốn đtư,SNKT25'!D11</f>
        <v>15334000</v>
      </c>
      <c r="F11" s="437"/>
      <c r="G11" s="437"/>
      <c r="H11" s="381">
        <f>D11-C11</f>
        <v>0</v>
      </c>
      <c r="I11" s="436">
        <f t="shared" si="2"/>
        <v>100</v>
      </c>
      <c r="J11" s="679"/>
    </row>
    <row r="12" spans="1:13" ht="19.5" customHeight="1">
      <c r="A12" s="794">
        <v>3</v>
      </c>
      <c r="B12" s="239" t="s">
        <v>156</v>
      </c>
      <c r="C12" s="437">
        <v>5857000</v>
      </c>
      <c r="D12" s="437">
        <f>SUM(E12:G12)</f>
        <v>5857000</v>
      </c>
      <c r="E12" s="437">
        <f>+'6.Vốn đtư,SNKT25'!D14</f>
        <v>4497834.2850000001</v>
      </c>
      <c r="F12" s="437"/>
      <c r="G12" s="437">
        <f>+'6.Vốn đtư,SNKT25'!D15</f>
        <v>1359165.7150000001</v>
      </c>
      <c r="H12" s="381">
        <f>D12-C12</f>
        <v>0</v>
      </c>
      <c r="I12" s="436">
        <f t="shared" si="2"/>
        <v>100</v>
      </c>
      <c r="J12" s="679"/>
    </row>
    <row r="13" spans="1:13" s="408" customFormat="1" ht="19.5" customHeight="1">
      <c r="A13" s="419" t="s">
        <v>41</v>
      </c>
      <c r="B13" s="612" t="s">
        <v>161</v>
      </c>
      <c r="C13" s="438">
        <f>+C14+C15+C16+C17+C20+C21+C22+C23+C24+C25+C26+C27</f>
        <v>532992000</v>
      </c>
      <c r="D13" s="438">
        <f>+D14+D15+D16+D17+D20+D21+D22+D23+D24+D25+D26+D27</f>
        <v>532991000</v>
      </c>
      <c r="E13" s="438">
        <f>+E14+E15+E16+E17+E20+E21+E22+E23+E24+E25+E26+E27</f>
        <v>395870912.77792001</v>
      </c>
      <c r="F13" s="438">
        <f>+F14+F15+F16+F17+F20+F21+F22+F23+F24+F25+F26+F27</f>
        <v>119390599.47199999</v>
      </c>
      <c r="G13" s="438">
        <f>+G14+G15+G16+G17+G20+G21+G22+G23+G24+G25+G26+G27</f>
        <v>17729487.750080001</v>
      </c>
      <c r="H13" s="438">
        <f>+D13-C13</f>
        <v>-1000</v>
      </c>
      <c r="I13" s="454">
        <f t="shared" si="2"/>
        <v>99.999812379923142</v>
      </c>
      <c r="J13" s="679"/>
      <c r="K13" s="452"/>
      <c r="L13" s="409"/>
    </row>
    <row r="14" spans="1:13" ht="19.5" customHeight="1">
      <c r="A14" s="386">
        <v>1</v>
      </c>
      <c r="B14" s="442" t="s">
        <v>34</v>
      </c>
      <c r="C14" s="439">
        <v>31349000</v>
      </c>
      <c r="D14" s="437">
        <f>SUM(E14:G14)</f>
        <v>25342600</v>
      </c>
      <c r="E14" s="537">
        <f>'4.THDT chi 24'!C13</f>
        <v>15653900</v>
      </c>
      <c r="F14" s="437">
        <f>+'7. TH chi xa 25'!C18+'7. TH chi xa 25'!C53+'7. TH chi xa 25'!C54</f>
        <v>5388700</v>
      </c>
      <c r="G14" s="437">
        <f>+'4.THDT chi 24'!C30</f>
        <v>4300000</v>
      </c>
      <c r="H14" s="437">
        <f>+D14-C14</f>
        <v>-6006400</v>
      </c>
      <c r="I14" s="436">
        <f t="shared" si="2"/>
        <v>80.840218188777953</v>
      </c>
      <c r="J14" s="679"/>
      <c r="M14" s="452"/>
    </row>
    <row r="15" spans="1:13" ht="19.5" customHeight="1">
      <c r="A15" s="386">
        <v>2</v>
      </c>
      <c r="B15" s="442" t="s">
        <v>123</v>
      </c>
      <c r="C15" s="437">
        <v>2000000</v>
      </c>
      <c r="D15" s="437">
        <f t="shared" ref="D15:D24" si="3">SUM(E15:G15)</f>
        <v>3288300</v>
      </c>
      <c r="E15" s="437">
        <f>'4.THDT chi 24'!C14</f>
        <v>3018300</v>
      </c>
      <c r="F15" s="437">
        <f>+'7. TH chi xa 25'!C19</f>
        <v>270000</v>
      </c>
      <c r="G15" s="437"/>
      <c r="H15" s="437">
        <f t="shared" ref="H15:H28" si="4">+D15-C15</f>
        <v>1288300</v>
      </c>
      <c r="I15" s="436">
        <f t="shared" si="2"/>
        <v>164.41499999999999</v>
      </c>
      <c r="J15" s="679"/>
    </row>
    <row r="16" spans="1:13" ht="19.5" customHeight="1">
      <c r="A16" s="386">
        <v>3</v>
      </c>
      <c r="B16" s="442" t="s">
        <v>45</v>
      </c>
      <c r="C16" s="437">
        <v>152464000</v>
      </c>
      <c r="D16" s="437">
        <f>SUM(E16:G16)</f>
        <v>153708930.72083199</v>
      </c>
      <c r="E16" s="381">
        <f>'4.THDT chi 24'!C15</f>
        <v>42901794.173759997</v>
      </c>
      <c r="F16" s="437">
        <f>+'7. TH chi xa 25'!C20+'7. TH chi xa 25'!C46+'7. TH chi xa 25'!C47-F42</f>
        <v>99888148.671999991</v>
      </c>
      <c r="G16" s="437">
        <f>+'4.THDT chi 24'!C31</f>
        <v>10918987.875072002</v>
      </c>
      <c r="H16" s="437">
        <f t="shared" si="4"/>
        <v>1244930.7208319902</v>
      </c>
      <c r="I16" s="436">
        <f>D16/C16*100</f>
        <v>100.8165407708259</v>
      </c>
      <c r="J16" s="679"/>
    </row>
    <row r="17" spans="1:12" ht="19.5" customHeight="1">
      <c r="A17" s="386">
        <v>4</v>
      </c>
      <c r="B17" s="443" t="s">
        <v>511</v>
      </c>
      <c r="C17" s="437">
        <v>302019000</v>
      </c>
      <c r="D17" s="437">
        <f t="shared" si="3"/>
        <v>302018999.80000001</v>
      </c>
      <c r="E17" s="437">
        <f>'4.THDT chi 24'!C16</f>
        <v>302018999.80000001</v>
      </c>
      <c r="F17" s="437">
        <f>F18+F19</f>
        <v>0</v>
      </c>
      <c r="G17" s="437">
        <f>G18+G19</f>
        <v>0</v>
      </c>
      <c r="H17" s="694"/>
      <c r="I17" s="436">
        <f t="shared" si="2"/>
        <v>99.999999933779009</v>
      </c>
      <c r="J17" s="679"/>
    </row>
    <row r="18" spans="1:12" s="317" customFormat="1" ht="19.5" customHeight="1">
      <c r="A18" s="444"/>
      <c r="B18" s="445" t="s">
        <v>124</v>
      </c>
      <c r="C18" s="440"/>
      <c r="D18" s="441">
        <f t="shared" si="3"/>
        <v>298677763.29640001</v>
      </c>
      <c r="E18" s="440">
        <f>+'4.THDT chi 24'!C17</f>
        <v>298677763.29640001</v>
      </c>
      <c r="F18" s="441">
        <v>0</v>
      </c>
      <c r="G18" s="441"/>
      <c r="H18" s="437"/>
      <c r="I18" s="538"/>
      <c r="J18" s="679"/>
      <c r="K18" s="452"/>
      <c r="L18" s="680"/>
    </row>
    <row r="19" spans="1:12" s="317" customFormat="1" ht="19.5" customHeight="1">
      <c r="A19" s="444"/>
      <c r="B19" s="445" t="s">
        <v>125</v>
      </c>
      <c r="C19" s="441"/>
      <c r="D19" s="441">
        <f t="shared" si="3"/>
        <v>3341236.5036000004</v>
      </c>
      <c r="E19" s="441">
        <f>'4.THDT chi 24'!C18</f>
        <v>3341236.5036000004</v>
      </c>
      <c r="F19" s="441">
        <v>0</v>
      </c>
      <c r="G19" s="441"/>
      <c r="H19" s="437"/>
      <c r="I19" s="538"/>
      <c r="J19" s="679"/>
      <c r="K19" s="452"/>
      <c r="L19" s="680"/>
    </row>
    <row r="20" spans="1:12" ht="19.5" customHeight="1">
      <c r="A20" s="386">
        <v>5</v>
      </c>
      <c r="B20" s="442" t="s">
        <v>510</v>
      </c>
      <c r="C20" s="437">
        <v>1235000</v>
      </c>
      <c r="D20" s="437">
        <f t="shared" si="3"/>
        <v>2672029.04</v>
      </c>
      <c r="E20" s="437">
        <f>'4.THDT chi 24'!C19</f>
        <v>2022029.04</v>
      </c>
      <c r="F20" s="437">
        <f>+'7. TH chi xa 25'!C34+'7. TH chi xa 25'!C49+'7. TH chi xa 25'!C50</f>
        <v>650000</v>
      </c>
      <c r="G20" s="437"/>
      <c r="H20" s="437">
        <f t="shared" si="4"/>
        <v>1437029.04</v>
      </c>
      <c r="I20" s="436">
        <f t="shared" si="2"/>
        <v>216.35862672064778</v>
      </c>
      <c r="J20" s="679"/>
    </row>
    <row r="21" spans="1:12" ht="19.5" customHeight="1">
      <c r="A21" s="386">
        <v>6</v>
      </c>
      <c r="B21" s="442" t="s">
        <v>326</v>
      </c>
      <c r="C21" s="437">
        <v>1490000</v>
      </c>
      <c r="D21" s="437">
        <f t="shared" si="3"/>
        <v>1527000</v>
      </c>
      <c r="E21" s="437">
        <f>'4.THDT chi 24'!C20</f>
        <v>1527000</v>
      </c>
      <c r="F21" s="437"/>
      <c r="G21" s="437"/>
      <c r="H21" s="437">
        <f t="shared" si="4"/>
        <v>37000</v>
      </c>
      <c r="I21" s="436">
        <f t="shared" si="2"/>
        <v>102.48322147651008</v>
      </c>
      <c r="J21" s="679"/>
    </row>
    <row r="22" spans="1:12" ht="19.5" customHeight="1">
      <c r="A22" s="386">
        <v>7</v>
      </c>
      <c r="B22" s="442" t="s">
        <v>512</v>
      </c>
      <c r="C22" s="437">
        <v>1489000</v>
      </c>
      <c r="D22" s="437">
        <f t="shared" si="3"/>
        <v>1649789.76416</v>
      </c>
      <c r="E22" s="437">
        <f>'4.THDT chi 24'!C21</f>
        <v>1388789.76416</v>
      </c>
      <c r="F22" s="437">
        <f>'7. TH chi xa 25'!C35</f>
        <v>261000</v>
      </c>
      <c r="G22" s="437"/>
      <c r="H22" s="437">
        <f t="shared" si="4"/>
        <v>160789.76416000002</v>
      </c>
      <c r="I22" s="436">
        <f t="shared" si="2"/>
        <v>110.79850665950302</v>
      </c>
      <c r="J22" s="679"/>
    </row>
    <row r="23" spans="1:12" ht="19.5" customHeight="1">
      <c r="A23" s="386">
        <v>8</v>
      </c>
      <c r="B23" s="442" t="s">
        <v>126</v>
      </c>
      <c r="C23" s="437">
        <v>26150000</v>
      </c>
      <c r="D23" s="437">
        <f t="shared" si="3"/>
        <v>25376943.600000001</v>
      </c>
      <c r="E23" s="437">
        <f>'4.THDT chi 24'!C22</f>
        <v>22831400</v>
      </c>
      <c r="F23" s="437">
        <f>+'7. TH chi xa 25'!C36</f>
        <v>2545543.6</v>
      </c>
      <c r="G23" s="437"/>
      <c r="H23" s="437">
        <f t="shared" si="4"/>
        <v>-773056.39999999851</v>
      </c>
      <c r="I23" s="436">
        <f t="shared" si="2"/>
        <v>97.043761376673046</v>
      </c>
      <c r="J23" s="679"/>
    </row>
    <row r="24" spans="1:12" ht="19.5" customHeight="1">
      <c r="A24" s="386">
        <v>9</v>
      </c>
      <c r="B24" s="380" t="s">
        <v>35</v>
      </c>
      <c r="C24" s="437">
        <v>1185000</v>
      </c>
      <c r="D24" s="437">
        <f t="shared" si="3"/>
        <v>4287700</v>
      </c>
      <c r="E24" s="437">
        <f>'4.THDT chi 24'!C23</f>
        <v>1260500</v>
      </c>
      <c r="F24" s="437">
        <f>+'7. TH chi xa 25'!C39</f>
        <v>3027200</v>
      </c>
      <c r="G24" s="437"/>
      <c r="H24" s="437">
        <f t="shared" si="4"/>
        <v>3102700</v>
      </c>
      <c r="I24" s="436">
        <f t="shared" si="2"/>
        <v>361.83122362869199</v>
      </c>
      <c r="J24" s="679"/>
    </row>
    <row r="25" spans="1:12" ht="19.5" customHeight="1">
      <c r="A25" s="386">
        <v>10</v>
      </c>
      <c r="B25" s="442" t="s">
        <v>47</v>
      </c>
      <c r="C25" s="437">
        <v>11873000</v>
      </c>
      <c r="D25" s="437">
        <f>SUM(E25:G25)</f>
        <v>10037707.199999999</v>
      </c>
      <c r="E25" s="437">
        <f>'4.THDT chi 24'!C24</f>
        <v>3248200</v>
      </c>
      <c r="F25" s="437">
        <f>+'7. TH chi xa 25'!C40</f>
        <v>6789507.1999999993</v>
      </c>
      <c r="G25" s="437"/>
      <c r="H25" s="437">
        <f t="shared" si="4"/>
        <v>-1835292.8000000007</v>
      </c>
      <c r="I25" s="436">
        <f t="shared" si="2"/>
        <v>84.542299334624772</v>
      </c>
      <c r="J25" s="679"/>
    </row>
    <row r="26" spans="1:12" ht="19.5" customHeight="1">
      <c r="A26" s="386">
        <v>11</v>
      </c>
      <c r="B26" s="442" t="s">
        <v>130</v>
      </c>
      <c r="C26" s="437">
        <v>1738000</v>
      </c>
      <c r="D26" s="437">
        <f>SUM(E26:G26)</f>
        <v>1738000</v>
      </c>
      <c r="E26" s="437"/>
      <c r="F26" s="437">
        <f>+'7. TH chi xa 25'!C41</f>
        <v>570500</v>
      </c>
      <c r="G26" s="437">
        <f>'4.THDT chi 24'!C25</f>
        <v>1167500</v>
      </c>
      <c r="H26" s="437">
        <f t="shared" si="4"/>
        <v>0</v>
      </c>
      <c r="I26" s="436">
        <f t="shared" si="2"/>
        <v>100</v>
      </c>
      <c r="J26" s="679"/>
    </row>
    <row r="27" spans="1:12" ht="48.75" customHeight="1">
      <c r="A27" s="386">
        <v>12</v>
      </c>
      <c r="B27" s="796" t="s">
        <v>1470</v>
      </c>
      <c r="C27" s="437"/>
      <c r="D27" s="437">
        <f>SUM(E27:G27)</f>
        <v>1342999.8750079991</v>
      </c>
      <c r="E27" s="437"/>
      <c r="F27" s="437"/>
      <c r="G27" s="437">
        <f>'4.THDT chi 24'!C27</f>
        <v>1342999.8750079991</v>
      </c>
      <c r="H27" s="437"/>
      <c r="I27" s="436"/>
      <c r="J27" s="679"/>
    </row>
    <row r="28" spans="1:12" s="408" customFormat="1" ht="24" customHeight="1">
      <c r="A28" s="419" t="s">
        <v>42</v>
      </c>
      <c r="B28" s="612" t="s">
        <v>162</v>
      </c>
      <c r="C28" s="438">
        <f>+C29</f>
        <v>11310000</v>
      </c>
      <c r="D28" s="438">
        <f>+D29</f>
        <v>11311000</v>
      </c>
      <c r="E28" s="438">
        <f>+E29</f>
        <v>0</v>
      </c>
      <c r="F28" s="438">
        <f>+F29</f>
        <v>2290100</v>
      </c>
      <c r="G28" s="438">
        <f>+G29</f>
        <v>9020900</v>
      </c>
      <c r="H28" s="437">
        <f t="shared" si="4"/>
        <v>1000</v>
      </c>
      <c r="I28" s="454">
        <f t="shared" si="2"/>
        <v>100.00884173297966</v>
      </c>
      <c r="J28" s="679"/>
      <c r="K28" s="452"/>
      <c r="L28" s="409"/>
    </row>
    <row r="29" spans="1:12" ht="24" customHeight="1">
      <c r="A29" s="386">
        <v>1</v>
      </c>
      <c r="B29" s="366" t="s">
        <v>260</v>
      </c>
      <c r="C29" s="364">
        <v>11310000</v>
      </c>
      <c r="D29" s="437">
        <f>E29+F29+G29</f>
        <v>11311000</v>
      </c>
      <c r="E29" s="437"/>
      <c r="F29" s="437">
        <f>+'7. TH chi xa 25'!C42</f>
        <v>2290100</v>
      </c>
      <c r="G29" s="437">
        <f>+'4.THDT chi 24'!C28</f>
        <v>9020900</v>
      </c>
      <c r="H29" s="381">
        <f>D29-C29</f>
        <v>1000</v>
      </c>
      <c r="I29" s="436">
        <f t="shared" si="2"/>
        <v>100.00884173297966</v>
      </c>
      <c r="J29" s="679"/>
    </row>
    <row r="30" spans="1:12" s="408" customFormat="1" ht="24" customHeight="1">
      <c r="A30" s="290" t="s">
        <v>37</v>
      </c>
      <c r="B30" s="638" t="s">
        <v>612</v>
      </c>
      <c r="C30" s="383">
        <f t="shared" ref="C30:I30" si="5">+C31+C45+C71</f>
        <v>99307000</v>
      </c>
      <c r="D30" s="383">
        <f t="shared" si="5"/>
        <v>99307000</v>
      </c>
      <c r="E30" s="383">
        <f t="shared" si="5"/>
        <v>32529964</v>
      </c>
      <c r="F30" s="383">
        <f t="shared" si="5"/>
        <v>48242640</v>
      </c>
      <c r="G30" s="383">
        <f t="shared" si="5"/>
        <v>18534396</v>
      </c>
      <c r="H30" s="383">
        <f t="shared" si="5"/>
        <v>0</v>
      </c>
      <c r="I30" s="833">
        <f t="shared" si="5"/>
        <v>100</v>
      </c>
      <c r="J30" s="679"/>
      <c r="K30" s="452"/>
      <c r="L30" s="409"/>
    </row>
    <row r="31" spans="1:12" ht="24" customHeight="1">
      <c r="A31" s="631">
        <v>1</v>
      </c>
      <c r="B31" s="639" t="s">
        <v>613</v>
      </c>
      <c r="C31" s="640">
        <f t="shared" ref="C31:H31" si="6">+C32+C36+C40+C43</f>
        <v>27897000</v>
      </c>
      <c r="D31" s="640">
        <f t="shared" si="6"/>
        <v>27897000</v>
      </c>
      <c r="E31" s="640">
        <f t="shared" si="6"/>
        <v>25220250</v>
      </c>
      <c r="F31" s="640">
        <f t="shared" si="6"/>
        <v>2676750</v>
      </c>
      <c r="G31" s="640">
        <f t="shared" si="6"/>
        <v>0</v>
      </c>
      <c r="H31" s="640">
        <f t="shared" si="6"/>
        <v>0</v>
      </c>
      <c r="I31" s="641">
        <f t="shared" si="2"/>
        <v>100</v>
      </c>
      <c r="J31" s="679"/>
    </row>
    <row r="32" spans="1:12" ht="24" customHeight="1">
      <c r="A32" s="419" t="s">
        <v>72</v>
      </c>
      <c r="B32" s="397" t="s">
        <v>1506</v>
      </c>
      <c r="C32" s="435">
        <f>SUM(C33:C35)</f>
        <v>9198000</v>
      </c>
      <c r="D32" s="435">
        <f>SUM(D33:D35)</f>
        <v>9198000</v>
      </c>
      <c r="E32" s="435">
        <f>SUM(E33:E35)</f>
        <v>9198000</v>
      </c>
      <c r="F32" s="435">
        <f>SUM(F33:F35)</f>
        <v>0</v>
      </c>
      <c r="G32" s="435"/>
      <c r="H32" s="435">
        <f>SUM(H33:H35)</f>
        <v>0</v>
      </c>
      <c r="I32" s="436"/>
      <c r="J32" s="679"/>
    </row>
    <row r="33" spans="1:12" ht="51" customHeight="1">
      <c r="A33" s="386" t="s">
        <v>215</v>
      </c>
      <c r="B33" s="393" t="s">
        <v>614</v>
      </c>
      <c r="C33" s="237">
        <v>148000</v>
      </c>
      <c r="D33" s="437">
        <f>SUM(E33:F33)</f>
        <v>148000</v>
      </c>
      <c r="E33" s="437">
        <f>+'5.Chi tiet huyen '!G304</f>
        <v>148000</v>
      </c>
      <c r="F33" s="437"/>
      <c r="G33" s="437"/>
      <c r="H33" s="437">
        <f>SUM(H34:H35)</f>
        <v>0</v>
      </c>
      <c r="I33" s="436"/>
      <c r="J33" s="679"/>
    </row>
    <row r="34" spans="1:12" ht="48.75" customHeight="1">
      <c r="A34" s="386" t="s">
        <v>215</v>
      </c>
      <c r="B34" s="393" t="s">
        <v>615</v>
      </c>
      <c r="C34" s="237">
        <v>250000</v>
      </c>
      <c r="D34" s="437">
        <f>SUM(E34:F34)</f>
        <v>250000</v>
      </c>
      <c r="E34" s="437">
        <f>+'5.Chi tiet huyen '!G305</f>
        <v>250000</v>
      </c>
      <c r="F34" s="437"/>
      <c r="G34" s="437"/>
      <c r="H34" s="381"/>
      <c r="I34" s="436"/>
      <c r="J34" s="679"/>
    </row>
    <row r="35" spans="1:12" ht="33" customHeight="1">
      <c r="A35" s="386" t="s">
        <v>215</v>
      </c>
      <c r="B35" s="393" t="s">
        <v>616</v>
      </c>
      <c r="C35" s="237">
        <v>8800000</v>
      </c>
      <c r="D35" s="437">
        <f>SUM(E35:F35)</f>
        <v>8800000</v>
      </c>
      <c r="E35" s="437">
        <f>+'5.Chi tiet huyen '!G306</f>
        <v>8800000</v>
      </c>
      <c r="F35" s="437"/>
      <c r="G35" s="437"/>
      <c r="H35" s="381"/>
      <c r="I35" s="436"/>
      <c r="J35" s="679"/>
    </row>
    <row r="36" spans="1:12" s="408" customFormat="1" ht="23.1" customHeight="1">
      <c r="A36" s="419" t="s">
        <v>72</v>
      </c>
      <c r="B36" s="634" t="s">
        <v>34</v>
      </c>
      <c r="C36" s="229">
        <f t="shared" ref="C36:H36" si="7">SUM(C37:C39)</f>
        <v>2125000</v>
      </c>
      <c r="D36" s="229">
        <f>SUM(D37:D39)</f>
        <v>2125000</v>
      </c>
      <c r="E36" s="229">
        <f t="shared" si="7"/>
        <v>625000</v>
      </c>
      <c r="F36" s="229">
        <f t="shared" si="7"/>
        <v>1500000</v>
      </c>
      <c r="G36" s="229">
        <f t="shared" si="7"/>
        <v>0</v>
      </c>
      <c r="H36" s="229">
        <f t="shared" si="7"/>
        <v>0</v>
      </c>
      <c r="I36" s="454"/>
      <c r="J36" s="679"/>
      <c r="K36" s="452"/>
      <c r="L36" s="409"/>
    </row>
    <row r="37" spans="1:12" ht="33" customHeight="1">
      <c r="A37" s="386" t="s">
        <v>215</v>
      </c>
      <c r="B37" s="393" t="s">
        <v>413</v>
      </c>
      <c r="C37" s="381">
        <v>1500000</v>
      </c>
      <c r="D37" s="437">
        <f>SUM(E37:F37)</f>
        <v>1500000</v>
      </c>
      <c r="E37" s="437"/>
      <c r="F37" s="437">
        <f>+'7. TH chi xa 25'!C52</f>
        <v>1500000</v>
      </c>
      <c r="G37" s="437"/>
      <c r="H37" s="381"/>
      <c r="I37" s="436"/>
      <c r="J37" s="679"/>
    </row>
    <row r="38" spans="1:12" ht="26.1" customHeight="1">
      <c r="A38" s="386" t="s">
        <v>215</v>
      </c>
      <c r="B38" s="635" t="s">
        <v>625</v>
      </c>
      <c r="C38" s="381">
        <v>125000</v>
      </c>
      <c r="D38" s="437">
        <f>SUM(E38:F38)</f>
        <v>125000</v>
      </c>
      <c r="E38" s="437">
        <f>+C38</f>
        <v>125000</v>
      </c>
      <c r="F38" s="437"/>
      <c r="G38" s="437"/>
      <c r="H38" s="381"/>
      <c r="I38" s="436"/>
      <c r="J38" s="679"/>
    </row>
    <row r="39" spans="1:12" ht="39.6" customHeight="1">
      <c r="A39" s="386" t="s">
        <v>215</v>
      </c>
      <c r="B39" s="283" t="s">
        <v>300</v>
      </c>
      <c r="C39" s="381">
        <v>500000</v>
      </c>
      <c r="D39" s="437">
        <f>SUM(E39:F39)</f>
        <v>500000</v>
      </c>
      <c r="E39" s="437">
        <f>+C39</f>
        <v>500000</v>
      </c>
      <c r="F39" s="437"/>
      <c r="G39" s="437"/>
      <c r="H39" s="381"/>
      <c r="I39" s="436"/>
      <c r="J39" s="679"/>
    </row>
    <row r="40" spans="1:12" ht="27" customHeight="1">
      <c r="A40" s="386" t="s">
        <v>441</v>
      </c>
      <c r="B40" s="397" t="s">
        <v>45</v>
      </c>
      <c r="C40" s="435">
        <f t="shared" ref="C40:H40" si="8">SUM(C41:C42)</f>
        <v>5150000</v>
      </c>
      <c r="D40" s="435">
        <f t="shared" si="8"/>
        <v>5150000</v>
      </c>
      <c r="E40" s="435">
        <f t="shared" si="8"/>
        <v>3973250</v>
      </c>
      <c r="F40" s="435">
        <f t="shared" si="8"/>
        <v>1176750</v>
      </c>
      <c r="G40" s="435">
        <f t="shared" si="8"/>
        <v>0</v>
      </c>
      <c r="H40" s="435">
        <f t="shared" si="8"/>
        <v>0</v>
      </c>
      <c r="I40" s="436"/>
      <c r="J40" s="679"/>
    </row>
    <row r="41" spans="1:12" ht="24" customHeight="1">
      <c r="A41" s="386" t="s">
        <v>215</v>
      </c>
      <c r="B41" s="393" t="s">
        <v>1195</v>
      </c>
      <c r="C41" s="381">
        <v>1600000</v>
      </c>
      <c r="D41" s="437">
        <f>SUM(E41:F41)</f>
        <v>1600000</v>
      </c>
      <c r="E41" s="437">
        <f>+'5.Chi tiet huyen '!G84</f>
        <v>1600000</v>
      </c>
      <c r="F41" s="437"/>
      <c r="G41" s="437"/>
      <c r="H41" s="381"/>
      <c r="I41" s="436"/>
      <c r="J41" s="679"/>
    </row>
    <row r="42" spans="1:12" ht="36.75" customHeight="1">
      <c r="A42" s="386" t="s">
        <v>215</v>
      </c>
      <c r="B42" s="393" t="s">
        <v>1303</v>
      </c>
      <c r="C42" s="381">
        <v>3550000</v>
      </c>
      <c r="D42" s="437">
        <f>SUM(E42:F42)</f>
        <v>3550000</v>
      </c>
      <c r="E42" s="437">
        <f>+'4.THDT chi 24'!O40</f>
        <v>2373250</v>
      </c>
      <c r="F42" s="437">
        <f>+'4.THDT chi 24'!N40</f>
        <v>1176750</v>
      </c>
      <c r="G42" s="437"/>
      <c r="H42" s="381"/>
      <c r="I42" s="436"/>
      <c r="J42" s="679"/>
    </row>
    <row r="43" spans="1:12" s="408" customFormat="1" ht="25.5" customHeight="1">
      <c r="A43" s="419" t="s">
        <v>441</v>
      </c>
      <c r="B43" s="434" t="s">
        <v>46</v>
      </c>
      <c r="C43" s="435">
        <f t="shared" ref="C43:H43" si="9">+C44</f>
        <v>11424000</v>
      </c>
      <c r="D43" s="435">
        <f t="shared" si="9"/>
        <v>11424000</v>
      </c>
      <c r="E43" s="435">
        <f t="shared" si="9"/>
        <v>11424000</v>
      </c>
      <c r="F43" s="435">
        <f t="shared" si="9"/>
        <v>0</v>
      </c>
      <c r="G43" s="435">
        <f t="shared" si="9"/>
        <v>0</v>
      </c>
      <c r="H43" s="435">
        <f t="shared" si="9"/>
        <v>0</v>
      </c>
      <c r="I43" s="454"/>
      <c r="J43" s="679"/>
      <c r="K43" s="452"/>
      <c r="L43" s="409"/>
    </row>
    <row r="44" spans="1:12" ht="32.25" customHeight="1">
      <c r="A44" s="386" t="s">
        <v>1</v>
      </c>
      <c r="B44" s="283" t="s">
        <v>1302</v>
      </c>
      <c r="C44" s="381">
        <v>11424000</v>
      </c>
      <c r="D44" s="437">
        <f>SUM(E44:G44)</f>
        <v>11424000</v>
      </c>
      <c r="E44" s="437">
        <f>+'4.THDT chi 24'!C46</f>
        <v>11424000</v>
      </c>
      <c r="F44" s="437"/>
      <c r="G44" s="437"/>
      <c r="H44" s="381"/>
      <c r="I44" s="436"/>
      <c r="J44" s="679"/>
    </row>
    <row r="45" spans="1:12" ht="40.5" customHeight="1">
      <c r="A45" s="419">
        <v>2</v>
      </c>
      <c r="B45" s="634" t="s">
        <v>654</v>
      </c>
      <c r="C45" s="435">
        <f t="shared" ref="C45:H45" si="10">+C46+C49</f>
        <v>65610000</v>
      </c>
      <c r="D45" s="435">
        <f t="shared" si="10"/>
        <v>65610000</v>
      </c>
      <c r="E45" s="435">
        <f t="shared" si="10"/>
        <v>2547100</v>
      </c>
      <c r="F45" s="435">
        <f t="shared" si="10"/>
        <v>45365890</v>
      </c>
      <c r="G45" s="435">
        <f t="shared" si="10"/>
        <v>17697010</v>
      </c>
      <c r="H45" s="435">
        <f t="shared" si="10"/>
        <v>0</v>
      </c>
      <c r="I45" s="436"/>
      <c r="J45" s="679"/>
    </row>
    <row r="46" spans="1:12" ht="21.95" customHeight="1">
      <c r="A46" s="386" t="s">
        <v>1</v>
      </c>
      <c r="B46" s="394" t="s">
        <v>232</v>
      </c>
      <c r="C46" s="381">
        <f t="shared" ref="C46:H46" si="11">+C53+C60+C65</f>
        <v>63400000</v>
      </c>
      <c r="D46" s="381">
        <f t="shared" si="11"/>
        <v>63400000</v>
      </c>
      <c r="E46" s="381">
        <f t="shared" si="11"/>
        <v>2247100</v>
      </c>
      <c r="F46" s="381">
        <f t="shared" si="11"/>
        <v>43455890</v>
      </c>
      <c r="G46" s="381">
        <f t="shared" si="11"/>
        <v>17697010</v>
      </c>
      <c r="H46" s="381">
        <f t="shared" si="11"/>
        <v>0</v>
      </c>
      <c r="I46" s="436"/>
      <c r="J46" s="679"/>
    </row>
    <row r="47" spans="1:12" ht="18.600000000000001" customHeight="1">
      <c r="A47" s="386"/>
      <c r="B47" s="604" t="s">
        <v>848</v>
      </c>
      <c r="C47" s="642">
        <f t="shared" ref="C47:H48" si="12">+C54+C66</f>
        <v>60314000</v>
      </c>
      <c r="D47" s="642">
        <f t="shared" si="12"/>
        <v>60314000</v>
      </c>
      <c r="E47" s="642">
        <f t="shared" si="12"/>
        <v>2221000</v>
      </c>
      <c r="F47" s="642">
        <f t="shared" si="12"/>
        <v>41207940</v>
      </c>
      <c r="G47" s="642">
        <f t="shared" si="12"/>
        <v>16885060</v>
      </c>
      <c r="H47" s="642">
        <f t="shared" si="12"/>
        <v>0</v>
      </c>
      <c r="I47" s="436"/>
      <c r="J47" s="679"/>
    </row>
    <row r="48" spans="1:12" ht="18" customHeight="1">
      <c r="A48" s="386"/>
      <c r="B48" s="604" t="s">
        <v>655</v>
      </c>
      <c r="C48" s="642">
        <f t="shared" si="12"/>
        <v>3086000</v>
      </c>
      <c r="D48" s="642">
        <f t="shared" si="12"/>
        <v>3086000</v>
      </c>
      <c r="E48" s="642">
        <f t="shared" si="12"/>
        <v>26100</v>
      </c>
      <c r="F48" s="642">
        <f t="shared" si="12"/>
        <v>2247950</v>
      </c>
      <c r="G48" s="642">
        <f t="shared" si="12"/>
        <v>811950</v>
      </c>
      <c r="H48" s="642">
        <f t="shared" si="12"/>
        <v>0</v>
      </c>
      <c r="I48" s="436"/>
      <c r="J48" s="679"/>
    </row>
    <row r="49" spans="1:10" ht="22.5" customHeight="1">
      <c r="A49" s="386" t="s">
        <v>1</v>
      </c>
      <c r="B49" s="394" t="s">
        <v>462</v>
      </c>
      <c r="C49" s="381">
        <f t="shared" ref="C49:H51" si="13">+C56+C61+C68</f>
        <v>2210000</v>
      </c>
      <c r="D49" s="381">
        <f t="shared" si="13"/>
        <v>2210000</v>
      </c>
      <c r="E49" s="381">
        <f t="shared" si="13"/>
        <v>300000</v>
      </c>
      <c r="F49" s="381">
        <f t="shared" si="13"/>
        <v>1910000</v>
      </c>
      <c r="G49" s="381">
        <f t="shared" si="13"/>
        <v>0</v>
      </c>
      <c r="H49" s="381">
        <f t="shared" si="13"/>
        <v>0</v>
      </c>
      <c r="I49" s="436"/>
      <c r="J49" s="679"/>
    </row>
    <row r="50" spans="1:10" ht="17.45" customHeight="1">
      <c r="A50" s="386"/>
      <c r="B50" s="604" t="s">
        <v>848</v>
      </c>
      <c r="C50" s="642">
        <f t="shared" si="13"/>
        <v>2105000</v>
      </c>
      <c r="D50" s="642">
        <f t="shared" si="13"/>
        <v>2105000</v>
      </c>
      <c r="E50" s="642">
        <f t="shared" si="13"/>
        <v>286000</v>
      </c>
      <c r="F50" s="642">
        <f t="shared" si="13"/>
        <v>1819000</v>
      </c>
      <c r="G50" s="642">
        <f t="shared" si="13"/>
        <v>0</v>
      </c>
      <c r="H50" s="642">
        <f t="shared" si="13"/>
        <v>0</v>
      </c>
      <c r="I50" s="436"/>
      <c r="J50" s="679"/>
    </row>
    <row r="51" spans="1:10" ht="21" customHeight="1">
      <c r="A51" s="386"/>
      <c r="B51" s="604" t="s">
        <v>655</v>
      </c>
      <c r="C51" s="642">
        <f t="shared" si="13"/>
        <v>105000</v>
      </c>
      <c r="D51" s="642">
        <f t="shared" si="13"/>
        <v>105000</v>
      </c>
      <c r="E51" s="642">
        <f t="shared" si="13"/>
        <v>14000</v>
      </c>
      <c r="F51" s="642">
        <f t="shared" si="13"/>
        <v>91000</v>
      </c>
      <c r="G51" s="642">
        <f t="shared" si="13"/>
        <v>0</v>
      </c>
      <c r="H51" s="642">
        <f t="shared" si="13"/>
        <v>0</v>
      </c>
      <c r="I51" s="436"/>
      <c r="J51" s="679"/>
    </row>
    <row r="52" spans="1:10" ht="48.75" customHeight="1">
      <c r="A52" s="444" t="s">
        <v>212</v>
      </c>
      <c r="B52" s="643" t="s">
        <v>618</v>
      </c>
      <c r="C52" s="642">
        <f t="shared" ref="C52:H52" si="14">+C53+C56</f>
        <v>62401000</v>
      </c>
      <c r="D52" s="642">
        <f t="shared" si="14"/>
        <v>62401000</v>
      </c>
      <c r="E52" s="642">
        <f t="shared" si="14"/>
        <v>2220100</v>
      </c>
      <c r="F52" s="642">
        <f t="shared" si="14"/>
        <v>42759450</v>
      </c>
      <c r="G52" s="642">
        <f t="shared" si="14"/>
        <v>17421450</v>
      </c>
      <c r="H52" s="642">
        <f t="shared" si="14"/>
        <v>0</v>
      </c>
      <c r="I52" s="436"/>
      <c r="J52" s="679"/>
    </row>
    <row r="53" spans="1:10" ht="21.6" customHeight="1">
      <c r="A53" s="386" t="s">
        <v>1</v>
      </c>
      <c r="B53" s="394" t="s">
        <v>232</v>
      </c>
      <c r="C53" s="381">
        <f t="shared" ref="C53:H53" si="15">SUM(C54:C55)</f>
        <v>62401000</v>
      </c>
      <c r="D53" s="381">
        <f t="shared" si="15"/>
        <v>62401000</v>
      </c>
      <c r="E53" s="381">
        <f t="shared" si="15"/>
        <v>2220100</v>
      </c>
      <c r="F53" s="381">
        <f t="shared" si="15"/>
        <v>42759450</v>
      </c>
      <c r="G53" s="381">
        <f t="shared" si="15"/>
        <v>17421450</v>
      </c>
      <c r="H53" s="381">
        <f t="shared" si="15"/>
        <v>0</v>
      </c>
      <c r="I53" s="436"/>
      <c r="J53" s="679"/>
    </row>
    <row r="54" spans="1:10" ht="18" customHeight="1">
      <c r="A54" s="386"/>
      <c r="B54" s="604" t="s">
        <v>848</v>
      </c>
      <c r="C54" s="381">
        <v>59373000</v>
      </c>
      <c r="D54" s="437">
        <f>SUM(E54:G54)</f>
        <v>59373000</v>
      </c>
      <c r="E54" s="437">
        <f>+'5.Chi tiet huyen '!G470</f>
        <v>2194000</v>
      </c>
      <c r="F54" s="437">
        <f>+'5.Chi tiet huyen '!G473</f>
        <v>40551890</v>
      </c>
      <c r="G54" s="437">
        <f>+'5.Chi tiet huyen '!G527</f>
        <v>16627110</v>
      </c>
      <c r="H54" s="381"/>
      <c r="I54" s="436"/>
      <c r="J54" s="679"/>
    </row>
    <row r="55" spans="1:10" ht="19.5" customHeight="1">
      <c r="A55" s="386"/>
      <c r="B55" s="604" t="s">
        <v>655</v>
      </c>
      <c r="C55" s="381">
        <v>3028000</v>
      </c>
      <c r="D55" s="437">
        <f>SUM(E55:G55)</f>
        <v>3028000</v>
      </c>
      <c r="E55" s="437">
        <f>+'5.Chi tiet huyen '!G471</f>
        <v>26100</v>
      </c>
      <c r="F55" s="437">
        <f>+'5.Chi tiet huyen '!G474</f>
        <v>2207560</v>
      </c>
      <c r="G55" s="437">
        <f>+'5.Chi tiet huyen '!G528</f>
        <v>794340</v>
      </c>
      <c r="H55" s="381"/>
      <c r="I55" s="436"/>
      <c r="J55" s="679"/>
    </row>
    <row r="56" spans="1:10" ht="20.100000000000001" hidden="1" customHeight="1">
      <c r="A56" s="386" t="s">
        <v>1</v>
      </c>
      <c r="B56" s="394" t="s">
        <v>462</v>
      </c>
      <c r="C56" s="381">
        <f t="shared" ref="C56:H56" si="16">SUM(C57:C58)</f>
        <v>0</v>
      </c>
      <c r="D56" s="381">
        <f t="shared" si="16"/>
        <v>0</v>
      </c>
      <c r="E56" s="381">
        <f t="shared" si="16"/>
        <v>0</v>
      </c>
      <c r="F56" s="381">
        <f t="shared" si="16"/>
        <v>0</v>
      </c>
      <c r="G56" s="381">
        <f t="shared" si="16"/>
        <v>0</v>
      </c>
      <c r="H56" s="381">
        <f t="shared" si="16"/>
        <v>0</v>
      </c>
      <c r="I56" s="436"/>
      <c r="J56" s="679"/>
    </row>
    <row r="57" spans="1:10" ht="21" hidden="1" customHeight="1">
      <c r="A57" s="386"/>
      <c r="B57" s="604" t="s">
        <v>848</v>
      </c>
      <c r="C57" s="381"/>
      <c r="D57" s="437">
        <f>SUM(E57:G57)</f>
        <v>0</v>
      </c>
      <c r="E57" s="437">
        <f>+'5.Chi tiet huyen '!G476-'5.Chi tiet huyen '!G518</f>
        <v>0</v>
      </c>
      <c r="F57" s="437">
        <f>+'5.Chi tiet huyen '!G518</f>
        <v>0</v>
      </c>
      <c r="G57" s="437">
        <f>+'5.Chi tiet huyen '!G530</f>
        <v>0</v>
      </c>
      <c r="H57" s="381"/>
      <c r="I57" s="436"/>
      <c r="J57" s="679"/>
    </row>
    <row r="58" spans="1:10" ht="19.5" hidden="1" customHeight="1">
      <c r="A58" s="386"/>
      <c r="B58" s="604" t="s">
        <v>655</v>
      </c>
      <c r="C58" s="381"/>
      <c r="D58" s="437">
        <f>SUM(E58:G58)</f>
        <v>0</v>
      </c>
      <c r="E58" s="437">
        <f>+'5.Chi tiet huyen '!G477-'5.Chi tiet huyen '!G519</f>
        <v>0</v>
      </c>
      <c r="F58" s="437">
        <f>+'5.Chi tiet huyen '!G519</f>
        <v>0</v>
      </c>
      <c r="G58" s="437"/>
      <c r="H58" s="381"/>
      <c r="I58" s="436"/>
      <c r="J58" s="679"/>
    </row>
    <row r="59" spans="1:10" ht="30.75" customHeight="1">
      <c r="A59" s="444" t="s">
        <v>213</v>
      </c>
      <c r="B59" s="603" t="s">
        <v>619</v>
      </c>
      <c r="C59" s="642">
        <f t="shared" ref="C59:H59" si="17">+C60+C61</f>
        <v>0</v>
      </c>
      <c r="D59" s="642">
        <f t="shared" si="17"/>
        <v>0</v>
      </c>
      <c r="E59" s="642">
        <f t="shared" si="17"/>
        <v>0</v>
      </c>
      <c r="F59" s="642">
        <f t="shared" si="17"/>
        <v>0</v>
      </c>
      <c r="G59" s="642">
        <f t="shared" si="17"/>
        <v>0</v>
      </c>
      <c r="H59" s="642">
        <f t="shared" si="17"/>
        <v>0</v>
      </c>
      <c r="I59" s="436"/>
      <c r="J59" s="679"/>
    </row>
    <row r="60" spans="1:10" ht="18.95" hidden="1" customHeight="1">
      <c r="A60" s="386" t="s">
        <v>1</v>
      </c>
      <c r="B60" s="394" t="s">
        <v>232</v>
      </c>
      <c r="C60" s="381">
        <v>0</v>
      </c>
      <c r="D60" s="437">
        <f>SUM(E60:F60)</f>
        <v>0</v>
      </c>
      <c r="E60" s="437"/>
      <c r="F60" s="437"/>
      <c r="G60" s="437"/>
      <c r="H60" s="381"/>
      <c r="I60" s="436"/>
      <c r="J60" s="679"/>
    </row>
    <row r="61" spans="1:10" ht="18.600000000000001" hidden="1" customHeight="1">
      <c r="A61" s="386" t="s">
        <v>1</v>
      </c>
      <c r="B61" s="394" t="s">
        <v>462</v>
      </c>
      <c r="C61" s="381">
        <f t="shared" ref="C61:H61" si="18">SUM(C62:C63)</f>
        <v>0</v>
      </c>
      <c r="D61" s="381">
        <f t="shared" si="18"/>
        <v>0</v>
      </c>
      <c r="E61" s="381">
        <f t="shared" si="18"/>
        <v>0</v>
      </c>
      <c r="F61" s="381">
        <f t="shared" si="18"/>
        <v>0</v>
      </c>
      <c r="G61" s="381">
        <f t="shared" si="18"/>
        <v>0</v>
      </c>
      <c r="H61" s="381">
        <f t="shared" si="18"/>
        <v>0</v>
      </c>
      <c r="I61" s="436"/>
      <c r="J61" s="679"/>
    </row>
    <row r="62" spans="1:10" ht="20.45" hidden="1" customHeight="1">
      <c r="A62" s="386"/>
      <c r="B62" s="604" t="s">
        <v>848</v>
      </c>
      <c r="C62" s="381"/>
      <c r="D62" s="437">
        <f>SUM(E62:G62)</f>
        <v>0</v>
      </c>
      <c r="E62" s="437">
        <f>+'5.Chi tiet huyen '!G448+'5.Chi tiet huyen '!G451+'5.Chi tiet huyen '!G454+'5.Chi tiet huyen '!G457+'5.Chi tiet huyen '!G460</f>
        <v>0</v>
      </c>
      <c r="F62" s="437">
        <f>+'5.Chi tiet huyen '!G463</f>
        <v>0</v>
      </c>
      <c r="G62" s="437"/>
      <c r="H62" s="381"/>
      <c r="I62" s="436"/>
      <c r="J62" s="679"/>
    </row>
    <row r="63" spans="1:10" hidden="1">
      <c r="A63" s="386"/>
      <c r="B63" s="604" t="s">
        <v>655</v>
      </c>
      <c r="C63" s="381"/>
      <c r="D63" s="437">
        <f>SUM(E63:G63)</f>
        <v>0</v>
      </c>
      <c r="E63" s="437">
        <f>+'5.Chi tiet huyen '!G449+'5.Chi tiet huyen '!G452+'5.Chi tiet huyen '!G455+'5.Chi tiet huyen '!G458+'5.Chi tiet huyen '!G461</f>
        <v>0</v>
      </c>
      <c r="F63" s="437">
        <f>+'5.Chi tiet huyen '!G464</f>
        <v>0</v>
      </c>
      <c r="G63" s="437"/>
      <c r="H63" s="381"/>
      <c r="I63" s="436"/>
      <c r="J63" s="679"/>
    </row>
    <row r="64" spans="1:10" ht="33" customHeight="1">
      <c r="A64" s="444" t="s">
        <v>214</v>
      </c>
      <c r="B64" s="603" t="s">
        <v>620</v>
      </c>
      <c r="C64" s="642">
        <f t="shared" ref="C64:H64" si="19">+C65+C68</f>
        <v>3209000</v>
      </c>
      <c r="D64" s="642">
        <f t="shared" si="19"/>
        <v>3209000</v>
      </c>
      <c r="E64" s="642">
        <f t="shared" si="19"/>
        <v>327000</v>
      </c>
      <c r="F64" s="642">
        <f t="shared" si="19"/>
        <v>2606440</v>
      </c>
      <c r="G64" s="642">
        <f t="shared" si="19"/>
        <v>275560</v>
      </c>
      <c r="H64" s="642">
        <f t="shared" si="19"/>
        <v>0</v>
      </c>
      <c r="I64" s="436"/>
      <c r="J64" s="679"/>
    </row>
    <row r="65" spans="1:10" ht="20.100000000000001" customHeight="1">
      <c r="A65" s="386" t="s">
        <v>1</v>
      </c>
      <c r="B65" s="394" t="s">
        <v>232</v>
      </c>
      <c r="C65" s="381">
        <f t="shared" ref="C65:H65" si="20">SUM(C66:C67)</f>
        <v>999000</v>
      </c>
      <c r="D65" s="381">
        <f t="shared" si="20"/>
        <v>999000</v>
      </c>
      <c r="E65" s="381">
        <f t="shared" si="20"/>
        <v>27000</v>
      </c>
      <c r="F65" s="381">
        <f t="shared" si="20"/>
        <v>696440</v>
      </c>
      <c r="G65" s="381">
        <f t="shared" si="20"/>
        <v>275560</v>
      </c>
      <c r="H65" s="381">
        <f t="shared" si="20"/>
        <v>0</v>
      </c>
      <c r="I65" s="436"/>
      <c r="J65" s="679"/>
    </row>
    <row r="66" spans="1:10" ht="20.100000000000001" customHeight="1">
      <c r="A66" s="386"/>
      <c r="B66" s="604" t="s">
        <v>848</v>
      </c>
      <c r="C66" s="437">
        <v>941000</v>
      </c>
      <c r="D66" s="437">
        <f>SUM(E66:G66)</f>
        <v>941000</v>
      </c>
      <c r="E66" s="437">
        <f>+'5.Chi tiet huyen '!G429</f>
        <v>27000</v>
      </c>
      <c r="F66" s="437">
        <f>+'5.Chi tiet huyen '!G426</f>
        <v>656050</v>
      </c>
      <c r="G66" s="437">
        <f>+'5.Chi tiet huyen '!G523</f>
        <v>257950</v>
      </c>
      <c r="H66" s="381"/>
      <c r="I66" s="436"/>
      <c r="J66" s="679"/>
    </row>
    <row r="67" spans="1:10" ht="20.100000000000001" customHeight="1">
      <c r="A67" s="386"/>
      <c r="B67" s="604" t="s">
        <v>655</v>
      </c>
      <c r="C67" s="437">
        <v>58000</v>
      </c>
      <c r="D67" s="437">
        <f>SUM(E67:G67)</f>
        <v>58000</v>
      </c>
      <c r="E67" s="437"/>
      <c r="F67" s="437">
        <f>+'5.Chi tiet huyen '!G427</f>
        <v>40390</v>
      </c>
      <c r="G67" s="437">
        <f>+'5.Chi tiet huyen '!G524</f>
        <v>17610</v>
      </c>
      <c r="H67" s="381"/>
      <c r="I67" s="436"/>
      <c r="J67" s="679"/>
    </row>
    <row r="68" spans="1:10" ht="20.100000000000001" customHeight="1">
      <c r="A68" s="386" t="s">
        <v>1</v>
      </c>
      <c r="B68" s="394" t="s">
        <v>462</v>
      </c>
      <c r="C68" s="381">
        <f t="shared" ref="C68:H68" si="21">SUM(C69:C70)</f>
        <v>2210000</v>
      </c>
      <c r="D68" s="381">
        <f t="shared" si="21"/>
        <v>2210000</v>
      </c>
      <c r="E68" s="381">
        <f t="shared" si="21"/>
        <v>300000</v>
      </c>
      <c r="F68" s="381">
        <f t="shared" si="21"/>
        <v>1910000</v>
      </c>
      <c r="G68" s="381">
        <f t="shared" si="21"/>
        <v>0</v>
      </c>
      <c r="H68" s="381">
        <f t="shared" si="21"/>
        <v>0</v>
      </c>
      <c r="I68" s="436"/>
      <c r="J68" s="679"/>
    </row>
    <row r="69" spans="1:10" ht="20.100000000000001" customHeight="1">
      <c r="A69" s="386"/>
      <c r="B69" s="604" t="s">
        <v>848</v>
      </c>
      <c r="C69" s="381">
        <v>2105000</v>
      </c>
      <c r="D69" s="437">
        <f>SUM(E69:G69)</f>
        <v>2105000</v>
      </c>
      <c r="E69" s="437">
        <f>+'5.Chi tiet huyen '!G435+'5.Chi tiet huyen '!G438</f>
        <v>286000</v>
      </c>
      <c r="F69" s="437">
        <f>+'5.Chi tiet huyen '!G441</f>
        <v>1819000</v>
      </c>
      <c r="G69" s="437"/>
      <c r="H69" s="381"/>
      <c r="I69" s="436"/>
      <c r="J69" s="679"/>
    </row>
    <row r="70" spans="1:10" ht="21.6" customHeight="1">
      <c r="A70" s="386"/>
      <c r="B70" s="604" t="s">
        <v>655</v>
      </c>
      <c r="C70" s="381">
        <v>105000</v>
      </c>
      <c r="D70" s="437">
        <f>SUM(E70:G70)</f>
        <v>105000</v>
      </c>
      <c r="E70" s="437">
        <f>+'5.Chi tiet huyen '!G436+'5.Chi tiet huyen '!G439</f>
        <v>14000</v>
      </c>
      <c r="F70" s="437">
        <f>+'5.Chi tiet huyen '!G442</f>
        <v>91000</v>
      </c>
      <c r="G70" s="437"/>
      <c r="H70" s="381"/>
      <c r="I70" s="436"/>
      <c r="J70" s="679"/>
    </row>
    <row r="71" spans="1:10" ht="42.75" customHeight="1">
      <c r="A71" s="419">
        <v>3</v>
      </c>
      <c r="B71" s="418" t="s">
        <v>621</v>
      </c>
      <c r="C71" s="435">
        <f t="shared" ref="C71:H71" si="22">SUM(C72:C73)</f>
        <v>5800000</v>
      </c>
      <c r="D71" s="435">
        <f t="shared" si="22"/>
        <v>5800000</v>
      </c>
      <c r="E71" s="435">
        <f t="shared" si="22"/>
        <v>4762614</v>
      </c>
      <c r="F71" s="435">
        <f t="shared" si="22"/>
        <v>200000</v>
      </c>
      <c r="G71" s="435">
        <f t="shared" si="22"/>
        <v>837386</v>
      </c>
      <c r="H71" s="435">
        <f t="shared" si="22"/>
        <v>0</v>
      </c>
      <c r="I71" s="436"/>
      <c r="J71" s="679"/>
    </row>
    <row r="72" spans="1:10" ht="34.35" customHeight="1">
      <c r="A72" s="386" t="s">
        <v>72</v>
      </c>
      <c r="B72" s="394" t="s">
        <v>623</v>
      </c>
      <c r="C72" s="381">
        <v>200000</v>
      </c>
      <c r="D72" s="437">
        <f>SUM(E72:G72)</f>
        <v>200000</v>
      </c>
      <c r="E72" s="437"/>
      <c r="F72" s="437">
        <f>+'5.Chi tiet huyen '!G533</f>
        <v>200000</v>
      </c>
      <c r="G72" s="437">
        <v>0</v>
      </c>
      <c r="H72" s="381"/>
      <c r="I72" s="436"/>
      <c r="J72" s="679"/>
    </row>
    <row r="73" spans="1:10" ht="53.25" customHeight="1">
      <c r="A73" s="930" t="s">
        <v>72</v>
      </c>
      <c r="B73" s="931" t="s">
        <v>624</v>
      </c>
      <c r="C73" s="932">
        <v>5600000</v>
      </c>
      <c r="D73" s="933">
        <f>SUM(E73:G73)</f>
        <v>5600000</v>
      </c>
      <c r="E73" s="933">
        <f>+'5.Chi tiet huyen '!G536</f>
        <v>4762614</v>
      </c>
      <c r="F73" s="933"/>
      <c r="G73" s="933">
        <f>+'5.Chi tiet huyen '!G537</f>
        <v>837386</v>
      </c>
      <c r="H73" s="932"/>
      <c r="I73" s="934"/>
      <c r="J73" s="679"/>
    </row>
    <row r="74" spans="1:10" ht="33.75" customHeight="1">
      <c r="A74" s="290" t="s">
        <v>179</v>
      </c>
      <c r="B74" s="638" t="s">
        <v>626</v>
      </c>
      <c r="C74" s="383">
        <f>SUM(C75:C76)</f>
        <v>6501000</v>
      </c>
      <c r="D74" s="383">
        <f>SUM(D75:D76)</f>
        <v>6501000</v>
      </c>
      <c r="E74" s="383">
        <f>SUM(E75:E76)</f>
        <v>5716700</v>
      </c>
      <c r="F74" s="383">
        <f>SUM(F75:F76)</f>
        <v>784300</v>
      </c>
      <c r="G74" s="383"/>
      <c r="H74" s="383">
        <f>SUM(H75:H76)</f>
        <v>0</v>
      </c>
      <c r="I74" s="940"/>
      <c r="J74" s="679"/>
    </row>
    <row r="75" spans="1:10" ht="57" customHeight="1">
      <c r="A75" s="935">
        <v>1</v>
      </c>
      <c r="B75" s="936" t="s">
        <v>1289</v>
      </c>
      <c r="C75" s="937">
        <v>2083000</v>
      </c>
      <c r="D75" s="938">
        <f>SUM(E75:F75)</f>
        <v>2083000</v>
      </c>
      <c r="E75" s="938">
        <f>+C75</f>
        <v>2083000</v>
      </c>
      <c r="F75" s="938"/>
      <c r="G75" s="938"/>
      <c r="H75" s="937"/>
      <c r="I75" s="939"/>
      <c r="J75" s="679"/>
    </row>
    <row r="76" spans="1:10" ht="36" customHeight="1">
      <c r="A76" s="616">
        <v>2</v>
      </c>
      <c r="B76" s="644" t="s">
        <v>627</v>
      </c>
      <c r="C76" s="645">
        <v>4418000</v>
      </c>
      <c r="D76" s="646">
        <f>SUM(E76:F76)</f>
        <v>4418000</v>
      </c>
      <c r="E76" s="646">
        <f>+C76-F76</f>
        <v>3633700</v>
      </c>
      <c r="F76" s="646">
        <f>+'7. TH chi xa 25'!C25</f>
        <v>784300</v>
      </c>
      <c r="G76" s="646"/>
      <c r="H76" s="645"/>
      <c r="I76" s="647"/>
      <c r="J76" s="679"/>
    </row>
  </sheetData>
  <mergeCells count="9">
    <mergeCell ref="A3:I3"/>
    <mergeCell ref="A2:I2"/>
    <mergeCell ref="F4:I4"/>
    <mergeCell ref="H1:I1"/>
    <mergeCell ref="H5:I5"/>
    <mergeCell ref="A5:A6"/>
    <mergeCell ref="B5:B6"/>
    <mergeCell ref="C5:C6"/>
    <mergeCell ref="D5:G5"/>
  </mergeCells>
  <phoneticPr fontId="16" type="noConversion"/>
  <pageMargins left="0.31496062992125984" right="0.27559055118110237" top="0.51181102362204722" bottom="0.31496062992125984" header="0.74803149606299213" footer="0.19685039370078741"/>
  <pageSetup paperSize="9" scale="90" firstPageNumber="7" orientation="landscape"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O75"/>
  <sheetViews>
    <sheetView workbookViewId="0">
      <selection activeCell="A2" sqref="A2:D2"/>
    </sheetView>
  </sheetViews>
  <sheetFormatPr defaultColWidth="9" defaultRowHeight="18.75"/>
  <cols>
    <col min="1" max="1" width="6.75" style="835" customWidth="1"/>
    <col min="2" max="2" width="69.5" style="836" customWidth="1"/>
    <col min="3" max="3" width="14.5" style="837" customWidth="1"/>
    <col min="4" max="4" width="7.875" style="836" customWidth="1"/>
    <col min="5" max="5" width="13" style="912" hidden="1" customWidth="1"/>
    <col min="6" max="6" width="12.875" style="912" hidden="1" customWidth="1"/>
    <col min="7" max="7" width="12.75" style="912" hidden="1" customWidth="1"/>
    <col min="8" max="8" width="12.5" style="912" hidden="1" customWidth="1"/>
    <col min="9" max="9" width="17.25" style="912" hidden="1" customWidth="1"/>
    <col min="10" max="11" width="15" style="836" hidden="1" customWidth="1"/>
    <col min="12" max="12" width="14.125" style="836" hidden="1" customWidth="1"/>
    <col min="13" max="13" width="12.625" style="836" hidden="1" customWidth="1"/>
    <col min="14" max="15" width="10.125" style="836" hidden="1" customWidth="1"/>
    <col min="16" max="28" width="0" style="836" hidden="1" customWidth="1"/>
    <col min="29" max="16384" width="9" style="836"/>
  </cols>
  <sheetData>
    <row r="1" spans="1:13" ht="18" customHeight="1">
      <c r="D1" s="834" t="s">
        <v>264</v>
      </c>
      <c r="E1" s="838"/>
      <c r="F1" s="838"/>
      <c r="G1" s="838"/>
      <c r="H1" s="838"/>
      <c r="I1" s="838"/>
      <c r="J1" s="834"/>
      <c r="K1" s="834"/>
    </row>
    <row r="2" spans="1:13" s="841" customFormat="1" ht="24.75" customHeight="1">
      <c r="A2" s="1189" t="s">
        <v>1561</v>
      </c>
      <c r="B2" s="1190"/>
      <c r="C2" s="1190"/>
      <c r="D2" s="1190"/>
      <c r="E2" s="839"/>
      <c r="F2" s="839"/>
      <c r="G2" s="839"/>
      <c r="H2" s="839"/>
      <c r="I2" s="839"/>
      <c r="J2" s="840"/>
      <c r="K2" s="840"/>
    </row>
    <row r="3" spans="1:13" s="2" customFormat="1" ht="21" customHeight="1">
      <c r="A3" s="1191" t="str">
        <f>'3.TH-HX'!A3:I3</f>
        <v xml:space="preserve">(Kèm theo Nghị quyết  số      /NQ-HĐND ngày       /12/2024 của Hội đồng nhân dân huyện Na Rì) </v>
      </c>
      <c r="B3" s="1191"/>
      <c r="C3" s="1191"/>
      <c r="D3" s="1191"/>
      <c r="E3" s="842"/>
      <c r="F3" s="842"/>
      <c r="G3" s="842"/>
      <c r="H3" s="842"/>
      <c r="I3" s="842"/>
      <c r="J3" s="843"/>
      <c r="K3" s="843"/>
    </row>
    <row r="4" spans="1:13" s="847" customFormat="1" ht="23.25" customHeight="1">
      <c r="A4" s="844"/>
      <c r="B4" s="1192" t="s">
        <v>284</v>
      </c>
      <c r="C4" s="1170"/>
      <c r="D4" s="1170"/>
      <c r="E4" s="845"/>
      <c r="F4" s="845"/>
      <c r="G4" s="845"/>
      <c r="H4" s="845"/>
      <c r="I4" s="845"/>
      <c r="J4" s="846"/>
      <c r="K4" s="846"/>
    </row>
    <row r="5" spans="1:13" s="841" customFormat="1" ht="34.5" customHeight="1">
      <c r="A5" s="975" t="s">
        <v>71</v>
      </c>
      <c r="B5" s="976" t="s">
        <v>167</v>
      </c>
      <c r="C5" s="977" t="s">
        <v>114</v>
      </c>
      <c r="D5" s="976" t="s">
        <v>115</v>
      </c>
      <c r="E5" s="848"/>
      <c r="F5" s="848"/>
      <c r="G5" s="848"/>
      <c r="H5" s="848"/>
      <c r="I5" s="848">
        <f>+I7-H7</f>
        <v>6639143.4750078917</v>
      </c>
      <c r="J5" s="849"/>
      <c r="K5" s="849"/>
    </row>
    <row r="6" spans="1:13" s="841" customFormat="1" ht="18.95" customHeight="1">
      <c r="A6" s="850" t="s">
        <v>36</v>
      </c>
      <c r="B6" s="851" t="s">
        <v>37</v>
      </c>
      <c r="C6" s="852">
        <v>1</v>
      </c>
      <c r="D6" s="851">
        <v>2</v>
      </c>
      <c r="E6" s="853"/>
      <c r="F6" s="853"/>
      <c r="G6" s="853"/>
      <c r="H6" s="853"/>
      <c r="I6" s="853"/>
      <c r="J6" s="854"/>
      <c r="K6" s="854"/>
    </row>
    <row r="7" spans="1:13" s="2" customFormat="1" ht="23.45" customHeight="1">
      <c r="A7" s="855"/>
      <c r="B7" s="856" t="s">
        <v>116</v>
      </c>
      <c r="C7" s="857">
        <f>+C8+C32</f>
        <v>664800000</v>
      </c>
      <c r="D7" s="857">
        <f>+D8+D32</f>
        <v>0</v>
      </c>
      <c r="E7" s="857">
        <f>+E8+E32</f>
        <v>445932567.46292001</v>
      </c>
      <c r="F7" s="857">
        <f>+F8+F32</f>
        <v>166927339.472</v>
      </c>
      <c r="G7" s="857">
        <f>+G8+G32</f>
        <v>45300949.590072006</v>
      </c>
      <c r="H7" s="857">
        <f>SUM(E7:G7)</f>
        <v>658160856.52499211</v>
      </c>
      <c r="I7" s="858">
        <f>+I8+I32</f>
        <v>664800000</v>
      </c>
      <c r="J7" s="858">
        <f>+J8+J32</f>
        <v>-57136999.875008002</v>
      </c>
      <c r="K7" s="859">
        <f>+'5.Chi tiet huyen '!G9</f>
        <v>664800000</v>
      </c>
      <c r="L7" s="28">
        <f>+K7-C7</f>
        <v>0</v>
      </c>
    </row>
    <row r="8" spans="1:13" s="2" customFormat="1" ht="23.45" customHeight="1">
      <c r="A8" s="22" t="s">
        <v>36</v>
      </c>
      <c r="B8" s="860" t="s">
        <v>122</v>
      </c>
      <c r="C8" s="20">
        <f>++C9+C12+C28+C29</f>
        <v>565493000</v>
      </c>
      <c r="D8" s="20">
        <f>++D9+D12+D28+D29</f>
        <v>0</v>
      </c>
      <c r="E8" s="20">
        <f>++E9+E12+E28+E29</f>
        <v>413402603.46292001</v>
      </c>
      <c r="F8" s="20">
        <f>++F9+F12+F28+F29</f>
        <v>118684699.47199999</v>
      </c>
      <c r="G8" s="20">
        <f>++G9+G12+G28+G29</f>
        <v>26766553.590072002</v>
      </c>
      <c r="H8" s="20">
        <f t="shared" ref="H8:H72" si="0">SUM(E8:G8)</f>
        <v>558853856.52499199</v>
      </c>
      <c r="I8" s="861">
        <f>++I9+I12+I28+I29</f>
        <v>593390000</v>
      </c>
      <c r="J8" s="861">
        <f>++J9+J12+J28+J29</f>
        <v>-29239999.875007998</v>
      </c>
      <c r="K8" s="859"/>
      <c r="L8" s="28"/>
    </row>
    <row r="9" spans="1:13" s="6" customFormat="1" ht="23.45" customHeight="1">
      <c r="A9" s="862" t="s">
        <v>39</v>
      </c>
      <c r="B9" s="863" t="s">
        <v>51</v>
      </c>
      <c r="C9" s="20">
        <f>+C10+C11</f>
        <v>21191000</v>
      </c>
      <c r="D9" s="20">
        <f>+D10+D11</f>
        <v>0</v>
      </c>
      <c r="E9" s="20">
        <f>+E10+E11</f>
        <v>19831834.285</v>
      </c>
      <c r="F9" s="20">
        <f>+F10+F11</f>
        <v>0</v>
      </c>
      <c r="G9" s="20">
        <f>+G10+G11</f>
        <v>1359165.7150000001</v>
      </c>
      <c r="H9" s="20">
        <f t="shared" si="0"/>
        <v>21191000</v>
      </c>
      <c r="I9" s="864">
        <f>+'5.Chi tiet huyen '!G10</f>
        <v>21191000</v>
      </c>
      <c r="J9" s="859"/>
      <c r="K9" s="859">
        <f>+C9-I9</f>
        <v>0</v>
      </c>
    </row>
    <row r="10" spans="1:13" s="2" customFormat="1" ht="23.45" customHeight="1">
      <c r="A10" s="865">
        <v>1</v>
      </c>
      <c r="B10" s="866" t="s">
        <v>159</v>
      </c>
      <c r="C10" s="145">
        <f>+'5.Chi tiet huyen '!F11</f>
        <v>15334000</v>
      </c>
      <c r="D10" s="867"/>
      <c r="E10" s="13">
        <f>+C10</f>
        <v>15334000</v>
      </c>
      <c r="F10" s="13"/>
      <c r="G10" s="13"/>
      <c r="H10" s="20">
        <f t="shared" si="0"/>
        <v>15334000</v>
      </c>
      <c r="I10" s="868"/>
      <c r="J10" s="869"/>
      <c r="K10" s="869"/>
    </row>
    <row r="11" spans="1:13" s="2" customFormat="1" ht="23.45" customHeight="1">
      <c r="A11" s="865">
        <v>2</v>
      </c>
      <c r="B11" s="866" t="s">
        <v>160</v>
      </c>
      <c r="C11" s="145">
        <f>+'5.Chi tiet huyen '!F12</f>
        <v>5857000</v>
      </c>
      <c r="D11" s="867"/>
      <c r="E11" s="13">
        <f>+'3.TH-HX'!E12</f>
        <v>4497834.2850000001</v>
      </c>
      <c r="F11" s="13"/>
      <c r="G11" s="13">
        <f>+'3.TH-HX'!G12</f>
        <v>1359165.7150000001</v>
      </c>
      <c r="H11" s="20">
        <f t="shared" si="0"/>
        <v>5857000</v>
      </c>
      <c r="I11" s="868"/>
      <c r="J11" s="869"/>
      <c r="K11" s="869"/>
    </row>
    <row r="12" spans="1:13" s="6" customFormat="1" ht="27" customHeight="1">
      <c r="A12" s="862" t="s">
        <v>41</v>
      </c>
      <c r="B12" s="863" t="s">
        <v>52</v>
      </c>
      <c r="C12" s="20">
        <f>C13+C14+C15+C16+C19+C20+C21+C22+C23+C24+C25+C26+C27</f>
        <v>520062112.124928</v>
      </c>
      <c r="D12" s="20">
        <f>D13+D14+D15+D16+D19+D20+D21+D22+D23+D24+D25+D26</f>
        <v>0</v>
      </c>
      <c r="E12" s="20">
        <f>E13+E14+E15+E16+E19+E20+E21+E22+E23+E24+E25+E26</f>
        <v>393570769.17791998</v>
      </c>
      <c r="F12" s="20">
        <f>F13+F14+F15+F16+F19+F20+F21+F22+F23+F24+F25+F26</f>
        <v>116394599.47199999</v>
      </c>
      <c r="G12" s="20">
        <f>G13+G14+G15+G16+G19+G20+G21+G22+G23+G24+G25+G26</f>
        <v>1167500</v>
      </c>
      <c r="H12" s="20">
        <f>SUM(E12:G12)</f>
        <v>511132868.64991999</v>
      </c>
      <c r="I12" s="20">
        <f>I13+I14+I15+I16+I19+I20+I21+I22+I23+I24+I25+I26</f>
        <v>547258512.24992001</v>
      </c>
      <c r="J12" s="20">
        <f>J13+J14+J15+J16+J19+J20+J21+J22+J23+J24+J25+J26</f>
        <v>-28539400</v>
      </c>
      <c r="K12" s="859"/>
      <c r="L12" s="870"/>
    </row>
    <row r="13" spans="1:13" s="2" customFormat="1" ht="21.95" customHeight="1">
      <c r="A13" s="865">
        <v>1</v>
      </c>
      <c r="B13" s="866" t="s">
        <v>34</v>
      </c>
      <c r="C13" s="871">
        <f>'5.Chi tiet huyen '!K14-'5.Chi tiet huyen '!K28</f>
        <v>15653900</v>
      </c>
      <c r="D13" s="867"/>
      <c r="E13" s="13">
        <f>+'5.Chi tiet huyen '!G14-'4.THDT chi 24'!E41</f>
        <v>15899300</v>
      </c>
      <c r="F13" s="13">
        <f>+'7. TH chi xa 25'!C18+'7. TH chi xa 25'!C53</f>
        <v>2389700</v>
      </c>
      <c r="G13" s="13"/>
      <c r="H13" s="20">
        <f t="shared" si="0"/>
        <v>18289000</v>
      </c>
      <c r="I13" s="868">
        <f>+'5.Chi tiet huyen '!G14</f>
        <v>16524300</v>
      </c>
      <c r="J13" s="868">
        <f t="shared" ref="J13:J31" si="1">+C13-I13</f>
        <v>-870400</v>
      </c>
      <c r="K13" s="859">
        <f>+C43+C44</f>
        <v>625000</v>
      </c>
      <c r="L13" s="28">
        <f>+C13+C30</f>
        <v>19953900</v>
      </c>
    </row>
    <row r="14" spans="1:13" s="2" customFormat="1" ht="21.95" customHeight="1">
      <c r="A14" s="865">
        <v>2</v>
      </c>
      <c r="B14" s="866" t="s">
        <v>131</v>
      </c>
      <c r="C14" s="145">
        <f>'5.Chi tiet huyen '!K56</f>
        <v>3018300</v>
      </c>
      <c r="D14" s="867"/>
      <c r="E14" s="13">
        <f>+C14</f>
        <v>3018300</v>
      </c>
      <c r="F14" s="13">
        <f>+'7. TH chi xa 25'!C19</f>
        <v>270000</v>
      </c>
      <c r="G14" s="13"/>
      <c r="H14" s="20">
        <f t="shared" si="0"/>
        <v>3288300</v>
      </c>
      <c r="I14" s="868">
        <f>+'5.Chi tiet huyen '!G56</f>
        <v>3018300</v>
      </c>
      <c r="J14" s="868">
        <f t="shared" si="1"/>
        <v>0</v>
      </c>
      <c r="K14" s="869"/>
      <c r="L14" s="2">
        <f>+'6.Vốn đtư,SNKT25'!H28</f>
        <v>0</v>
      </c>
    </row>
    <row r="15" spans="1:13" s="2" customFormat="1" ht="21.95" customHeight="1">
      <c r="A15" s="865">
        <v>3</v>
      </c>
      <c r="B15" s="866" t="s">
        <v>45</v>
      </c>
      <c r="C15" s="871">
        <f>'5.Chi tiet huyen '!K59-E38</f>
        <v>42901794.173759997</v>
      </c>
      <c r="D15" s="867"/>
      <c r="E15" s="13">
        <f>+C15</f>
        <v>42901794.173759997</v>
      </c>
      <c r="F15" s="13"/>
      <c r="G15" s="13"/>
      <c r="H15" s="20">
        <f t="shared" si="0"/>
        <v>42901794.173759997</v>
      </c>
      <c r="I15" s="868">
        <f>+'5.Chi tiet huyen '!G59</f>
        <v>47187144.173759997</v>
      </c>
      <c r="J15" s="868">
        <f t="shared" si="1"/>
        <v>-4285350</v>
      </c>
      <c r="K15" s="868">
        <f>+C38</f>
        <v>5150000</v>
      </c>
      <c r="L15" s="28">
        <f>+L14-L13</f>
        <v>-19953900</v>
      </c>
      <c r="M15" s="28">
        <f>+'7. TH chi xa 25'!C20+'7. TH chi xa 25'!C46+'7. TH chi xa 25'!C47-'3.TH-HX'!F42</f>
        <v>99888148.671999991</v>
      </c>
    </row>
    <row r="16" spans="1:13" s="2" customFormat="1" ht="21.95" customHeight="1">
      <c r="A16" s="865">
        <v>4</v>
      </c>
      <c r="B16" s="866" t="s">
        <v>513</v>
      </c>
      <c r="C16" s="145">
        <f>C17+C18</f>
        <v>302018999.80000001</v>
      </c>
      <c r="D16" s="145">
        <f>D17+D18</f>
        <v>0</v>
      </c>
      <c r="E16" s="13">
        <f>+C16</f>
        <v>302018999.80000001</v>
      </c>
      <c r="F16" s="13">
        <f>+M15</f>
        <v>99888148.671999991</v>
      </c>
      <c r="G16" s="13"/>
      <c r="H16" s="20">
        <f t="shared" si="0"/>
        <v>401907148.472</v>
      </c>
      <c r="I16" s="13">
        <f>I17+I18</f>
        <v>311216999.80000001</v>
      </c>
      <c r="J16" s="868">
        <f t="shared" si="1"/>
        <v>-9198000</v>
      </c>
      <c r="K16" s="872"/>
      <c r="L16" s="28">
        <f>+C16+C34</f>
        <v>311216999.80000001</v>
      </c>
    </row>
    <row r="17" spans="1:13" s="3" customFormat="1" ht="21.95" customHeight="1">
      <c r="A17" s="873" t="s">
        <v>137</v>
      </c>
      <c r="B17" s="874" t="s">
        <v>514</v>
      </c>
      <c r="C17" s="875">
        <f>+'5.Chi tiet huyen '!G272-'5.Chi tiet huyen '!G304-'5.Chi tiet huyen '!G305-'5.Chi tiet huyen '!G306</f>
        <v>298677763.29640001</v>
      </c>
      <c r="D17" s="876"/>
      <c r="E17" s="877"/>
      <c r="F17" s="877"/>
      <c r="G17" s="877"/>
      <c r="H17" s="20">
        <f t="shared" si="0"/>
        <v>0</v>
      </c>
      <c r="I17" s="878">
        <f>+'5.Chi tiet huyen '!G272</f>
        <v>307875763.29640001</v>
      </c>
      <c r="J17" s="868">
        <f t="shared" si="1"/>
        <v>-9198000</v>
      </c>
      <c r="K17" s="879"/>
      <c r="L17" s="3" t="s">
        <v>215</v>
      </c>
    </row>
    <row r="18" spans="1:13" s="3" customFormat="1" ht="21.95" customHeight="1">
      <c r="A18" s="873" t="s">
        <v>138</v>
      </c>
      <c r="B18" s="874" t="s">
        <v>515</v>
      </c>
      <c r="C18" s="875">
        <f>+'5.Chi tiet huyen '!G312</f>
        <v>3341236.5036000004</v>
      </c>
      <c r="D18" s="876"/>
      <c r="E18" s="877"/>
      <c r="F18" s="877"/>
      <c r="G18" s="877"/>
      <c r="H18" s="20">
        <f t="shared" si="0"/>
        <v>0</v>
      </c>
      <c r="I18" s="878">
        <f>+'5.Chi tiet huyen '!G312</f>
        <v>3341236.5036000004</v>
      </c>
      <c r="J18" s="868">
        <f t="shared" si="1"/>
        <v>0</v>
      </c>
      <c r="K18" s="879"/>
    </row>
    <row r="19" spans="1:13" s="2" customFormat="1" ht="21.95" customHeight="1">
      <c r="A19" s="865">
        <v>5</v>
      </c>
      <c r="B19" s="880" t="s">
        <v>516</v>
      </c>
      <c r="C19" s="145">
        <f>'5.Chi tiet huyen '!K343</f>
        <v>2022029.04</v>
      </c>
      <c r="D19" s="867"/>
      <c r="E19" s="13">
        <f>+C19</f>
        <v>2022029.04</v>
      </c>
      <c r="F19" s="13">
        <f>+'7. TH chi xa 25'!C50+'7. TH chi xa 25'!C49+'7. TH chi xa 25'!C34</f>
        <v>650000</v>
      </c>
      <c r="G19" s="13"/>
      <c r="H19" s="20">
        <f t="shared" si="0"/>
        <v>2672029.04</v>
      </c>
      <c r="I19" s="868">
        <f>+'5.Chi tiet huyen '!G343</f>
        <v>2106929.04</v>
      </c>
      <c r="J19" s="868">
        <f t="shared" si="1"/>
        <v>-84900</v>
      </c>
      <c r="K19" s="869"/>
    </row>
    <row r="20" spans="1:13" s="2" customFormat="1" ht="21.95" customHeight="1">
      <c r="A20" s="865">
        <v>6</v>
      </c>
      <c r="B20" s="880" t="s">
        <v>326</v>
      </c>
      <c r="C20" s="145">
        <f>'5.Chi tiet huyen '!K365</f>
        <v>1527000</v>
      </c>
      <c r="D20" s="867"/>
      <c r="E20" s="13">
        <f>+C20-F20</f>
        <v>1527000</v>
      </c>
      <c r="F20" s="13"/>
      <c r="G20" s="13"/>
      <c r="H20" s="20">
        <f t="shared" si="0"/>
        <v>1527000</v>
      </c>
      <c r="I20" s="868">
        <f>+'5.Chi tiet huyen '!G365</f>
        <v>1527000</v>
      </c>
      <c r="J20" s="868">
        <f t="shared" si="1"/>
        <v>0</v>
      </c>
      <c r="K20" s="869"/>
    </row>
    <row r="21" spans="1:13" s="2" customFormat="1" ht="21.95" customHeight="1">
      <c r="A21" s="865">
        <v>7</v>
      </c>
      <c r="B21" s="866" t="s">
        <v>512</v>
      </c>
      <c r="C21" s="145">
        <f>'5.Chi tiet huyen '!K355</f>
        <v>1388789.76416</v>
      </c>
      <c r="D21" s="867"/>
      <c r="E21" s="13">
        <f>+C21</f>
        <v>1388789.76416</v>
      </c>
      <c r="F21" s="13">
        <v>264000</v>
      </c>
      <c r="G21" s="13"/>
      <c r="H21" s="20">
        <f t="shared" si="0"/>
        <v>1652789.76416</v>
      </c>
      <c r="I21" s="868">
        <f>+'5.Chi tiet huyen '!G355</f>
        <v>1388789.76416</v>
      </c>
      <c r="J21" s="868">
        <f t="shared" si="1"/>
        <v>0</v>
      </c>
      <c r="K21" s="869"/>
    </row>
    <row r="22" spans="1:13" s="2" customFormat="1" ht="21.95" customHeight="1">
      <c r="A22" s="865">
        <v>8</v>
      </c>
      <c r="B22" s="866" t="s">
        <v>46</v>
      </c>
      <c r="C22" s="145">
        <f>'5.Chi tiet huyen '!K368-C45</f>
        <v>22831400</v>
      </c>
      <c r="D22" s="867"/>
      <c r="E22" s="13">
        <f>+C22-F22</f>
        <v>20285856.399999999</v>
      </c>
      <c r="F22" s="13">
        <f>+'7. TH chi xa 25'!C36</f>
        <v>2545543.6</v>
      </c>
      <c r="G22" s="13"/>
      <c r="H22" s="20">
        <f t="shared" si="0"/>
        <v>22831400</v>
      </c>
      <c r="I22" s="868">
        <f>+'5.Chi tiet huyen '!G368</f>
        <v>34255400</v>
      </c>
      <c r="J22" s="868">
        <f t="shared" si="1"/>
        <v>-11424000</v>
      </c>
      <c r="K22" s="869"/>
    </row>
    <row r="23" spans="1:13" s="2" customFormat="1" ht="21.95" customHeight="1">
      <c r="A23" s="865">
        <v>9</v>
      </c>
      <c r="B23" s="866" t="s">
        <v>35</v>
      </c>
      <c r="C23" s="145">
        <f>'5.Chi tiet huyen '!K374</f>
        <v>1260500</v>
      </c>
      <c r="D23" s="867"/>
      <c r="E23" s="13">
        <f>+C23</f>
        <v>1260500</v>
      </c>
      <c r="F23" s="13">
        <f>+'7. TH chi xa 25'!C39</f>
        <v>3027200</v>
      </c>
      <c r="G23" s="13"/>
      <c r="H23" s="20">
        <f t="shared" si="0"/>
        <v>4287700</v>
      </c>
      <c r="I23" s="868">
        <f>+'5.Chi tiet huyen '!G374</f>
        <v>1260500</v>
      </c>
      <c r="J23" s="868">
        <f t="shared" si="1"/>
        <v>0</v>
      </c>
      <c r="K23" s="869"/>
    </row>
    <row r="24" spans="1:13" s="2" customFormat="1" ht="21.95" customHeight="1">
      <c r="A24" s="865">
        <v>10</v>
      </c>
      <c r="B24" s="866" t="s">
        <v>47</v>
      </c>
      <c r="C24" s="145">
        <f>'5.Chi tiet huyen '!K386</f>
        <v>3248200</v>
      </c>
      <c r="D24" s="867"/>
      <c r="E24" s="13">
        <f>+C24</f>
        <v>3248200</v>
      </c>
      <c r="F24" s="13">
        <f>+'7. TH chi xa 25'!C40</f>
        <v>6789507.1999999993</v>
      </c>
      <c r="G24" s="13"/>
      <c r="H24" s="20">
        <f t="shared" si="0"/>
        <v>10037707.199999999</v>
      </c>
      <c r="I24" s="868">
        <f>+'5.Chi tiet huyen '!G386</f>
        <v>3248200</v>
      </c>
      <c r="J24" s="868">
        <f t="shared" si="1"/>
        <v>0</v>
      </c>
      <c r="K24" s="869"/>
    </row>
    <row r="25" spans="1:13" s="2" customFormat="1" ht="21.95" customHeight="1">
      <c r="A25" s="865">
        <v>11</v>
      </c>
      <c r="B25" s="866" t="s">
        <v>130</v>
      </c>
      <c r="C25" s="145">
        <f>'5.Chi tiet huyen '!K407</f>
        <v>1167500</v>
      </c>
      <c r="D25" s="867"/>
      <c r="E25" s="13"/>
      <c r="F25" s="13">
        <f>+'7. TH chi xa 25'!C41</f>
        <v>570500</v>
      </c>
      <c r="G25" s="13">
        <f>+C25</f>
        <v>1167500</v>
      </c>
      <c r="H25" s="20">
        <f t="shared" si="0"/>
        <v>1738000</v>
      </c>
      <c r="I25" s="868">
        <f>+'5.Chi tiet huyen '!G407</f>
        <v>1167500</v>
      </c>
      <c r="J25" s="868">
        <f t="shared" si="1"/>
        <v>0</v>
      </c>
      <c r="K25" s="869"/>
    </row>
    <row r="26" spans="1:13" s="2" customFormat="1" ht="21.95" customHeight="1">
      <c r="A26" s="865">
        <v>12</v>
      </c>
      <c r="B26" s="866" t="s">
        <v>129</v>
      </c>
      <c r="C26" s="145">
        <f>+'5.Chi tiet huyen '!G408-C42-F40</f>
        <v>121680699.47199999</v>
      </c>
      <c r="D26" s="867"/>
      <c r="E26" s="13"/>
      <c r="F26" s="13"/>
      <c r="G26" s="13"/>
      <c r="H26" s="20">
        <f t="shared" si="0"/>
        <v>0</v>
      </c>
      <c r="I26" s="868">
        <f>+'5.Chi tiet huyen '!G408</f>
        <v>124357449.47199999</v>
      </c>
      <c r="J26" s="868">
        <f t="shared" si="1"/>
        <v>-2676750</v>
      </c>
      <c r="K26" s="869"/>
    </row>
    <row r="27" spans="1:13" s="2" customFormat="1" ht="41.25" customHeight="1">
      <c r="A27" s="941">
        <v>13</v>
      </c>
      <c r="B27" s="942" t="s">
        <v>1470</v>
      </c>
      <c r="C27" s="893">
        <f>'5.Chi tiet huyen '!I9</f>
        <v>1342999.8750079991</v>
      </c>
      <c r="D27" s="867"/>
      <c r="E27" s="13"/>
      <c r="F27" s="13"/>
      <c r="G27" s="13"/>
      <c r="H27" s="20"/>
      <c r="I27" s="868"/>
      <c r="J27" s="868"/>
      <c r="K27" s="869"/>
    </row>
    <row r="28" spans="1:13" s="6" customFormat="1" ht="25.5" customHeight="1">
      <c r="A28" s="862" t="s">
        <v>42</v>
      </c>
      <c r="B28" s="863" t="s">
        <v>50</v>
      </c>
      <c r="C28" s="20">
        <f>'5.Chi tiet huyen '!K409</f>
        <v>9020900</v>
      </c>
      <c r="D28" s="703"/>
      <c r="E28" s="21"/>
      <c r="F28" s="21">
        <f>+'7. TH chi xa 25'!C42</f>
        <v>2290100</v>
      </c>
      <c r="G28" s="21">
        <f>+C28</f>
        <v>9020900</v>
      </c>
      <c r="H28" s="20">
        <f t="shared" si="0"/>
        <v>11311000</v>
      </c>
      <c r="I28" s="864">
        <f>+'5.Chi tiet huyen '!G409</f>
        <v>9020900</v>
      </c>
      <c r="J28" s="868">
        <f t="shared" si="1"/>
        <v>0</v>
      </c>
      <c r="K28" s="881"/>
    </row>
    <row r="29" spans="1:13" s="2" customFormat="1" ht="29.45" customHeight="1">
      <c r="A29" s="862" t="s">
        <v>173</v>
      </c>
      <c r="B29" s="863" t="s">
        <v>813</v>
      </c>
      <c r="C29" s="20">
        <f>SUM(C30:C31)</f>
        <v>15218987.875072002</v>
      </c>
      <c r="D29" s="20">
        <f>SUM(D30:D31)</f>
        <v>0</v>
      </c>
      <c r="E29" s="20">
        <f>SUM(E30:E31)</f>
        <v>0</v>
      </c>
      <c r="F29" s="20">
        <f>SUM(F30:F31)</f>
        <v>0</v>
      </c>
      <c r="G29" s="20">
        <f>SUM(G30:G31)</f>
        <v>15218987.875072002</v>
      </c>
      <c r="H29" s="20">
        <f t="shared" si="0"/>
        <v>15218987.875072002</v>
      </c>
      <c r="I29" s="20">
        <f>SUM(I30:I31)</f>
        <v>15919587.750080001</v>
      </c>
      <c r="J29" s="868">
        <f t="shared" si="1"/>
        <v>-700599.8750079982</v>
      </c>
      <c r="K29" s="882"/>
    </row>
    <row r="30" spans="1:13" s="2" customFormat="1" ht="23.25" customHeight="1">
      <c r="A30" s="865">
        <v>1</v>
      </c>
      <c r="B30" s="866" t="s">
        <v>34</v>
      </c>
      <c r="C30" s="883">
        <f>'5.Chi tiet huyen '!K412</f>
        <v>4300000</v>
      </c>
      <c r="D30" s="7"/>
      <c r="E30" s="13"/>
      <c r="F30" s="13"/>
      <c r="G30" s="13">
        <f>+C30</f>
        <v>4300000</v>
      </c>
      <c r="H30" s="20">
        <f t="shared" si="0"/>
        <v>4300000</v>
      </c>
      <c r="I30" s="868">
        <f>+'5.Chi tiet huyen '!G412</f>
        <v>4300000</v>
      </c>
      <c r="J30" s="868">
        <f t="shared" si="1"/>
        <v>0</v>
      </c>
      <c r="K30" s="882"/>
    </row>
    <row r="31" spans="1:13" s="2" customFormat="1" ht="22.5" customHeight="1">
      <c r="A31" s="865">
        <v>2</v>
      </c>
      <c r="B31" s="866" t="s">
        <v>45</v>
      </c>
      <c r="C31" s="883">
        <f>'5.Chi tiet huyen '!K413</f>
        <v>10918987.875072002</v>
      </c>
      <c r="D31" s="7"/>
      <c r="E31" s="13"/>
      <c r="F31" s="13"/>
      <c r="G31" s="13">
        <f>+C31</f>
        <v>10918987.875072002</v>
      </c>
      <c r="H31" s="20">
        <f t="shared" si="0"/>
        <v>10918987.875072002</v>
      </c>
      <c r="I31" s="868">
        <f>+'5.Chi tiet huyen '!G413</f>
        <v>11619587.750080001</v>
      </c>
      <c r="J31" s="868">
        <f t="shared" si="1"/>
        <v>-700599.8750079982</v>
      </c>
      <c r="K31" s="882"/>
    </row>
    <row r="32" spans="1:13" s="2" customFormat="1" ht="27.75" customHeight="1">
      <c r="A32" s="884" t="s">
        <v>37</v>
      </c>
      <c r="B32" s="885" t="s">
        <v>335</v>
      </c>
      <c r="C32" s="886">
        <f>+C33+C47+C73</f>
        <v>99307000</v>
      </c>
      <c r="D32" s="886">
        <f>+D33+D47+D73</f>
        <v>0</v>
      </c>
      <c r="E32" s="886">
        <f>+E33+E47+E73</f>
        <v>32529964</v>
      </c>
      <c r="F32" s="886">
        <f>+F33+F47+F73</f>
        <v>48242640</v>
      </c>
      <c r="G32" s="886">
        <f>+G33+G47+G73</f>
        <v>18534396</v>
      </c>
      <c r="H32" s="20">
        <f>SUM(E32:G32)</f>
        <v>99307000</v>
      </c>
      <c r="I32" s="887">
        <f>+I33+I47+I73</f>
        <v>71410000</v>
      </c>
      <c r="J32" s="888">
        <f>+I32-C32</f>
        <v>-27897000</v>
      </c>
      <c r="K32" s="888"/>
      <c r="L32" s="28"/>
      <c r="M32" s="28"/>
    </row>
    <row r="33" spans="1:15" s="2" customFormat="1" ht="24" customHeight="1">
      <c r="A33" s="884">
        <v>1</v>
      </c>
      <c r="B33" s="889" t="s">
        <v>613</v>
      </c>
      <c r="C33" s="886">
        <f>+C34+C38+C41+C45</f>
        <v>27897000</v>
      </c>
      <c r="D33" s="886">
        <f>+D34+D38+D41+D45</f>
        <v>0</v>
      </c>
      <c r="E33" s="886">
        <f>+E34+E38+E41+E45</f>
        <v>25220250</v>
      </c>
      <c r="F33" s="886">
        <f>+F34+F38+F41+F45</f>
        <v>2676750</v>
      </c>
      <c r="G33" s="886">
        <f>+G34+G38+G41+G45</f>
        <v>0</v>
      </c>
      <c r="H33" s="20">
        <f t="shared" si="0"/>
        <v>27897000</v>
      </c>
      <c r="I33" s="890"/>
      <c r="J33" s="888" t="s">
        <v>58</v>
      </c>
      <c r="K33" s="888"/>
      <c r="L33" s="28"/>
    </row>
    <row r="34" spans="1:15" s="2" customFormat="1" ht="26.25" customHeight="1">
      <c r="A34" s="884" t="s">
        <v>72</v>
      </c>
      <c r="B34" s="889" t="s">
        <v>1365</v>
      </c>
      <c r="C34" s="886">
        <f>SUM(C35:C37)</f>
        <v>9198000</v>
      </c>
      <c r="D34" s="886">
        <f>SUM(D35:D37)</f>
        <v>0</v>
      </c>
      <c r="E34" s="886">
        <f>SUM(E35:E37)</f>
        <v>9198000</v>
      </c>
      <c r="F34" s="886">
        <f>SUM(F35:F37)</f>
        <v>0</v>
      </c>
      <c r="G34" s="886"/>
      <c r="H34" s="20">
        <f t="shared" si="0"/>
        <v>9198000</v>
      </c>
      <c r="I34" s="890"/>
      <c r="J34" s="888"/>
      <c r="K34" s="888"/>
      <c r="L34" s="28"/>
    </row>
    <row r="35" spans="1:15" s="2" customFormat="1" ht="36" customHeight="1">
      <c r="A35" s="891" t="s">
        <v>215</v>
      </c>
      <c r="B35" s="892" t="s">
        <v>614</v>
      </c>
      <c r="C35" s="893">
        <f>+'5.Chi tiet huyen '!G304</f>
        <v>148000</v>
      </c>
      <c r="D35" s="886"/>
      <c r="E35" s="894">
        <f>+C35</f>
        <v>148000</v>
      </c>
      <c r="F35" s="894"/>
      <c r="G35" s="894"/>
      <c r="H35" s="20">
        <f t="shared" si="0"/>
        <v>148000</v>
      </c>
      <c r="I35" s="890"/>
      <c r="J35" s="888"/>
      <c r="K35" s="888"/>
    </row>
    <row r="36" spans="1:15" s="2" customFormat="1" ht="38.25" customHeight="1">
      <c r="A36" s="891" t="s">
        <v>215</v>
      </c>
      <c r="B36" s="892" t="s">
        <v>615</v>
      </c>
      <c r="C36" s="893">
        <f>+'5.Chi tiet huyen '!G305</f>
        <v>250000</v>
      </c>
      <c r="D36" s="886"/>
      <c r="E36" s="894">
        <f>+C36</f>
        <v>250000</v>
      </c>
      <c r="F36" s="894"/>
      <c r="G36" s="894"/>
      <c r="H36" s="20">
        <f t="shared" si="0"/>
        <v>250000</v>
      </c>
      <c r="I36" s="890"/>
      <c r="J36" s="888"/>
      <c r="K36" s="888"/>
    </row>
    <row r="37" spans="1:15" s="2" customFormat="1" ht="23.1" customHeight="1">
      <c r="A37" s="891" t="s">
        <v>215</v>
      </c>
      <c r="B37" s="892" t="s">
        <v>616</v>
      </c>
      <c r="C37" s="893">
        <f>+'5.Chi tiet huyen '!G306</f>
        <v>8800000</v>
      </c>
      <c r="D37" s="886"/>
      <c r="E37" s="894">
        <f>+C37</f>
        <v>8800000</v>
      </c>
      <c r="F37" s="894"/>
      <c r="G37" s="894"/>
      <c r="H37" s="20">
        <f t="shared" si="0"/>
        <v>8800000</v>
      </c>
      <c r="I37" s="890"/>
      <c r="J37" s="888"/>
      <c r="K37" s="888"/>
    </row>
    <row r="38" spans="1:15" s="2" customFormat="1" ht="21.95" customHeight="1">
      <c r="A38" s="891" t="s">
        <v>441</v>
      </c>
      <c r="B38" s="889" t="s">
        <v>49</v>
      </c>
      <c r="C38" s="886">
        <f>SUM(C39:C40)</f>
        <v>5150000</v>
      </c>
      <c r="D38" s="886">
        <f>SUM(D39:D40)</f>
        <v>0</v>
      </c>
      <c r="E38" s="886">
        <f>SUM(E39:E40)</f>
        <v>3973250</v>
      </c>
      <c r="F38" s="886">
        <f>SUM(F39:F40)</f>
        <v>1176750</v>
      </c>
      <c r="G38" s="886">
        <f>SUM(G39:G40)</f>
        <v>0</v>
      </c>
      <c r="H38" s="20">
        <f t="shared" si="0"/>
        <v>5150000</v>
      </c>
      <c r="I38" s="890"/>
      <c r="J38" s="888"/>
      <c r="K38" s="888"/>
    </row>
    <row r="39" spans="1:15" s="2" customFormat="1" ht="21.95" customHeight="1">
      <c r="A39" s="891" t="s">
        <v>215</v>
      </c>
      <c r="B39" s="892" t="s">
        <v>1195</v>
      </c>
      <c r="C39" s="893">
        <f>+'5.Chi tiet huyen '!G84</f>
        <v>1600000</v>
      </c>
      <c r="D39" s="886"/>
      <c r="E39" s="895">
        <f>+C39</f>
        <v>1600000</v>
      </c>
      <c r="F39" s="895"/>
      <c r="G39" s="894"/>
      <c r="H39" s="20">
        <f t="shared" si="0"/>
        <v>1600000</v>
      </c>
      <c r="I39" s="890"/>
      <c r="J39" s="888"/>
      <c r="K39" s="888"/>
      <c r="L39" s="896"/>
      <c r="M39" s="28">
        <v>1001250</v>
      </c>
      <c r="N39" s="2" t="s">
        <v>1418</v>
      </c>
      <c r="O39" s="2" t="s">
        <v>1419</v>
      </c>
    </row>
    <row r="40" spans="1:15" s="2" customFormat="1" ht="21.95" customHeight="1">
      <c r="A40" s="891" t="s">
        <v>215</v>
      </c>
      <c r="B40" s="892" t="s">
        <v>1303</v>
      </c>
      <c r="C40" s="893">
        <f>+'5.Chi tiet huyen '!G86+'5.Chi tiet huyen '!G94+'5.Chi tiet huyen '!G101+'5.Chi tiet huyen '!G109+'5.Chi tiet huyen '!G125+'5.Chi tiet huyen '!G133+'5.Chi tiet huyen '!G145+'5.Chi tiet huyen '!G152+'5.Chi tiet huyen '!G157+'5.Chi tiet huyen '!G166+'5.Chi tiet huyen '!G186+'5.Chi tiet huyen '!G187+'5.Chi tiet huyen '!G199+'5.Chi tiet huyen '!G267+'5.Chi tiet huyen '!G268+'5.Chi tiet huyen '!G269+'5.Chi tiet huyen '!G270+'5.Chi tiet huyen '!G322+'5.Chi tiet huyen '!G352+'7. TH chi xa 25'!C46-1001250</f>
        <v>3550000</v>
      </c>
      <c r="D40" s="886"/>
      <c r="E40" s="895">
        <v>2373250</v>
      </c>
      <c r="F40" s="895">
        <v>1176750</v>
      </c>
      <c r="G40" s="894"/>
      <c r="H40" s="20">
        <f t="shared" si="0"/>
        <v>3550000</v>
      </c>
      <c r="I40" s="890"/>
      <c r="J40" s="888"/>
      <c r="K40" s="888"/>
      <c r="L40" s="896">
        <v>3550000</v>
      </c>
      <c r="N40" s="28">
        <v>1176750</v>
      </c>
      <c r="O40" s="28">
        <f>+L40-N40</f>
        <v>2373250</v>
      </c>
    </row>
    <row r="41" spans="1:15" s="2" customFormat="1" ht="21.95" customHeight="1">
      <c r="A41" s="884" t="s">
        <v>72</v>
      </c>
      <c r="B41" s="897" t="s">
        <v>522</v>
      </c>
      <c r="C41" s="886">
        <f>SUM(C42:C44)</f>
        <v>2125000</v>
      </c>
      <c r="D41" s="886">
        <f>SUM(D42:D44)</f>
        <v>0</v>
      </c>
      <c r="E41" s="886">
        <f>SUM(E42:E44)</f>
        <v>625000</v>
      </c>
      <c r="F41" s="886">
        <f>SUM(F42:F44)</f>
        <v>1500000</v>
      </c>
      <c r="G41" s="886">
        <f>SUM(G42:G44)</f>
        <v>0</v>
      </c>
      <c r="H41" s="20">
        <f t="shared" si="0"/>
        <v>2125000</v>
      </c>
      <c r="I41" s="890"/>
      <c r="J41" s="888"/>
      <c r="K41" s="888"/>
      <c r="M41" s="28">
        <f>+L40-C40</f>
        <v>0</v>
      </c>
    </row>
    <row r="42" spans="1:15" s="2" customFormat="1" ht="21.95" customHeight="1">
      <c r="A42" s="891" t="s">
        <v>215</v>
      </c>
      <c r="B42" s="892" t="s">
        <v>413</v>
      </c>
      <c r="C42" s="893">
        <f>'7. TH chi xa 25'!C52</f>
        <v>1500000</v>
      </c>
      <c r="D42" s="893"/>
      <c r="E42" s="895"/>
      <c r="F42" s="895">
        <f>+C42</f>
        <v>1500000</v>
      </c>
      <c r="G42" s="895"/>
      <c r="H42" s="20">
        <f t="shared" si="0"/>
        <v>1500000</v>
      </c>
      <c r="I42" s="898"/>
      <c r="J42" s="899"/>
      <c r="K42" s="899"/>
    </row>
    <row r="43" spans="1:15" s="2" customFormat="1" ht="21.95" customHeight="1">
      <c r="A43" s="891" t="s">
        <v>215</v>
      </c>
      <c r="B43" s="900" t="s">
        <v>625</v>
      </c>
      <c r="C43" s="893">
        <f>+'5.Chi tiet huyen '!G29</f>
        <v>125000</v>
      </c>
      <c r="D43" s="893"/>
      <c r="E43" s="895">
        <f>+C43</f>
        <v>125000</v>
      </c>
      <c r="F43" s="895"/>
      <c r="G43" s="895"/>
      <c r="H43" s="20">
        <f t="shared" si="0"/>
        <v>125000</v>
      </c>
      <c r="I43" s="898"/>
      <c r="J43" s="899"/>
      <c r="K43" s="899"/>
    </row>
    <row r="44" spans="1:15" s="2" customFormat="1" ht="21.95" customHeight="1">
      <c r="A44" s="891" t="s">
        <v>215</v>
      </c>
      <c r="B44" s="901" t="s">
        <v>300</v>
      </c>
      <c r="C44" s="893">
        <f>+'5.Chi tiet huyen '!G30</f>
        <v>500000</v>
      </c>
      <c r="D44" s="893"/>
      <c r="E44" s="895">
        <f>+C44</f>
        <v>500000</v>
      </c>
      <c r="F44" s="895"/>
      <c r="G44" s="895"/>
      <c r="H44" s="20">
        <f t="shared" si="0"/>
        <v>500000</v>
      </c>
      <c r="I44" s="898"/>
      <c r="J44" s="899"/>
      <c r="K44" s="899"/>
    </row>
    <row r="45" spans="1:15" s="6" customFormat="1" ht="25.5" customHeight="1">
      <c r="A45" s="884" t="s">
        <v>441</v>
      </c>
      <c r="B45" s="902" t="s">
        <v>126</v>
      </c>
      <c r="C45" s="886">
        <f>+C46</f>
        <v>11424000</v>
      </c>
      <c r="D45" s="886">
        <f>+D46</f>
        <v>0</v>
      </c>
      <c r="E45" s="886">
        <f>+E46</f>
        <v>11424000</v>
      </c>
      <c r="F45" s="886">
        <f>+F46</f>
        <v>0</v>
      </c>
      <c r="G45" s="886">
        <f>+G46</f>
        <v>0</v>
      </c>
      <c r="H45" s="20">
        <f t="shared" si="0"/>
        <v>11424000</v>
      </c>
      <c r="I45" s="890"/>
      <c r="J45" s="888"/>
      <c r="K45" s="888"/>
    </row>
    <row r="46" spans="1:15" s="2" customFormat="1" ht="24.75" customHeight="1">
      <c r="A46" s="891" t="s">
        <v>1366</v>
      </c>
      <c r="B46" s="901" t="s">
        <v>1367</v>
      </c>
      <c r="C46" s="893">
        <v>11424000</v>
      </c>
      <c r="D46" s="893"/>
      <c r="E46" s="895">
        <f>+C46</f>
        <v>11424000</v>
      </c>
      <c r="F46" s="895"/>
      <c r="G46" s="895"/>
      <c r="H46" s="20">
        <f t="shared" si="0"/>
        <v>11424000</v>
      </c>
      <c r="I46" s="898"/>
      <c r="J46" s="899"/>
      <c r="K46" s="899"/>
    </row>
    <row r="47" spans="1:15" s="2" customFormat="1" ht="22.5" customHeight="1">
      <c r="A47" s="884">
        <v>2</v>
      </c>
      <c r="B47" s="897" t="s">
        <v>654</v>
      </c>
      <c r="C47" s="886">
        <f>+C48+C51</f>
        <v>65610000</v>
      </c>
      <c r="D47" s="886">
        <f>+D48+D51</f>
        <v>0</v>
      </c>
      <c r="E47" s="886">
        <f>+E48+E51</f>
        <v>2547100</v>
      </c>
      <c r="F47" s="886">
        <f>+F48+F51</f>
        <v>45365890</v>
      </c>
      <c r="G47" s="886">
        <f>+G48+G51</f>
        <v>17697010</v>
      </c>
      <c r="H47" s="20">
        <f t="shared" si="0"/>
        <v>65610000</v>
      </c>
      <c r="I47" s="886">
        <f>+I54+I66</f>
        <v>65610000</v>
      </c>
      <c r="J47" s="888"/>
      <c r="K47" s="888"/>
    </row>
    <row r="48" spans="1:15" s="2" customFormat="1" ht="22.5" customHeight="1">
      <c r="A48" s="891" t="s">
        <v>72</v>
      </c>
      <c r="B48" s="903" t="s">
        <v>461</v>
      </c>
      <c r="C48" s="886">
        <f>+C49+C50</f>
        <v>63400000</v>
      </c>
      <c r="D48" s="886">
        <f>+D49+D50</f>
        <v>0</v>
      </c>
      <c r="E48" s="886">
        <f>+E49+E50</f>
        <v>2247100</v>
      </c>
      <c r="F48" s="886">
        <f>+F49+F50</f>
        <v>43455890</v>
      </c>
      <c r="G48" s="886">
        <f>+G49+G50</f>
        <v>17697010</v>
      </c>
      <c r="H48" s="20">
        <f t="shared" si="0"/>
        <v>63400000</v>
      </c>
      <c r="I48" s="890"/>
      <c r="J48" s="888"/>
      <c r="K48" s="888"/>
      <c r="L48" s="28"/>
    </row>
    <row r="49" spans="1:13" s="2" customFormat="1" ht="21.95" customHeight="1">
      <c r="A49" s="891" t="s">
        <v>1366</v>
      </c>
      <c r="B49" s="904" t="s">
        <v>848</v>
      </c>
      <c r="C49" s="893">
        <f t="shared" ref="C49:G50" si="2">+C56+C68</f>
        <v>60314000</v>
      </c>
      <c r="D49" s="893">
        <f t="shared" si="2"/>
        <v>0</v>
      </c>
      <c r="E49" s="893">
        <f t="shared" si="2"/>
        <v>2221000</v>
      </c>
      <c r="F49" s="893">
        <f t="shared" si="2"/>
        <v>41207940</v>
      </c>
      <c r="G49" s="893">
        <f t="shared" si="2"/>
        <v>16885060</v>
      </c>
      <c r="H49" s="20">
        <f t="shared" si="0"/>
        <v>60314000</v>
      </c>
      <c r="I49" s="890"/>
      <c r="J49" s="888"/>
      <c r="K49" s="888"/>
    </row>
    <row r="50" spans="1:13" s="2" customFormat="1" ht="21.95" customHeight="1">
      <c r="A50" s="891" t="s">
        <v>1366</v>
      </c>
      <c r="B50" s="904" t="s">
        <v>655</v>
      </c>
      <c r="C50" s="893">
        <f t="shared" si="2"/>
        <v>3086000</v>
      </c>
      <c r="D50" s="893">
        <f t="shared" si="2"/>
        <v>0</v>
      </c>
      <c r="E50" s="893">
        <f t="shared" si="2"/>
        <v>26100</v>
      </c>
      <c r="F50" s="893">
        <f t="shared" si="2"/>
        <v>2247950</v>
      </c>
      <c r="G50" s="893">
        <f t="shared" si="2"/>
        <v>811950</v>
      </c>
      <c r="H50" s="20">
        <f t="shared" si="0"/>
        <v>3086000</v>
      </c>
      <c r="I50" s="890"/>
      <c r="J50" s="888"/>
      <c r="K50" s="888"/>
    </row>
    <row r="51" spans="1:13" s="2" customFormat="1" ht="21.95" customHeight="1">
      <c r="A51" s="891" t="s">
        <v>72</v>
      </c>
      <c r="B51" s="903" t="s">
        <v>1437</v>
      </c>
      <c r="C51" s="886">
        <f>+C52+C53</f>
        <v>2210000</v>
      </c>
      <c r="D51" s="886">
        <f>+D52+D53</f>
        <v>0</v>
      </c>
      <c r="E51" s="886">
        <f>+E52+E53</f>
        <v>300000</v>
      </c>
      <c r="F51" s="886">
        <f>+F52+F53</f>
        <v>1910000</v>
      </c>
      <c r="G51" s="886">
        <f>+G52+G53</f>
        <v>0</v>
      </c>
      <c r="H51" s="20">
        <f t="shared" si="0"/>
        <v>2210000</v>
      </c>
      <c r="I51" s="890"/>
      <c r="J51" s="888"/>
      <c r="K51" s="888"/>
    </row>
    <row r="52" spans="1:13" s="2" customFormat="1" ht="21.95" customHeight="1">
      <c r="A52" s="891" t="s">
        <v>1366</v>
      </c>
      <c r="B52" s="904" t="s">
        <v>848</v>
      </c>
      <c r="C52" s="893">
        <f t="shared" ref="C52:G53" si="3">+C59++C64+C71</f>
        <v>2105000</v>
      </c>
      <c r="D52" s="893">
        <f t="shared" si="3"/>
        <v>0</v>
      </c>
      <c r="E52" s="893">
        <f t="shared" si="3"/>
        <v>286000</v>
      </c>
      <c r="F52" s="893">
        <f t="shared" si="3"/>
        <v>1819000</v>
      </c>
      <c r="G52" s="893">
        <f t="shared" si="3"/>
        <v>0</v>
      </c>
      <c r="H52" s="20">
        <f t="shared" si="0"/>
        <v>2105000</v>
      </c>
      <c r="I52" s="890"/>
      <c r="J52" s="888"/>
      <c r="K52" s="888"/>
    </row>
    <row r="53" spans="1:13" s="2" customFormat="1" ht="21.95" customHeight="1">
      <c r="A53" s="891" t="s">
        <v>1366</v>
      </c>
      <c r="B53" s="904" t="s">
        <v>655</v>
      </c>
      <c r="C53" s="893">
        <f t="shared" si="3"/>
        <v>105000</v>
      </c>
      <c r="D53" s="893">
        <f t="shared" si="3"/>
        <v>0</v>
      </c>
      <c r="E53" s="893">
        <f t="shared" si="3"/>
        <v>14000</v>
      </c>
      <c r="F53" s="893">
        <f t="shared" si="3"/>
        <v>91000</v>
      </c>
      <c r="G53" s="893">
        <f t="shared" si="3"/>
        <v>0</v>
      </c>
      <c r="H53" s="20">
        <f t="shared" si="0"/>
        <v>105000</v>
      </c>
      <c r="I53" s="890"/>
      <c r="J53" s="888"/>
      <c r="K53" s="888"/>
    </row>
    <row r="54" spans="1:13" s="2" customFormat="1" ht="21.95" customHeight="1">
      <c r="A54" s="905" t="s">
        <v>212</v>
      </c>
      <c r="B54" s="906" t="s">
        <v>620</v>
      </c>
      <c r="C54" s="886">
        <f>+C55+C58</f>
        <v>3209000</v>
      </c>
      <c r="D54" s="886">
        <f>+D55+D58</f>
        <v>0</v>
      </c>
      <c r="E54" s="886">
        <f>+E55+E58</f>
        <v>327000</v>
      </c>
      <c r="F54" s="886">
        <f>+F55+F58</f>
        <v>2606440</v>
      </c>
      <c r="G54" s="886">
        <f>+G55+G58</f>
        <v>275560</v>
      </c>
      <c r="H54" s="20">
        <f t="shared" si="0"/>
        <v>3209000</v>
      </c>
      <c r="I54" s="890">
        <f>'5.Chi tiet huyen '!G521+'5.Chi tiet huyen '!G421</f>
        <v>3209000</v>
      </c>
      <c r="J54" s="888">
        <f>+C54-I54</f>
        <v>0</v>
      </c>
      <c r="K54" s="888"/>
      <c r="M54" s="904"/>
    </row>
    <row r="55" spans="1:13" s="2" customFormat="1" ht="21.95" customHeight="1">
      <c r="A55" s="891" t="s">
        <v>72</v>
      </c>
      <c r="B55" s="903" t="s">
        <v>232</v>
      </c>
      <c r="C55" s="893">
        <f>SUM(C56:C57)</f>
        <v>999000</v>
      </c>
      <c r="D55" s="893">
        <f>SUM(D56:D57)</f>
        <v>0</v>
      </c>
      <c r="E55" s="893">
        <f>SUM(E56:E57)</f>
        <v>27000</v>
      </c>
      <c r="F55" s="893">
        <f>SUM(F56:F57)</f>
        <v>696440</v>
      </c>
      <c r="G55" s="893">
        <f>SUM(G56:G57)</f>
        <v>275560</v>
      </c>
      <c r="H55" s="20">
        <f t="shared" si="0"/>
        <v>999000</v>
      </c>
      <c r="I55" s="898"/>
      <c r="J55" s="899"/>
      <c r="K55" s="899"/>
    </row>
    <row r="56" spans="1:13" s="2" customFormat="1" ht="21.95" customHeight="1">
      <c r="A56" s="891" t="s">
        <v>1366</v>
      </c>
      <c r="B56" s="904" t="s">
        <v>848</v>
      </c>
      <c r="C56" s="893">
        <f>+'5.Chi tiet huyen '!G523+'5.Chi tiet huyen '!G423</f>
        <v>941000</v>
      </c>
      <c r="D56" s="893"/>
      <c r="E56" s="895">
        <f>+'5.Chi tiet huyen '!G429</f>
        <v>27000</v>
      </c>
      <c r="F56" s="895">
        <f>+'5.Chi tiet huyen '!G426</f>
        <v>656050</v>
      </c>
      <c r="G56" s="895">
        <f>+'5.Chi tiet huyen '!G523</f>
        <v>257950</v>
      </c>
      <c r="H56" s="20">
        <f t="shared" si="0"/>
        <v>941000</v>
      </c>
      <c r="I56" s="898"/>
      <c r="J56" s="899"/>
      <c r="K56" s="899"/>
    </row>
    <row r="57" spans="1:13" s="2" customFormat="1" ht="21.95" customHeight="1">
      <c r="A57" s="891" t="s">
        <v>1366</v>
      </c>
      <c r="B57" s="904" t="s">
        <v>655</v>
      </c>
      <c r="C57" s="893">
        <f>+'5.Chi tiet huyen '!G424+'5.Chi tiet huyen '!G524</f>
        <v>58000</v>
      </c>
      <c r="D57" s="893"/>
      <c r="E57" s="895"/>
      <c r="F57" s="895">
        <f>+'5.Chi tiet huyen '!G427</f>
        <v>40390</v>
      </c>
      <c r="G57" s="895">
        <f>+'5.Chi tiet huyen '!G524</f>
        <v>17610</v>
      </c>
      <c r="H57" s="20">
        <f t="shared" si="0"/>
        <v>58000</v>
      </c>
      <c r="I57" s="898"/>
      <c r="J57" s="899"/>
      <c r="K57" s="899"/>
    </row>
    <row r="58" spans="1:13" s="2" customFormat="1" ht="21.95" customHeight="1">
      <c r="A58" s="891" t="s">
        <v>72</v>
      </c>
      <c r="B58" s="903" t="s">
        <v>462</v>
      </c>
      <c r="C58" s="893">
        <f>+C59+C60</f>
        <v>2210000</v>
      </c>
      <c r="D58" s="893">
        <f>+D59+D60</f>
        <v>0</v>
      </c>
      <c r="E58" s="893">
        <f>+E59+E60</f>
        <v>300000</v>
      </c>
      <c r="F58" s="893">
        <f>+F59+F60</f>
        <v>1910000</v>
      </c>
      <c r="G58" s="893">
        <f>+G59+G60</f>
        <v>0</v>
      </c>
      <c r="H58" s="20">
        <f t="shared" si="0"/>
        <v>2210000</v>
      </c>
      <c r="I58" s="898"/>
      <c r="J58" s="899"/>
      <c r="K58" s="899"/>
    </row>
    <row r="59" spans="1:13" s="2" customFormat="1" ht="21.95" customHeight="1">
      <c r="A59" s="891" t="s">
        <v>1366</v>
      </c>
      <c r="B59" s="904" t="s">
        <v>848</v>
      </c>
      <c r="C59" s="893">
        <f>+'5.Chi tiet huyen '!G432</f>
        <v>2105000</v>
      </c>
      <c r="D59" s="886"/>
      <c r="E59" s="895">
        <f>+'5.Chi tiet huyen '!G435+'5.Chi tiet huyen '!G438</f>
        <v>286000</v>
      </c>
      <c r="F59" s="895">
        <f>+'5.Chi tiet huyen '!G441</f>
        <v>1819000</v>
      </c>
      <c r="G59" s="894"/>
      <c r="H59" s="20">
        <f t="shared" si="0"/>
        <v>2105000</v>
      </c>
      <c r="I59" s="890"/>
      <c r="J59" s="888"/>
      <c r="K59" s="888"/>
    </row>
    <row r="60" spans="1:13" s="2" customFormat="1" ht="21.95" customHeight="1">
      <c r="A60" s="891" t="s">
        <v>1366</v>
      </c>
      <c r="B60" s="904" t="s">
        <v>655</v>
      </c>
      <c r="C60" s="893">
        <f>+'5.Chi tiet huyen '!G433</f>
        <v>105000</v>
      </c>
      <c r="D60" s="886"/>
      <c r="E60" s="895">
        <f>+'5.Chi tiet huyen '!G436+'5.Chi tiet huyen '!G439</f>
        <v>14000</v>
      </c>
      <c r="F60" s="895">
        <f>+'5.Chi tiet huyen '!G442</f>
        <v>91000</v>
      </c>
      <c r="G60" s="894"/>
      <c r="H60" s="20">
        <f t="shared" si="0"/>
        <v>105000</v>
      </c>
      <c r="I60" s="890"/>
      <c r="J60" s="888"/>
      <c r="K60" s="888"/>
    </row>
    <row r="61" spans="1:13" s="2" customFormat="1" ht="21.95" customHeight="1">
      <c r="A61" s="905" t="s">
        <v>213</v>
      </c>
      <c r="B61" s="906" t="s">
        <v>619</v>
      </c>
      <c r="C61" s="886">
        <f>+C62+C63</f>
        <v>0</v>
      </c>
      <c r="D61" s="886"/>
      <c r="E61" s="894"/>
      <c r="F61" s="894"/>
      <c r="G61" s="894"/>
      <c r="H61" s="20">
        <f t="shared" si="0"/>
        <v>0</v>
      </c>
      <c r="I61" s="890"/>
      <c r="J61" s="888"/>
      <c r="K61" s="888"/>
    </row>
    <row r="62" spans="1:13" s="2" customFormat="1" ht="21.75" hidden="1" customHeight="1">
      <c r="A62" s="891" t="s">
        <v>1</v>
      </c>
      <c r="B62" s="903" t="s">
        <v>232</v>
      </c>
      <c r="C62" s="886"/>
      <c r="D62" s="886"/>
      <c r="E62" s="894"/>
      <c r="F62" s="894"/>
      <c r="G62" s="894"/>
      <c r="H62" s="20">
        <f t="shared" si="0"/>
        <v>0</v>
      </c>
      <c r="I62" s="890"/>
      <c r="J62" s="888"/>
      <c r="K62" s="888"/>
    </row>
    <row r="63" spans="1:13" s="2" customFormat="1" ht="21.75" hidden="1" customHeight="1">
      <c r="A63" s="891"/>
      <c r="B63" s="903" t="s">
        <v>617</v>
      </c>
      <c r="C63" s="893">
        <f>SUM(C64:C65)</f>
        <v>0</v>
      </c>
      <c r="D63" s="886"/>
      <c r="E63" s="894"/>
      <c r="F63" s="894"/>
      <c r="G63" s="894"/>
      <c r="H63" s="20">
        <f t="shared" si="0"/>
        <v>0</v>
      </c>
      <c r="I63" s="890"/>
      <c r="J63" s="888"/>
      <c r="K63" s="888"/>
    </row>
    <row r="64" spans="1:13" s="2" customFormat="1" ht="21.75" hidden="1" customHeight="1">
      <c r="A64" s="891"/>
      <c r="B64" s="904" t="s">
        <v>848</v>
      </c>
      <c r="C64" s="893">
        <f>+'5.Chi tiet huyen '!G445</f>
        <v>0</v>
      </c>
      <c r="D64" s="886"/>
      <c r="E64" s="894"/>
      <c r="F64" s="894"/>
      <c r="G64" s="894"/>
      <c r="H64" s="20">
        <f t="shared" si="0"/>
        <v>0</v>
      </c>
      <c r="I64" s="890"/>
      <c r="J64" s="888"/>
      <c r="K64" s="888"/>
    </row>
    <row r="65" spans="1:11" s="2" customFormat="1" ht="21.75" hidden="1" customHeight="1">
      <c r="A65" s="891"/>
      <c r="B65" s="904" t="s">
        <v>655</v>
      </c>
      <c r="C65" s="893">
        <f>+'5.Chi tiet huyen '!G446</f>
        <v>0</v>
      </c>
      <c r="D65" s="886"/>
      <c r="E65" s="894"/>
      <c r="F65" s="894"/>
      <c r="G65" s="894"/>
      <c r="H65" s="20">
        <f t="shared" si="0"/>
        <v>0</v>
      </c>
      <c r="I65" s="890"/>
      <c r="J65" s="888"/>
      <c r="K65" s="888"/>
    </row>
    <row r="66" spans="1:11" s="2" customFormat="1" ht="39.75" customHeight="1">
      <c r="A66" s="905" t="s">
        <v>214</v>
      </c>
      <c r="B66" s="906" t="s">
        <v>618</v>
      </c>
      <c r="C66" s="886">
        <f>+C67+C70</f>
        <v>62401000</v>
      </c>
      <c r="D66" s="886">
        <f>+D67+D70</f>
        <v>0</v>
      </c>
      <c r="E66" s="886">
        <f>+E67+E70</f>
        <v>2220100</v>
      </c>
      <c r="F66" s="886">
        <f>+F67+F70</f>
        <v>42759450</v>
      </c>
      <c r="G66" s="886">
        <f>+G67+G70</f>
        <v>17421450</v>
      </c>
      <c r="H66" s="20">
        <f t="shared" si="0"/>
        <v>62401000</v>
      </c>
      <c r="I66" s="890">
        <f>+'5.Chi tiet huyen '!G465+'5.Chi tiet huyen '!G525</f>
        <v>62401000</v>
      </c>
      <c r="J66" s="888"/>
      <c r="K66" s="888"/>
    </row>
    <row r="67" spans="1:11" s="2" customFormat="1" ht="21.95" customHeight="1">
      <c r="A67" s="891" t="s">
        <v>72</v>
      </c>
      <c r="B67" s="903" t="s">
        <v>232</v>
      </c>
      <c r="C67" s="893">
        <f>+C68+C69</f>
        <v>62401000</v>
      </c>
      <c r="D67" s="893">
        <f>+D68+D69</f>
        <v>0</v>
      </c>
      <c r="E67" s="893">
        <f>+E68+E69</f>
        <v>2220100</v>
      </c>
      <c r="F67" s="893">
        <f>+F68+F69</f>
        <v>42759450</v>
      </c>
      <c r="G67" s="893">
        <f>+G68+G69</f>
        <v>17421450</v>
      </c>
      <c r="H67" s="20">
        <f t="shared" si="0"/>
        <v>62401000</v>
      </c>
      <c r="I67" s="890"/>
      <c r="J67" s="888"/>
      <c r="K67" s="888"/>
    </row>
    <row r="68" spans="1:11" s="2" customFormat="1" ht="21.95" customHeight="1">
      <c r="A68" s="891" t="s">
        <v>1366</v>
      </c>
      <c r="B68" s="904" t="s">
        <v>848</v>
      </c>
      <c r="C68" s="893">
        <f>+'5.Chi tiet huyen '!G467+'5.Chi tiet huyen '!G527</f>
        <v>59373000</v>
      </c>
      <c r="D68" s="893">
        <f>+'5.Chi tiet huyen '!H467+'5.Chi tiet huyen '!H527</f>
        <v>0</v>
      </c>
      <c r="E68" s="893">
        <f>+'5.Chi tiet huyen '!G470</f>
        <v>2194000</v>
      </c>
      <c r="F68" s="893">
        <f>+'5.Chi tiet huyen '!G473</f>
        <v>40551890</v>
      </c>
      <c r="G68" s="893">
        <f>+'5.Chi tiet huyen '!K527</f>
        <v>16627110</v>
      </c>
      <c r="H68" s="20">
        <f t="shared" si="0"/>
        <v>59373000</v>
      </c>
      <c r="I68" s="890"/>
      <c r="J68" s="888"/>
      <c r="K68" s="888"/>
    </row>
    <row r="69" spans="1:11" s="2" customFormat="1" ht="21.95" customHeight="1">
      <c r="A69" s="891" t="s">
        <v>1366</v>
      </c>
      <c r="B69" s="904" t="s">
        <v>655</v>
      </c>
      <c r="C69" s="893">
        <f>+'5.Chi tiet huyen '!G468+'5.Chi tiet huyen '!G528</f>
        <v>3028000</v>
      </c>
      <c r="D69" s="893">
        <f>+'5.Chi tiet huyen '!H468+'5.Chi tiet huyen '!H528</f>
        <v>0</v>
      </c>
      <c r="E69" s="893">
        <f>+'5.Chi tiet huyen '!G471</f>
        <v>26100</v>
      </c>
      <c r="F69" s="893">
        <f>+'5.Chi tiet huyen '!G474</f>
        <v>2207560</v>
      </c>
      <c r="G69" s="893">
        <f>+'5.Chi tiet huyen '!K528</f>
        <v>794340</v>
      </c>
      <c r="H69" s="20">
        <f t="shared" si="0"/>
        <v>3028000</v>
      </c>
      <c r="I69" s="890"/>
      <c r="J69" s="888"/>
      <c r="K69" s="888"/>
    </row>
    <row r="70" spans="1:11" s="2" customFormat="1" ht="22.5" hidden="1" customHeight="1">
      <c r="A70" s="891"/>
      <c r="B70" s="903" t="s">
        <v>617</v>
      </c>
      <c r="C70" s="893">
        <f>+C71+C72</f>
        <v>0</v>
      </c>
      <c r="D70" s="886"/>
      <c r="E70" s="894"/>
      <c r="F70" s="894"/>
      <c r="G70" s="893">
        <f>+'5.Chi tiet huyen '!K529</f>
        <v>0</v>
      </c>
      <c r="H70" s="20">
        <f t="shared" si="0"/>
        <v>0</v>
      </c>
      <c r="I70" s="890"/>
      <c r="J70" s="888"/>
      <c r="K70" s="888"/>
    </row>
    <row r="71" spans="1:11" s="2" customFormat="1" ht="22.5" hidden="1" customHeight="1">
      <c r="A71" s="891"/>
      <c r="B71" s="904" t="s">
        <v>848</v>
      </c>
      <c r="C71" s="893">
        <f>+'5.Chi tiet huyen '!G476+'5.Chi tiet huyen '!G530</f>
        <v>0</v>
      </c>
      <c r="D71" s="886"/>
      <c r="E71" s="894"/>
      <c r="F71" s="894"/>
      <c r="G71" s="893">
        <f>+'5.Chi tiet huyen '!K530</f>
        <v>0</v>
      </c>
      <c r="H71" s="20">
        <f t="shared" si="0"/>
        <v>0</v>
      </c>
      <c r="I71" s="890"/>
      <c r="J71" s="888"/>
      <c r="K71" s="888"/>
    </row>
    <row r="72" spans="1:11" s="2" customFormat="1" ht="20.100000000000001" hidden="1" customHeight="1">
      <c r="A72" s="891"/>
      <c r="B72" s="904" t="s">
        <v>655</v>
      </c>
      <c r="C72" s="893">
        <f>+'5.Chi tiet huyen '!G477</f>
        <v>0</v>
      </c>
      <c r="D72" s="886"/>
      <c r="E72" s="894"/>
      <c r="F72" s="894"/>
      <c r="G72" s="893"/>
      <c r="H72" s="20">
        <f t="shared" si="0"/>
        <v>0</v>
      </c>
      <c r="I72" s="890"/>
      <c r="J72" s="888"/>
      <c r="K72" s="888"/>
    </row>
    <row r="73" spans="1:11" ht="26.25" customHeight="1">
      <c r="A73" s="884">
        <v>3</v>
      </c>
      <c r="B73" s="907" t="s">
        <v>621</v>
      </c>
      <c r="C73" s="20">
        <f>SUM(C74:C75)</f>
        <v>5800000</v>
      </c>
      <c r="D73" s="20">
        <f>SUM(D74:D75)</f>
        <v>0</v>
      </c>
      <c r="E73" s="20">
        <f>SUM(E74:E75)</f>
        <v>4762614</v>
      </c>
      <c r="F73" s="20">
        <f>SUM(F74:F75)</f>
        <v>200000</v>
      </c>
      <c r="G73" s="20">
        <f>SUM(G74:G75)</f>
        <v>837386</v>
      </c>
      <c r="H73" s="20">
        <f>SUM(E73:G73)</f>
        <v>5800000</v>
      </c>
      <c r="I73" s="868">
        <f>+'5.Chi tiet huyen '!G531</f>
        <v>5800000</v>
      </c>
      <c r="J73" s="882"/>
      <c r="K73" s="882"/>
    </row>
    <row r="74" spans="1:11" ht="28.5" customHeight="1">
      <c r="A74" s="891" t="s">
        <v>0</v>
      </c>
      <c r="B74" s="903" t="s">
        <v>623</v>
      </c>
      <c r="C74" s="893">
        <f>+'5.Chi tiet huyen '!G532</f>
        <v>200000</v>
      </c>
      <c r="D74" s="7"/>
      <c r="E74" s="13"/>
      <c r="F74" s="13">
        <f>+C74</f>
        <v>200000</v>
      </c>
      <c r="G74" s="13"/>
      <c r="H74" s="20">
        <f>SUM(E74:G74)</f>
        <v>200000</v>
      </c>
      <c r="I74" s="868"/>
      <c r="J74" s="882"/>
      <c r="K74" s="882"/>
    </row>
    <row r="75" spans="1:11" ht="30.75" customHeight="1">
      <c r="A75" s="908" t="s">
        <v>2</v>
      </c>
      <c r="B75" s="909" t="s">
        <v>624</v>
      </c>
      <c r="C75" s="943">
        <f>+'5.Chi tiet huyen '!G535</f>
        <v>5600000</v>
      </c>
      <c r="D75" s="910"/>
      <c r="E75" s="911">
        <f>+'5.Chi tiet huyen '!G536</f>
        <v>4762614</v>
      </c>
      <c r="F75" s="911"/>
      <c r="G75" s="911">
        <f>+'5.Chi tiet huyen '!G537</f>
        <v>837386</v>
      </c>
      <c r="H75" s="142">
        <f>SUM(E75:G75)</f>
        <v>5600000</v>
      </c>
      <c r="I75" s="868"/>
      <c r="J75" s="882"/>
      <c r="K75" s="882"/>
    </row>
  </sheetData>
  <mergeCells count="3">
    <mergeCell ref="A2:D2"/>
    <mergeCell ref="A3:D3"/>
    <mergeCell ref="B4:D4"/>
  </mergeCells>
  <phoneticPr fontId="16" type="noConversion"/>
  <pageMargins left="0.43307086614173229" right="0.15748031496062992" top="0.47244094488188981" bottom="0.35433070866141736" header="0.59055118110236227"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FFFF00"/>
  </sheetPr>
  <dimension ref="A1:AU551"/>
  <sheetViews>
    <sheetView zoomScale="110" zoomScaleNormal="110" workbookViewId="0">
      <pane xSplit="2" ySplit="7" topLeftCell="C188" activePane="bottomRight" state="frozen"/>
      <selection pane="topRight" activeCell="C1" sqref="C1"/>
      <selection pane="bottomLeft" activeCell="A8" sqref="A8"/>
      <selection pane="bottomRight" activeCell="E190" sqref="E190"/>
    </sheetView>
  </sheetViews>
  <sheetFormatPr defaultColWidth="9" defaultRowHeight="35.450000000000003" customHeight="1"/>
  <cols>
    <col min="1" max="1" width="5" style="656" customWidth="1"/>
    <col min="2" max="2" width="63.875" style="657" customWidth="1"/>
    <col min="3" max="3" width="6.625" style="658" customWidth="1"/>
    <col min="4" max="4" width="6.125" style="659" customWidth="1"/>
    <col min="5" max="5" width="10.125" style="660" customWidth="1"/>
    <col min="6" max="6" width="15.375" style="661" hidden="1" customWidth="1"/>
    <col min="7" max="7" width="14.25" style="661" customWidth="1"/>
    <col min="8" max="8" width="11.625" style="662" customWidth="1"/>
    <col min="9" max="9" width="12.125" style="662" customWidth="1"/>
    <col min="10" max="10" width="12.125" style="662" hidden="1" customWidth="1"/>
    <col min="11" max="11" width="14.125" style="662" customWidth="1"/>
    <col min="12" max="21" width="16.25" style="663" hidden="1" customWidth="1"/>
    <col min="22" max="23" width="9" style="663" hidden="1" customWidth="1"/>
    <col min="24" max="24" width="14.375" style="663" hidden="1" customWidth="1"/>
    <col min="25" max="28" width="0" style="663" hidden="1" customWidth="1"/>
    <col min="29" max="30" width="9" style="663" hidden="1" customWidth="1"/>
    <col min="31" max="32" width="0" style="663" hidden="1" customWidth="1"/>
    <col min="33" max="33" width="12.75" style="663" hidden="1" customWidth="1"/>
    <col min="34" max="34" width="14.375" style="663" hidden="1" customWidth="1"/>
    <col min="35" max="35" width="14.25" style="663" hidden="1" customWidth="1"/>
    <col min="36" max="36" width="9.125" style="663" hidden="1" customWidth="1"/>
    <col min="37" max="37" width="9.5" style="663" hidden="1" customWidth="1"/>
    <col min="38" max="45" width="0" style="663" hidden="1" customWidth="1"/>
    <col min="46" max="47" width="12.75" style="663" bestFit="1" customWidth="1"/>
    <col min="48" max="16384" width="9" style="663"/>
  </cols>
  <sheetData>
    <row r="1" spans="1:47" ht="18" customHeight="1">
      <c r="J1" s="1196" t="s">
        <v>265</v>
      </c>
      <c r="K1" s="1196"/>
    </row>
    <row r="2" spans="1:47" s="143" customFormat="1" ht="21" customHeight="1">
      <c r="A2" s="1198" t="s">
        <v>205</v>
      </c>
      <c r="B2" s="1198"/>
      <c r="C2" s="1198"/>
      <c r="D2" s="1198"/>
      <c r="E2" s="1198"/>
      <c r="F2" s="1198"/>
      <c r="G2" s="1198"/>
      <c r="H2" s="1198"/>
      <c r="I2" s="1198"/>
      <c r="J2" s="1198"/>
      <c r="K2" s="1198"/>
    </row>
    <row r="3" spans="1:47" s="143" customFormat="1" ht="22.5" customHeight="1">
      <c r="A3" s="1197" t="s">
        <v>942</v>
      </c>
      <c r="B3" s="1197"/>
      <c r="C3" s="1197"/>
      <c r="D3" s="1197"/>
      <c r="E3" s="1197"/>
      <c r="F3" s="1197"/>
      <c r="G3" s="1197"/>
      <c r="H3" s="1197"/>
      <c r="I3" s="1197"/>
      <c r="J3" s="1197"/>
      <c r="K3" s="1197"/>
    </row>
    <row r="4" spans="1:47" s="143" customFormat="1" ht="21.75" customHeight="1">
      <c r="A4" s="1193" t="str">
        <f>+'3.TH-HX'!A3:I3</f>
        <v xml:space="preserve">(Kèm theo Nghị quyết  số      /NQ-HĐND ngày       /12/2024 của Hội đồng nhân dân huyện Na Rì) </v>
      </c>
      <c r="B4" s="1193"/>
      <c r="C4" s="1193"/>
      <c r="D4" s="1193"/>
      <c r="E4" s="1193"/>
      <c r="F4" s="1193"/>
      <c r="G4" s="1193"/>
      <c r="H4" s="1193"/>
      <c r="I4" s="1193"/>
      <c r="J4" s="1193"/>
      <c r="K4" s="1193"/>
    </row>
    <row r="5" spans="1:47" ht="21" customHeight="1">
      <c r="B5" s="664"/>
      <c r="C5" s="664"/>
      <c r="D5" s="664"/>
      <c r="E5" s="664"/>
      <c r="F5" s="665"/>
      <c r="G5" s="665"/>
      <c r="H5" s="1194" t="s">
        <v>285</v>
      </c>
      <c r="I5" s="1194"/>
      <c r="J5" s="1194"/>
      <c r="K5" s="1194"/>
    </row>
    <row r="6" spans="1:47" s="666" customFormat="1" ht="35.450000000000003" customHeight="1">
      <c r="A6" s="1206" t="s">
        <v>71</v>
      </c>
      <c r="B6" s="1206" t="s">
        <v>163</v>
      </c>
      <c r="C6" s="1208" t="s">
        <v>537</v>
      </c>
      <c r="D6" s="1210" t="s">
        <v>164</v>
      </c>
      <c r="E6" s="1204" t="s">
        <v>165</v>
      </c>
      <c r="F6" s="1199" t="s">
        <v>555</v>
      </c>
      <c r="G6" s="1199" t="s">
        <v>812</v>
      </c>
      <c r="H6" s="1201" t="s">
        <v>329</v>
      </c>
      <c r="I6" s="1202" t="s">
        <v>1438</v>
      </c>
      <c r="J6" s="1201" t="s">
        <v>342</v>
      </c>
      <c r="K6" s="1201" t="s">
        <v>344</v>
      </c>
    </row>
    <row r="7" spans="1:47" s="666" customFormat="1" ht="33" customHeight="1">
      <c r="A7" s="1207"/>
      <c r="B7" s="1207"/>
      <c r="C7" s="1209"/>
      <c r="D7" s="1211"/>
      <c r="E7" s="1205"/>
      <c r="F7" s="1200"/>
      <c r="G7" s="1200"/>
      <c r="H7" s="1201"/>
      <c r="I7" s="1203"/>
      <c r="J7" s="1201"/>
      <c r="K7" s="1201"/>
      <c r="O7" s="667"/>
      <c r="P7" s="667"/>
    </row>
    <row r="8" spans="1:47" s="672" customFormat="1" ht="15.75" customHeight="1">
      <c r="A8" s="668" t="s">
        <v>36</v>
      </c>
      <c r="B8" s="668" t="s">
        <v>37</v>
      </c>
      <c r="C8" s="669" t="s">
        <v>179</v>
      </c>
      <c r="D8" s="670" t="s">
        <v>259</v>
      </c>
      <c r="E8" s="671" t="s">
        <v>348</v>
      </c>
      <c r="F8" s="668">
        <v>1</v>
      </c>
      <c r="G8" s="668">
        <v>1</v>
      </c>
      <c r="H8" s="668">
        <v>2</v>
      </c>
      <c r="I8" s="668">
        <v>4</v>
      </c>
      <c r="J8" s="668">
        <v>3</v>
      </c>
      <c r="K8" s="668">
        <v>4</v>
      </c>
    </row>
    <row r="9" spans="1:47" s="231" customFormat="1" ht="19.5" customHeight="1">
      <c r="A9" s="673"/>
      <c r="B9" s="673" t="s">
        <v>166</v>
      </c>
      <c r="C9" s="674"/>
      <c r="D9" s="675"/>
      <c r="E9" s="676"/>
      <c r="F9" s="292" t="e">
        <f>+F10+F13+F409+F411+F414</f>
        <v>#REF!</v>
      </c>
      <c r="G9" s="292">
        <f>+G10+G13+G409+G411+G414+G531</f>
        <v>664800000</v>
      </c>
      <c r="H9" s="292">
        <f>+H10+H13+H409+H411+H414+H531</f>
        <v>4418000</v>
      </c>
      <c r="I9" s="292">
        <f>+I10+I13+I409+I411+I414+I531</f>
        <v>1342999.8750079991</v>
      </c>
      <c r="J9" s="292">
        <f>+J10+J13+J409+J411+J414+J531</f>
        <v>0</v>
      </c>
      <c r="K9" s="292">
        <f>+K10+K13+K409+K411+K414+K531</f>
        <v>663457000.12499201</v>
      </c>
      <c r="L9" s="387">
        <f>+'[1]3.TH-HX 2022'!C7</f>
        <v>504234000</v>
      </c>
      <c r="M9" s="387"/>
      <c r="N9" s="387"/>
      <c r="O9" s="254">
        <f>+'3.TH-HX'!C74</f>
        <v>6501000</v>
      </c>
      <c r="P9" s="254"/>
      <c r="U9" s="387"/>
      <c r="AH9" s="249"/>
      <c r="AI9" s="254"/>
      <c r="AT9" s="387"/>
      <c r="AU9" s="387"/>
    </row>
    <row r="10" spans="1:47" s="231" customFormat="1" ht="19.5" customHeight="1">
      <c r="A10" s="546" t="s">
        <v>36</v>
      </c>
      <c r="B10" s="547" t="s">
        <v>33</v>
      </c>
      <c r="C10" s="548"/>
      <c r="D10" s="549"/>
      <c r="E10" s="550"/>
      <c r="F10" s="551">
        <f>SUM(F11:F12)</f>
        <v>21191000</v>
      </c>
      <c r="G10" s="551">
        <f>SUM(G11:G12)</f>
        <v>21191000</v>
      </c>
      <c r="H10" s="552">
        <f>SUM(H11:H12)</f>
        <v>0</v>
      </c>
      <c r="I10" s="552"/>
      <c r="J10" s="552">
        <f>SUM(J11:J12)</f>
        <v>0</v>
      </c>
      <c r="K10" s="552">
        <f>SUM(K11:K12)</f>
        <v>21191000</v>
      </c>
      <c r="L10" s="387" t="e">
        <f>+F9-L9</f>
        <v>#REF!</v>
      </c>
      <c r="M10" s="387"/>
      <c r="N10" s="387"/>
      <c r="O10" s="254">
        <f>+H9-O9</f>
        <v>-2083000</v>
      </c>
      <c r="P10" s="254"/>
      <c r="U10" s="387"/>
      <c r="AG10" s="254"/>
      <c r="AH10" s="254"/>
      <c r="AT10" s="254"/>
      <c r="AU10" s="254"/>
    </row>
    <row r="11" spans="1:47" s="143" customFormat="1" ht="19.5" customHeight="1">
      <c r="A11" s="232"/>
      <c r="B11" s="239" t="s">
        <v>3</v>
      </c>
      <c r="C11" s="553"/>
      <c r="D11" s="235"/>
      <c r="E11" s="242"/>
      <c r="F11" s="237">
        <f>SUM(G11:H11)</f>
        <v>15334000</v>
      </c>
      <c r="G11" s="237">
        <f>+'6.Vốn đtư,SNKT25'!C10</f>
        <v>15334000</v>
      </c>
      <c r="H11" s="238"/>
      <c r="I11" s="238"/>
      <c r="J11" s="238"/>
      <c r="K11" s="238">
        <f>+G11-J11</f>
        <v>15334000</v>
      </c>
      <c r="AU11" s="560"/>
    </row>
    <row r="12" spans="1:47" s="143" customFormat="1" ht="19.5" customHeight="1">
      <c r="A12" s="232"/>
      <c r="B12" s="239" t="s">
        <v>4</v>
      </c>
      <c r="C12" s="553"/>
      <c r="D12" s="235"/>
      <c r="E12" s="242"/>
      <c r="F12" s="237">
        <f>SUM(G12:H12)</f>
        <v>5857000</v>
      </c>
      <c r="G12" s="237">
        <f>+'6.Vốn đtư,SNKT25'!C13</f>
        <v>5857000</v>
      </c>
      <c r="H12" s="238"/>
      <c r="I12" s="238"/>
      <c r="J12" s="238"/>
      <c r="K12" s="238">
        <f>+G12-J12</f>
        <v>5857000</v>
      </c>
    </row>
    <row r="13" spans="1:47" s="231" customFormat="1" ht="19.5" customHeight="1">
      <c r="A13" s="224" t="s">
        <v>37</v>
      </c>
      <c r="B13" s="225" t="s">
        <v>161</v>
      </c>
      <c r="C13" s="226">
        <v>0</v>
      </c>
      <c r="D13" s="227"/>
      <c r="E13" s="228"/>
      <c r="F13" s="229" t="e">
        <f t="shared" ref="F13:AF13" si="0">+F14+F56+F59+F271+F342+F365+F368+F374+F386+F407+F408</f>
        <v>#REF!</v>
      </c>
      <c r="G13" s="229">
        <f t="shared" si="0"/>
        <v>547258512.24992001</v>
      </c>
      <c r="H13" s="229">
        <f t="shared" si="0"/>
        <v>3366400</v>
      </c>
      <c r="I13" s="229">
        <f t="shared" si="0"/>
        <v>642400</v>
      </c>
      <c r="J13" s="229">
        <f t="shared" si="0"/>
        <v>0</v>
      </c>
      <c r="K13" s="229">
        <f t="shared" si="0"/>
        <v>546616112.24992001</v>
      </c>
      <c r="L13" s="229">
        <f t="shared" si="0"/>
        <v>0</v>
      </c>
      <c r="M13" s="229">
        <f t="shared" si="0"/>
        <v>0</v>
      </c>
      <c r="N13" s="229">
        <f t="shared" si="0"/>
        <v>0</v>
      </c>
      <c r="O13" s="229">
        <f t="shared" si="0"/>
        <v>0</v>
      </c>
      <c r="P13" s="229">
        <f t="shared" si="0"/>
        <v>0</v>
      </c>
      <c r="Q13" s="229">
        <f t="shared" si="0"/>
        <v>0</v>
      </c>
      <c r="R13" s="229">
        <f t="shared" si="0"/>
        <v>0</v>
      </c>
      <c r="S13" s="229">
        <f t="shared" si="0"/>
        <v>0</v>
      </c>
      <c r="T13" s="229">
        <f t="shared" si="0"/>
        <v>0</v>
      </c>
      <c r="U13" s="229">
        <f t="shared" si="0"/>
        <v>0</v>
      </c>
      <c r="V13" s="229">
        <f t="shared" si="0"/>
        <v>0</v>
      </c>
      <c r="W13" s="229">
        <f t="shared" si="0"/>
        <v>0</v>
      </c>
      <c r="X13" s="229">
        <f t="shared" si="0"/>
        <v>0</v>
      </c>
      <c r="Y13" s="229">
        <f t="shared" si="0"/>
        <v>0</v>
      </c>
      <c r="Z13" s="229">
        <f t="shared" si="0"/>
        <v>0</v>
      </c>
      <c r="AA13" s="229">
        <f t="shared" si="0"/>
        <v>0</v>
      </c>
      <c r="AB13" s="229">
        <f t="shared" si="0"/>
        <v>0</v>
      </c>
      <c r="AC13" s="229">
        <f t="shared" si="0"/>
        <v>0</v>
      </c>
      <c r="AD13" s="229">
        <f t="shared" si="0"/>
        <v>0</v>
      </c>
      <c r="AE13" s="229">
        <f t="shared" si="0"/>
        <v>0</v>
      </c>
      <c r="AF13" s="229">
        <f t="shared" si="0"/>
        <v>0</v>
      </c>
      <c r="AG13" s="778"/>
      <c r="AH13" s="254"/>
    </row>
    <row r="14" spans="1:47" s="231" customFormat="1" ht="20.25" customHeight="1">
      <c r="A14" s="224">
        <v>1</v>
      </c>
      <c r="B14" s="225" t="s">
        <v>34</v>
      </c>
      <c r="C14" s="226"/>
      <c r="D14" s="227"/>
      <c r="E14" s="228"/>
      <c r="F14" s="229" t="e">
        <f>+F15+F20+F28+#REF!+#REF!+F31+F52</f>
        <v>#REF!</v>
      </c>
      <c r="G14" s="229">
        <f>+G15+G20+G28+G31</f>
        <v>16524300</v>
      </c>
      <c r="H14" s="229">
        <f>+H15+H20+H28+H31</f>
        <v>22700</v>
      </c>
      <c r="I14" s="229">
        <f>+I15+I20+I28+I31</f>
        <v>245400</v>
      </c>
      <c r="J14" s="229">
        <f>+J15+J20+J28+J31</f>
        <v>0</v>
      </c>
      <c r="K14" s="229">
        <f>+K15+K20+K28+K31</f>
        <v>16278900</v>
      </c>
      <c r="O14" s="387"/>
      <c r="P14" s="387"/>
      <c r="Q14" s="387"/>
      <c r="AH14" s="254"/>
    </row>
    <row r="15" spans="1:47" s="231" customFormat="1" ht="20.25" customHeight="1">
      <c r="A15" s="224" t="s">
        <v>177</v>
      </c>
      <c r="B15" s="225" t="s">
        <v>814</v>
      </c>
      <c r="C15" s="226">
        <v>9</v>
      </c>
      <c r="D15" s="227">
        <v>9</v>
      </c>
      <c r="E15" s="228"/>
      <c r="F15" s="229">
        <f>SUM(F16:F18)</f>
        <v>1452700</v>
      </c>
      <c r="G15" s="229">
        <f>SUM(G16:G19)</f>
        <v>1532600</v>
      </c>
      <c r="H15" s="229">
        <f>SUM(H16:H19)</f>
        <v>18000</v>
      </c>
      <c r="I15" s="229">
        <f>SUM(I16:I19)</f>
        <v>0</v>
      </c>
      <c r="J15" s="229">
        <f>SUM(J16:J19)</f>
        <v>0</v>
      </c>
      <c r="K15" s="229">
        <f>SUM(K16:K19)</f>
        <v>1532600</v>
      </c>
      <c r="O15" s="254" t="e">
        <f>+K15+#REF!+#REF!</f>
        <v>#REF!</v>
      </c>
      <c r="P15" s="254"/>
      <c r="AH15" s="249"/>
    </row>
    <row r="16" spans="1:47" s="143" customFormat="1" ht="20.25" customHeight="1">
      <c r="A16" s="224" t="s">
        <v>72</v>
      </c>
      <c r="B16" s="239" t="s">
        <v>1167</v>
      </c>
      <c r="C16" s="234"/>
      <c r="D16" s="235"/>
      <c r="E16" s="241">
        <v>46.75</v>
      </c>
      <c r="F16" s="237">
        <f>SUM(G16:H16)</f>
        <v>1272700</v>
      </c>
      <c r="G16" s="237">
        <v>1272700</v>
      </c>
      <c r="H16" s="238"/>
      <c r="I16" s="238"/>
      <c r="J16" s="238"/>
      <c r="K16" s="238">
        <f>+G16-I16</f>
        <v>1272700</v>
      </c>
    </row>
    <row r="17" spans="1:33" s="143" customFormat="1" ht="22.35" customHeight="1">
      <c r="A17" s="224" t="s">
        <v>72</v>
      </c>
      <c r="B17" s="239" t="s">
        <v>1166</v>
      </c>
      <c r="C17" s="234"/>
      <c r="D17" s="235"/>
      <c r="E17" s="234">
        <v>20000</v>
      </c>
      <c r="F17" s="237">
        <f>SUM(G17:H17)</f>
        <v>180000</v>
      </c>
      <c r="G17" s="237">
        <f>+(C15*E17)-(C15*E17*10%)</f>
        <v>162000</v>
      </c>
      <c r="H17" s="238">
        <f>+C15*E17*10%</f>
        <v>18000</v>
      </c>
      <c r="I17" s="238"/>
      <c r="J17" s="238"/>
      <c r="K17" s="238">
        <f>+G17-I17</f>
        <v>162000</v>
      </c>
      <c r="U17" s="255">
        <f>+E17*C15</f>
        <v>180000</v>
      </c>
    </row>
    <row r="18" spans="1:33" s="143" customFormat="1" ht="22.35" customHeight="1">
      <c r="A18" s="224" t="s">
        <v>72</v>
      </c>
      <c r="B18" s="239" t="s">
        <v>1165</v>
      </c>
      <c r="C18" s="234"/>
      <c r="D18" s="235"/>
      <c r="E18" s="234"/>
      <c r="F18" s="237"/>
      <c r="G18" s="237">
        <v>10800</v>
      </c>
      <c r="H18" s="238"/>
      <c r="I18" s="238"/>
      <c r="J18" s="238"/>
      <c r="K18" s="238">
        <f>+G18-I18</f>
        <v>10800</v>
      </c>
    </row>
    <row r="19" spans="1:33" s="143" customFormat="1" ht="35.25" customHeight="1">
      <c r="A19" s="232" t="s">
        <v>72</v>
      </c>
      <c r="B19" s="251" t="s">
        <v>1249</v>
      </c>
      <c r="C19" s="234"/>
      <c r="D19" s="235"/>
      <c r="E19" s="236"/>
      <c r="F19" s="237"/>
      <c r="G19" s="237">
        <v>87100</v>
      </c>
      <c r="H19" s="238"/>
      <c r="I19" s="238"/>
      <c r="J19" s="238"/>
      <c r="K19" s="238">
        <f>+G19-I19</f>
        <v>87100</v>
      </c>
    </row>
    <row r="20" spans="1:33" s="143" customFormat="1" ht="20.100000000000001" customHeight="1">
      <c r="A20" s="224" t="s">
        <v>178</v>
      </c>
      <c r="B20" s="225" t="s">
        <v>6</v>
      </c>
      <c r="C20" s="226">
        <v>2</v>
      </c>
      <c r="D20" s="227">
        <v>1</v>
      </c>
      <c r="E20" s="228"/>
      <c r="F20" s="229">
        <f>SUM(F21:F25)</f>
        <v>257600</v>
      </c>
      <c r="G20" s="229">
        <f>SUM(G21:G25)</f>
        <v>258700</v>
      </c>
      <c r="H20" s="230">
        <f>SUM(H21:H25)</f>
        <v>4700</v>
      </c>
      <c r="I20" s="230"/>
      <c r="J20" s="230">
        <f>SUM(J21:J25)</f>
        <v>0</v>
      </c>
      <c r="K20" s="230">
        <f>SUM(K21:K25)</f>
        <v>258700</v>
      </c>
    </row>
    <row r="21" spans="1:33" s="143" customFormat="1" ht="20.100000000000001" customHeight="1">
      <c r="A21" s="232"/>
      <c r="B21" s="239" t="s">
        <v>133</v>
      </c>
      <c r="C21" s="234"/>
      <c r="D21" s="235"/>
      <c r="E21" s="252">
        <v>2.99</v>
      </c>
      <c r="F21" s="237">
        <f>SUM(G21:H21)</f>
        <v>84000</v>
      </c>
      <c r="G21" s="237">
        <v>84000</v>
      </c>
      <c r="H21" s="238"/>
      <c r="I21" s="238"/>
      <c r="J21" s="238"/>
      <c r="K21" s="238">
        <f t="shared" ref="K21:K27" si="1">+G21-J21</f>
        <v>84000</v>
      </c>
    </row>
    <row r="22" spans="1:33" s="143" customFormat="1" ht="20.100000000000001" customHeight="1">
      <c r="A22" s="232"/>
      <c r="B22" s="239" t="s">
        <v>5</v>
      </c>
      <c r="C22" s="234"/>
      <c r="D22" s="235"/>
      <c r="E22" s="234">
        <v>20000</v>
      </c>
      <c r="F22" s="237">
        <f>SUM(G22:H22)</f>
        <v>40000</v>
      </c>
      <c r="G22" s="237">
        <f>+(C20*E22)-(C20*E22*10%)</f>
        <v>36000</v>
      </c>
      <c r="H22" s="253">
        <f>+C20*E22*10%</f>
        <v>4000</v>
      </c>
      <c r="I22" s="253"/>
      <c r="J22" s="238"/>
      <c r="K22" s="238">
        <f t="shared" si="1"/>
        <v>36000</v>
      </c>
      <c r="O22" s="143">
        <f>+E22*10%</f>
        <v>2000</v>
      </c>
    </row>
    <row r="23" spans="1:33" s="143" customFormat="1" ht="20.100000000000001" customHeight="1">
      <c r="A23" s="232"/>
      <c r="B23" s="233" t="s">
        <v>14</v>
      </c>
      <c r="C23" s="234"/>
      <c r="D23" s="235">
        <f>C20-D20</f>
        <v>1</v>
      </c>
      <c r="E23" s="236">
        <f>2.34+0.4+(2.34*0.235)+(0.4*9.73%*0.235)</f>
        <v>3.2990461999999998</v>
      </c>
      <c r="F23" s="237">
        <f>SUM(G23:H23)</f>
        <v>71300</v>
      </c>
      <c r="G23" s="237">
        <v>71300</v>
      </c>
      <c r="H23" s="238"/>
      <c r="I23" s="238"/>
      <c r="J23" s="238"/>
      <c r="K23" s="238">
        <f t="shared" si="1"/>
        <v>71300</v>
      </c>
    </row>
    <row r="24" spans="1:33" s="143" customFormat="1" ht="36" customHeight="1">
      <c r="A24" s="232"/>
      <c r="B24" s="251" t="s">
        <v>1250</v>
      </c>
      <c r="C24" s="234"/>
      <c r="D24" s="235"/>
      <c r="E24" s="236"/>
      <c r="F24" s="237"/>
      <c r="G24" s="237">
        <v>5800</v>
      </c>
      <c r="H24" s="238"/>
      <c r="I24" s="238"/>
      <c r="J24" s="238"/>
      <c r="K24" s="238">
        <f t="shared" si="1"/>
        <v>5800</v>
      </c>
    </row>
    <row r="25" spans="1:33" s="143" customFormat="1" ht="20.100000000000001" customHeight="1">
      <c r="A25" s="232"/>
      <c r="B25" s="239" t="s">
        <v>538</v>
      </c>
      <c r="C25" s="234">
        <v>1</v>
      </c>
      <c r="D25" s="235">
        <v>1</v>
      </c>
      <c r="E25" s="242"/>
      <c r="F25" s="237">
        <f>SUM(G25:H25)</f>
        <v>62300</v>
      </c>
      <c r="G25" s="237">
        <f>G26+G27</f>
        <v>61600</v>
      </c>
      <c r="H25" s="425">
        <f>H26+H27</f>
        <v>700</v>
      </c>
      <c r="I25" s="425"/>
      <c r="J25" s="425">
        <f>J26+J27</f>
        <v>0</v>
      </c>
      <c r="K25" s="238">
        <f t="shared" si="1"/>
        <v>61600</v>
      </c>
    </row>
    <row r="26" spans="1:33" s="248" customFormat="1" ht="20.100000000000001" customHeight="1">
      <c r="A26" s="243"/>
      <c r="B26" s="426" t="s">
        <v>539</v>
      </c>
      <c r="C26" s="245"/>
      <c r="D26" s="246"/>
      <c r="E26" s="427">
        <v>4610</v>
      </c>
      <c r="F26" s="237">
        <f>SUM(G26:H26)</f>
        <v>55300</v>
      </c>
      <c r="G26" s="247">
        <v>55300</v>
      </c>
      <c r="H26" s="428"/>
      <c r="I26" s="428"/>
      <c r="J26" s="238"/>
      <c r="K26" s="238">
        <f t="shared" si="1"/>
        <v>55300</v>
      </c>
    </row>
    <row r="27" spans="1:33" s="248" customFormat="1" ht="20.100000000000001" customHeight="1">
      <c r="A27" s="243"/>
      <c r="B27" s="244" t="s">
        <v>540</v>
      </c>
      <c r="C27" s="245"/>
      <c r="D27" s="246"/>
      <c r="E27" s="245">
        <v>7000</v>
      </c>
      <c r="F27" s="237">
        <f>SUM(G27:H27)</f>
        <v>7000</v>
      </c>
      <c r="G27" s="247">
        <f>+(C25*E27)-(C25*E27*10%)</f>
        <v>6300</v>
      </c>
      <c r="H27" s="429">
        <f>+E27*10%</f>
        <v>700</v>
      </c>
      <c r="I27" s="429"/>
      <c r="J27" s="429"/>
      <c r="K27" s="238">
        <f t="shared" si="1"/>
        <v>6300</v>
      </c>
    </row>
    <row r="28" spans="1:33" s="231" customFormat="1" ht="20.100000000000001" customHeight="1">
      <c r="A28" s="224" t="s">
        <v>153</v>
      </c>
      <c r="B28" s="225" t="s">
        <v>201</v>
      </c>
      <c r="C28" s="226"/>
      <c r="D28" s="227"/>
      <c r="E28" s="228"/>
      <c r="F28" s="229">
        <f t="shared" ref="F28:K28" si="2">SUM(F29:F30)</f>
        <v>625000</v>
      </c>
      <c r="G28" s="229">
        <f t="shared" si="2"/>
        <v>625000</v>
      </c>
      <c r="H28" s="230">
        <f t="shared" si="2"/>
        <v>0</v>
      </c>
      <c r="I28" s="230">
        <f t="shared" si="2"/>
        <v>0</v>
      </c>
      <c r="J28" s="230">
        <f t="shared" si="2"/>
        <v>0</v>
      </c>
      <c r="K28" s="230">
        <f t="shared" si="2"/>
        <v>625000</v>
      </c>
    </row>
    <row r="29" spans="1:33" s="143" customFormat="1" ht="20.100000000000001" customHeight="1">
      <c r="A29" s="232" t="s">
        <v>441</v>
      </c>
      <c r="B29" s="239" t="s">
        <v>1164</v>
      </c>
      <c r="C29" s="234"/>
      <c r="D29" s="235"/>
      <c r="E29" s="242"/>
      <c r="F29" s="237">
        <f>SUM(G29:H29)</f>
        <v>125000</v>
      </c>
      <c r="G29" s="237">
        <f>+'6.Vốn đtư,SNKT25'!D27</f>
        <v>125000</v>
      </c>
      <c r="H29" s="238"/>
      <c r="I29" s="238"/>
      <c r="J29" s="238"/>
      <c r="K29" s="238">
        <f>+G29-J29</f>
        <v>125000</v>
      </c>
    </row>
    <row r="30" spans="1:33" s="143" customFormat="1" ht="30" customHeight="1">
      <c r="A30" s="232" t="s">
        <v>441</v>
      </c>
      <c r="B30" s="294" t="s">
        <v>300</v>
      </c>
      <c r="C30" s="234"/>
      <c r="D30" s="235"/>
      <c r="E30" s="242"/>
      <c r="F30" s="237">
        <f>SUM(G30:H30)</f>
        <v>500000</v>
      </c>
      <c r="G30" s="237">
        <f>+'6.Vốn đtư,SNKT25'!D31</f>
        <v>500000</v>
      </c>
      <c r="H30" s="238"/>
      <c r="I30" s="238"/>
      <c r="J30" s="238"/>
      <c r="K30" s="238">
        <f>+G30-J30</f>
        <v>500000</v>
      </c>
    </row>
    <row r="31" spans="1:33" s="231" customFormat="1" ht="17.25" customHeight="1">
      <c r="A31" s="224" t="s">
        <v>154</v>
      </c>
      <c r="B31" s="225" t="s">
        <v>861</v>
      </c>
      <c r="C31" s="226"/>
      <c r="D31" s="227"/>
      <c r="E31" s="228"/>
      <c r="F31" s="229" t="e">
        <f>+#REF!+F34+F40</f>
        <v>#REF!</v>
      </c>
      <c r="G31" s="229">
        <f>+G32+G34+G46+G48+G50+G52</f>
        <v>14108000</v>
      </c>
      <c r="H31" s="229">
        <f t="shared" ref="H31:K31" si="3">+H32+H34+H46+H48+H50+H52</f>
        <v>0</v>
      </c>
      <c r="I31" s="229">
        <f t="shared" si="3"/>
        <v>245400</v>
      </c>
      <c r="J31" s="229">
        <f t="shared" si="3"/>
        <v>0</v>
      </c>
      <c r="K31" s="229">
        <f t="shared" si="3"/>
        <v>13862600</v>
      </c>
      <c r="L31" s="229" t="e">
        <f>+L32+#REF!+L34+L40+L52+L55</f>
        <v>#REF!</v>
      </c>
      <c r="M31" s="229" t="e">
        <f>+M32+#REF!+M34+M40+M52+M55</f>
        <v>#REF!</v>
      </c>
      <c r="N31" s="229" t="e">
        <f>+N32+#REF!+N34+N40+N52+N55</f>
        <v>#REF!</v>
      </c>
      <c r="O31" s="229" t="e">
        <f>+O32+#REF!+O34+O40+O52+O55</f>
        <v>#REF!</v>
      </c>
      <c r="P31" s="229" t="e">
        <f>+P32+#REF!+P34+P40+P52+P55</f>
        <v>#REF!</v>
      </c>
      <c r="Q31" s="229" t="e">
        <f>+Q32+#REF!+Q34+Q40+Q52+Q55</f>
        <v>#REF!</v>
      </c>
      <c r="R31" s="229" t="e">
        <f>+R32+#REF!+R34+R40+R52+R55</f>
        <v>#REF!</v>
      </c>
      <c r="S31" s="229" t="e">
        <f>+S32+#REF!+S34+S40+S52+S55</f>
        <v>#REF!</v>
      </c>
      <c r="T31" s="229" t="e">
        <f>+T32+#REF!+T34+T40+T52+T55</f>
        <v>#REF!</v>
      </c>
      <c r="U31" s="229" t="e">
        <f>+U32+#REF!+U34+U40+U52+U55</f>
        <v>#REF!</v>
      </c>
      <c r="V31" s="229" t="e">
        <f>+V32+#REF!+V34+V40+V52+V55</f>
        <v>#REF!</v>
      </c>
      <c r="W31" s="229" t="e">
        <f>+W32+#REF!+W34+W40+W52+W55</f>
        <v>#REF!</v>
      </c>
      <c r="X31" s="229" t="e">
        <f>+X32+#REF!+X34+X40+X52+X55</f>
        <v>#REF!</v>
      </c>
      <c r="Y31" s="229" t="e">
        <f>+Y32+#REF!+Y34+Y40+Y52+Y55</f>
        <v>#REF!</v>
      </c>
      <c r="Z31" s="229" t="e">
        <f>+Z32+#REF!+Z34+Z40+Z52+Z55</f>
        <v>#REF!</v>
      </c>
      <c r="AA31" s="229" t="e">
        <f>+AA32+#REF!+AA34+AA40+AA52+AA55</f>
        <v>#REF!</v>
      </c>
      <c r="AB31" s="229" t="e">
        <f>+AB32+#REF!+AB34+AB40+AB52+AB55</f>
        <v>#REF!</v>
      </c>
      <c r="AC31" s="229" t="e">
        <f>+AC32+#REF!+AC34+AC40+AC52+AC55</f>
        <v>#REF!</v>
      </c>
      <c r="AD31" s="229" t="e">
        <f>+AD32+#REF!+AD34+AD40+AD52+AD55</f>
        <v>#REF!</v>
      </c>
      <c r="AE31" s="229" t="e">
        <f>+AE32+#REF!+AE34+AE40+AE52+AE55</f>
        <v>#REF!</v>
      </c>
      <c r="AF31" s="229" t="e">
        <f>+AF32+#REF!+AF34+AF40+AF52+AF55</f>
        <v>#REF!</v>
      </c>
      <c r="AG31" s="778"/>
    </row>
    <row r="32" spans="1:33" s="231" customFormat="1" ht="17.25" customHeight="1">
      <c r="A32" s="224" t="s">
        <v>643</v>
      </c>
      <c r="B32" s="539" t="s">
        <v>645</v>
      </c>
      <c r="C32" s="226"/>
      <c r="D32" s="227"/>
      <c r="E32" s="228"/>
      <c r="F32" s="229"/>
      <c r="G32" s="229">
        <f>SUM(G33:G33)</f>
        <v>831000</v>
      </c>
      <c r="H32" s="229">
        <f>SUM(H33:H33)</f>
        <v>0</v>
      </c>
      <c r="I32" s="229">
        <f>SUM(I33:I33)</f>
        <v>0</v>
      </c>
      <c r="J32" s="229">
        <f>SUM(J33:J33)</f>
        <v>0</v>
      </c>
      <c r="K32" s="229">
        <f>SUM(K33:K33)</f>
        <v>831000</v>
      </c>
    </row>
    <row r="33" spans="1:45" s="143" customFormat="1" ht="18.75" customHeight="1">
      <c r="A33" s="232" t="s">
        <v>72</v>
      </c>
      <c r="B33" s="283" t="s">
        <v>1265</v>
      </c>
      <c r="C33" s="234"/>
      <c r="D33" s="235"/>
      <c r="E33" s="242"/>
      <c r="F33" s="237"/>
      <c r="G33" s="237">
        <f>+'6.Vốn đtư,SNKT25'!D34</f>
        <v>831000</v>
      </c>
      <c r="H33" s="237"/>
      <c r="I33" s="237"/>
      <c r="J33" s="237"/>
      <c r="K33" s="425">
        <f>+G33</f>
        <v>831000</v>
      </c>
    </row>
    <row r="34" spans="1:45" s="408" customFormat="1" ht="21.6" customHeight="1">
      <c r="A34" s="424" t="s">
        <v>644</v>
      </c>
      <c r="B34" s="434" t="s">
        <v>517</v>
      </c>
      <c r="C34" s="434"/>
      <c r="D34" s="434"/>
      <c r="E34" s="434"/>
      <c r="F34" s="406">
        <f>SUM(F36:F38)</f>
        <v>804000</v>
      </c>
      <c r="G34" s="406">
        <f>G35+G39+G40</f>
        <v>11951000</v>
      </c>
      <c r="H34" s="406">
        <f t="shared" ref="H34:K34" si="4">H35+H39+H40</f>
        <v>0</v>
      </c>
      <c r="I34" s="406">
        <f t="shared" si="4"/>
        <v>245400</v>
      </c>
      <c r="J34" s="406">
        <f t="shared" si="4"/>
        <v>0</v>
      </c>
      <c r="K34" s="406">
        <f t="shared" si="4"/>
        <v>11705600</v>
      </c>
      <c r="L34" s="406">
        <f t="shared" ref="L34:AF34" si="5">L35+L40</f>
        <v>0</v>
      </c>
      <c r="M34" s="406">
        <f t="shared" si="5"/>
        <v>0</v>
      </c>
      <c r="N34" s="406">
        <f t="shared" si="5"/>
        <v>0</v>
      </c>
      <c r="O34" s="406">
        <f t="shared" si="5"/>
        <v>0</v>
      </c>
      <c r="P34" s="406">
        <f t="shared" si="5"/>
        <v>0</v>
      </c>
      <c r="Q34" s="406">
        <f t="shared" si="5"/>
        <v>0</v>
      </c>
      <c r="R34" s="406">
        <f t="shared" si="5"/>
        <v>0</v>
      </c>
      <c r="S34" s="406">
        <f t="shared" si="5"/>
        <v>0</v>
      </c>
      <c r="T34" s="406">
        <f t="shared" si="5"/>
        <v>0</v>
      </c>
      <c r="U34" s="406">
        <f t="shared" si="5"/>
        <v>0</v>
      </c>
      <c r="V34" s="406">
        <f t="shared" si="5"/>
        <v>0</v>
      </c>
      <c r="W34" s="406">
        <f t="shared" si="5"/>
        <v>0</v>
      </c>
      <c r="X34" s="406">
        <f t="shared" si="5"/>
        <v>0</v>
      </c>
      <c r="Y34" s="406">
        <f t="shared" si="5"/>
        <v>0</v>
      </c>
      <c r="Z34" s="406">
        <f t="shared" si="5"/>
        <v>0</v>
      </c>
      <c r="AA34" s="406">
        <f t="shared" si="5"/>
        <v>0</v>
      </c>
      <c r="AB34" s="406">
        <f t="shared" si="5"/>
        <v>0</v>
      </c>
      <c r="AC34" s="406">
        <f t="shared" si="5"/>
        <v>0</v>
      </c>
      <c r="AD34" s="406">
        <f t="shared" si="5"/>
        <v>0</v>
      </c>
      <c r="AE34" s="406">
        <f t="shared" si="5"/>
        <v>0</v>
      </c>
      <c r="AF34" s="406">
        <f t="shared" si="5"/>
        <v>0</v>
      </c>
      <c r="AG34" s="779"/>
    </row>
    <row r="35" spans="1:45" s="987" customFormat="1" ht="21.6" customHeight="1">
      <c r="A35" s="309" t="s">
        <v>72</v>
      </c>
      <c r="B35" s="283" t="s">
        <v>1184</v>
      </c>
      <c r="C35" s="283"/>
      <c r="D35" s="283"/>
      <c r="E35" s="283"/>
      <c r="F35" s="237"/>
      <c r="G35" s="310">
        <f>SUM(G36:G38)</f>
        <v>804000</v>
      </c>
      <c r="H35" s="310">
        <f t="shared" ref="H35:K35" si="6">SUM(H36:H38)</f>
        <v>0</v>
      </c>
      <c r="I35" s="310">
        <f t="shared" si="6"/>
        <v>0</v>
      </c>
      <c r="J35" s="310">
        <f t="shared" si="6"/>
        <v>0</v>
      </c>
      <c r="K35" s="310">
        <f t="shared" si="6"/>
        <v>804000</v>
      </c>
    </row>
    <row r="36" spans="1:45" s="317" customFormat="1" ht="35.25" customHeight="1">
      <c r="A36" s="312" t="s">
        <v>1</v>
      </c>
      <c r="B36" s="313" t="s">
        <v>477</v>
      </c>
      <c r="C36" s="313"/>
      <c r="D36" s="313"/>
      <c r="E36" s="313"/>
      <c r="F36" s="247">
        <f>SUM(G36:H36)</f>
        <v>192000</v>
      </c>
      <c r="G36" s="314">
        <f>+'6.Vốn đtư,SNKT25'!D37</f>
        <v>192000</v>
      </c>
      <c r="H36" s="313"/>
      <c r="I36" s="313"/>
      <c r="J36" s="315"/>
      <c r="K36" s="316">
        <f>+G36-J36</f>
        <v>192000</v>
      </c>
    </row>
    <row r="37" spans="1:45" s="317" customFormat="1" ht="21.6" customHeight="1">
      <c r="A37" s="312" t="s">
        <v>1</v>
      </c>
      <c r="B37" s="313" t="s">
        <v>478</v>
      </c>
      <c r="C37" s="313"/>
      <c r="D37" s="313"/>
      <c r="E37" s="313"/>
      <c r="F37" s="247">
        <f>SUM(G37:H37)</f>
        <v>258000</v>
      </c>
      <c r="G37" s="314">
        <f>+'6.Vốn đtư,SNKT25'!D38</f>
        <v>258000</v>
      </c>
      <c r="H37" s="313"/>
      <c r="I37" s="313"/>
      <c r="J37" s="315"/>
      <c r="K37" s="318">
        <f>+G37-J37</f>
        <v>258000</v>
      </c>
    </row>
    <row r="38" spans="1:45" s="317" customFormat="1" ht="21.6" customHeight="1">
      <c r="A38" s="312" t="s">
        <v>1</v>
      </c>
      <c r="B38" s="313" t="s">
        <v>479</v>
      </c>
      <c r="C38" s="313"/>
      <c r="D38" s="313"/>
      <c r="E38" s="313"/>
      <c r="F38" s="247">
        <f>SUM(G38:H38)</f>
        <v>354000</v>
      </c>
      <c r="G38" s="314">
        <f>+'6.Vốn đtư,SNKT25'!D39</f>
        <v>354000</v>
      </c>
      <c r="H38" s="313"/>
      <c r="I38" s="313"/>
      <c r="J38" s="315"/>
      <c r="K38" s="318">
        <f>+G38-I38-J38</f>
        <v>354000</v>
      </c>
    </row>
    <row r="39" spans="1:45" s="987" customFormat="1" ht="21.6" customHeight="1">
      <c r="A39" s="309" t="s">
        <v>72</v>
      </c>
      <c r="B39" s="919" t="s">
        <v>1508</v>
      </c>
      <c r="C39" s="283"/>
      <c r="D39" s="283"/>
      <c r="E39" s="283"/>
      <c r="F39" s="237"/>
      <c r="G39" s="310">
        <f>+'6.Vốn đtư,SNKT25'!D40</f>
        <v>600000</v>
      </c>
      <c r="H39" s="283"/>
      <c r="I39" s="283"/>
      <c r="J39" s="319"/>
      <c r="K39" s="320">
        <f>+G39-I39-J39</f>
        <v>600000</v>
      </c>
    </row>
    <row r="40" spans="1:45" s="987" customFormat="1" ht="21.6" customHeight="1">
      <c r="A40" s="309" t="s">
        <v>72</v>
      </c>
      <c r="B40" s="396" t="s">
        <v>457</v>
      </c>
      <c r="C40" s="283"/>
      <c r="D40" s="283"/>
      <c r="E40" s="283"/>
      <c r="F40" s="310">
        <f>SUM(F41:F42)</f>
        <v>8010000</v>
      </c>
      <c r="G40" s="310">
        <f>SUM(G41:G45)</f>
        <v>10547000</v>
      </c>
      <c r="H40" s="310">
        <f>SUM(H41:H45)</f>
        <v>0</v>
      </c>
      <c r="I40" s="310">
        <f>SUM(I41:I45)</f>
        <v>245400</v>
      </c>
      <c r="J40" s="310">
        <f>SUM(J41:J45)</f>
        <v>0</v>
      </c>
      <c r="K40" s="310">
        <f>SUM(K41:K45)</f>
        <v>10301600</v>
      </c>
      <c r="L40" s="310">
        <f t="shared" ref="L40:AF40" si="7">SUM(L41:L44)</f>
        <v>0</v>
      </c>
      <c r="M40" s="310">
        <f t="shared" si="7"/>
        <v>0</v>
      </c>
      <c r="N40" s="310">
        <f t="shared" si="7"/>
        <v>0</v>
      </c>
      <c r="O40" s="310">
        <f t="shared" si="7"/>
        <v>0</v>
      </c>
      <c r="P40" s="310">
        <f t="shared" si="7"/>
        <v>0</v>
      </c>
      <c r="Q40" s="310">
        <f t="shared" si="7"/>
        <v>0</v>
      </c>
      <c r="R40" s="310">
        <f t="shared" si="7"/>
        <v>0</v>
      </c>
      <c r="S40" s="310">
        <f t="shared" si="7"/>
        <v>0</v>
      </c>
      <c r="T40" s="310">
        <f t="shared" si="7"/>
        <v>0</v>
      </c>
      <c r="U40" s="310">
        <f t="shared" si="7"/>
        <v>0</v>
      </c>
      <c r="V40" s="310">
        <f t="shared" si="7"/>
        <v>0</v>
      </c>
      <c r="W40" s="310">
        <f t="shared" si="7"/>
        <v>0</v>
      </c>
      <c r="X40" s="310">
        <f t="shared" si="7"/>
        <v>0</v>
      </c>
      <c r="Y40" s="310">
        <f t="shared" si="7"/>
        <v>0</v>
      </c>
      <c r="Z40" s="310">
        <f t="shared" si="7"/>
        <v>0</v>
      </c>
      <c r="AA40" s="310">
        <f t="shared" si="7"/>
        <v>0</v>
      </c>
      <c r="AB40" s="310">
        <f t="shared" si="7"/>
        <v>0</v>
      </c>
      <c r="AC40" s="310">
        <f t="shared" si="7"/>
        <v>0</v>
      </c>
      <c r="AD40" s="310">
        <f t="shared" si="7"/>
        <v>0</v>
      </c>
      <c r="AE40" s="310">
        <f t="shared" si="7"/>
        <v>0</v>
      </c>
      <c r="AF40" s="310">
        <f t="shared" si="7"/>
        <v>0</v>
      </c>
      <c r="AG40" s="780"/>
    </row>
    <row r="41" spans="1:45" s="317" customFormat="1" ht="35.25" customHeight="1">
      <c r="A41" s="312" t="s">
        <v>1</v>
      </c>
      <c r="B41" s="313" t="s">
        <v>1178</v>
      </c>
      <c r="C41" s="313"/>
      <c r="D41" s="313"/>
      <c r="E41" s="313"/>
      <c r="F41" s="247">
        <f>SUM(G41:H41)</f>
        <v>2200000</v>
      </c>
      <c r="G41" s="314">
        <v>2200000</v>
      </c>
      <c r="H41" s="313"/>
      <c r="I41" s="314">
        <f>+(G41+610000+G43-1400000)*0.1</f>
        <v>163000</v>
      </c>
      <c r="J41" s="315"/>
      <c r="K41" s="318">
        <f t="shared" ref="K41:K45" si="8">+G41-I41-J41</f>
        <v>2037000</v>
      </c>
    </row>
    <row r="42" spans="1:45" s="317" customFormat="1" ht="30.75" customHeight="1">
      <c r="A42" s="312" t="s">
        <v>1</v>
      </c>
      <c r="B42" s="313" t="str">
        <f>+'6.Vốn đtư,SNKT25'!B44</f>
        <v>Cải tạo, nâng cấp xây dựng mới một số hạng mục Bãi rác huyện Na Rì</v>
      </c>
      <c r="C42" s="313"/>
      <c r="D42" s="313"/>
      <c r="E42" s="313"/>
      <c r="F42" s="247">
        <f>SUM(G42:H42)</f>
        <v>5810000</v>
      </c>
      <c r="G42" s="314">
        <f>+'6.Vốn đtư,SNKT25'!D44</f>
        <v>5810000</v>
      </c>
      <c r="H42" s="313"/>
      <c r="I42" s="314"/>
      <c r="J42" s="315"/>
      <c r="K42" s="318">
        <f t="shared" si="8"/>
        <v>5810000</v>
      </c>
    </row>
    <row r="43" spans="1:45" s="317" customFormat="1" ht="53.25" customHeight="1">
      <c r="A43" s="312" t="s">
        <v>1</v>
      </c>
      <c r="B43" s="313" t="s">
        <v>1181</v>
      </c>
      <c r="C43" s="313"/>
      <c r="D43" s="313"/>
      <c r="E43" s="313"/>
      <c r="F43" s="247"/>
      <c r="G43" s="314">
        <v>220000</v>
      </c>
      <c r="H43" s="313"/>
      <c r="I43" s="314"/>
      <c r="J43" s="315"/>
      <c r="K43" s="318">
        <f t="shared" si="8"/>
        <v>220000</v>
      </c>
    </row>
    <row r="44" spans="1:45" s="317" customFormat="1" ht="25.5" customHeight="1">
      <c r="A44" s="312" t="s">
        <v>1</v>
      </c>
      <c r="B44" s="540" t="s">
        <v>1290</v>
      </c>
      <c r="C44" s="313"/>
      <c r="D44" s="313"/>
      <c r="E44" s="313"/>
      <c r="F44" s="247"/>
      <c r="G44" s="314">
        <v>1577000</v>
      </c>
      <c r="H44" s="313"/>
      <c r="I44" s="314">
        <f>+((G44-1492800)*0.1)-20</f>
        <v>8400</v>
      </c>
      <c r="J44" s="315"/>
      <c r="K44" s="318">
        <f t="shared" si="8"/>
        <v>1568600</v>
      </c>
    </row>
    <row r="45" spans="1:45" s="317" customFormat="1" ht="36" customHeight="1">
      <c r="A45" s="312" t="s">
        <v>1</v>
      </c>
      <c r="B45" s="982" t="s">
        <v>1324</v>
      </c>
      <c r="C45" s="313"/>
      <c r="D45" s="313"/>
      <c r="E45" s="313"/>
      <c r="F45" s="247"/>
      <c r="G45" s="314">
        <v>740000</v>
      </c>
      <c r="H45" s="313"/>
      <c r="I45" s="314">
        <f>+G45*0.1</f>
        <v>74000</v>
      </c>
      <c r="J45" s="315"/>
      <c r="K45" s="318">
        <f t="shared" si="8"/>
        <v>666000</v>
      </c>
    </row>
    <row r="46" spans="1:45" s="408" customFormat="1" ht="25.5" customHeight="1">
      <c r="A46" s="424" t="s">
        <v>648</v>
      </c>
      <c r="B46" s="993" t="s">
        <v>1312</v>
      </c>
      <c r="C46" s="434"/>
      <c r="D46" s="434"/>
      <c r="E46" s="434"/>
      <c r="F46" s="229"/>
      <c r="G46" s="406">
        <f>+G47</f>
        <v>100000</v>
      </c>
      <c r="H46" s="406">
        <f t="shared" ref="H46:AS46" si="9">+H47</f>
        <v>0</v>
      </c>
      <c r="I46" s="406">
        <f t="shared" si="9"/>
        <v>0</v>
      </c>
      <c r="J46" s="406">
        <f t="shared" si="9"/>
        <v>0</v>
      </c>
      <c r="K46" s="406">
        <f t="shared" si="9"/>
        <v>100000</v>
      </c>
      <c r="L46" s="406">
        <f t="shared" si="9"/>
        <v>0</v>
      </c>
      <c r="M46" s="406">
        <f t="shared" si="9"/>
        <v>0</v>
      </c>
      <c r="N46" s="406">
        <f t="shared" si="9"/>
        <v>0</v>
      </c>
      <c r="O46" s="406">
        <f t="shared" si="9"/>
        <v>0</v>
      </c>
      <c r="P46" s="406">
        <f t="shared" si="9"/>
        <v>0</v>
      </c>
      <c r="Q46" s="406">
        <f t="shared" si="9"/>
        <v>0</v>
      </c>
      <c r="R46" s="406">
        <f t="shared" si="9"/>
        <v>0</v>
      </c>
      <c r="S46" s="406">
        <f t="shared" si="9"/>
        <v>0</v>
      </c>
      <c r="T46" s="406">
        <f t="shared" si="9"/>
        <v>0</v>
      </c>
      <c r="U46" s="406">
        <f t="shared" si="9"/>
        <v>0</v>
      </c>
      <c r="V46" s="406">
        <f t="shared" si="9"/>
        <v>0</v>
      </c>
      <c r="W46" s="406">
        <f t="shared" si="9"/>
        <v>0</v>
      </c>
      <c r="X46" s="406">
        <f t="shared" si="9"/>
        <v>0</v>
      </c>
      <c r="Y46" s="406">
        <f t="shared" si="9"/>
        <v>0</v>
      </c>
      <c r="Z46" s="406">
        <f t="shared" si="9"/>
        <v>0</v>
      </c>
      <c r="AA46" s="406">
        <f t="shared" si="9"/>
        <v>0</v>
      </c>
      <c r="AB46" s="406">
        <f t="shared" si="9"/>
        <v>0</v>
      </c>
      <c r="AC46" s="406">
        <f t="shared" si="9"/>
        <v>0</v>
      </c>
      <c r="AD46" s="406">
        <f t="shared" si="9"/>
        <v>0</v>
      </c>
      <c r="AE46" s="406">
        <f t="shared" si="9"/>
        <v>0</v>
      </c>
      <c r="AF46" s="406">
        <f t="shared" si="9"/>
        <v>0</v>
      </c>
      <c r="AG46" s="406">
        <f t="shared" si="9"/>
        <v>0</v>
      </c>
      <c r="AH46" s="406">
        <f t="shared" si="9"/>
        <v>0</v>
      </c>
      <c r="AI46" s="406">
        <f t="shared" si="9"/>
        <v>0</v>
      </c>
      <c r="AJ46" s="406">
        <f t="shared" si="9"/>
        <v>0</v>
      </c>
      <c r="AK46" s="406">
        <f t="shared" si="9"/>
        <v>0</v>
      </c>
      <c r="AL46" s="406">
        <f t="shared" si="9"/>
        <v>0</v>
      </c>
      <c r="AM46" s="406">
        <f t="shared" si="9"/>
        <v>0</v>
      </c>
      <c r="AN46" s="406">
        <f t="shared" si="9"/>
        <v>0</v>
      </c>
      <c r="AO46" s="406">
        <f t="shared" si="9"/>
        <v>0</v>
      </c>
      <c r="AP46" s="406">
        <f t="shared" si="9"/>
        <v>0</v>
      </c>
      <c r="AQ46" s="406">
        <f t="shared" si="9"/>
        <v>0</v>
      </c>
      <c r="AR46" s="406">
        <f t="shared" si="9"/>
        <v>0</v>
      </c>
      <c r="AS46" s="406">
        <f t="shared" si="9"/>
        <v>0</v>
      </c>
    </row>
    <row r="47" spans="1:45" s="987" customFormat="1" ht="25.5" customHeight="1">
      <c r="A47" s="309" t="s">
        <v>72</v>
      </c>
      <c r="B47" s="920" t="s">
        <v>1551</v>
      </c>
      <c r="C47" s="283"/>
      <c r="D47" s="283"/>
      <c r="E47" s="283"/>
      <c r="F47" s="237"/>
      <c r="G47" s="310">
        <f>+'6.Vốn đtư,SNKT25'!D49</f>
        <v>100000</v>
      </c>
      <c r="H47" s="283"/>
      <c r="I47" s="310"/>
      <c r="J47" s="319"/>
      <c r="K47" s="320">
        <f t="shared" ref="K47" si="10">+G47</f>
        <v>100000</v>
      </c>
    </row>
    <row r="48" spans="1:45" s="987" customFormat="1" ht="25.5" customHeight="1">
      <c r="A48" s="424" t="s">
        <v>1552</v>
      </c>
      <c r="B48" s="515" t="s">
        <v>1313</v>
      </c>
      <c r="C48" s="283"/>
      <c r="D48" s="283"/>
      <c r="E48" s="283"/>
      <c r="F48" s="237"/>
      <c r="G48" s="406">
        <f>+G49</f>
        <v>500000</v>
      </c>
      <c r="H48" s="406">
        <f t="shared" ref="H48:K48" si="11">+H49</f>
        <v>0</v>
      </c>
      <c r="I48" s="406">
        <f t="shared" si="11"/>
        <v>0</v>
      </c>
      <c r="J48" s="406">
        <f t="shared" si="11"/>
        <v>0</v>
      </c>
      <c r="K48" s="406">
        <f t="shared" si="11"/>
        <v>500000</v>
      </c>
    </row>
    <row r="49" spans="1:34" s="987" customFormat="1" ht="25.5" customHeight="1">
      <c r="A49" s="309" t="s">
        <v>72</v>
      </c>
      <c r="B49" s="920" t="s">
        <v>1550</v>
      </c>
      <c r="C49" s="283"/>
      <c r="D49" s="283"/>
      <c r="E49" s="283"/>
      <c r="F49" s="237"/>
      <c r="G49" s="310">
        <f>+'6.Vốn đtư,SNKT25'!D50</f>
        <v>500000</v>
      </c>
      <c r="H49" s="283"/>
      <c r="I49" s="310"/>
      <c r="J49" s="319"/>
      <c r="K49" s="320">
        <f>+G49</f>
        <v>500000</v>
      </c>
    </row>
    <row r="50" spans="1:34" s="987" customFormat="1" ht="25.5" customHeight="1">
      <c r="A50" s="424" t="s">
        <v>1553</v>
      </c>
      <c r="B50" s="515" t="s">
        <v>1554</v>
      </c>
      <c r="C50" s="283"/>
      <c r="D50" s="283"/>
      <c r="E50" s="283"/>
      <c r="F50" s="237"/>
      <c r="G50" s="406">
        <f>+G51</f>
        <v>510000</v>
      </c>
      <c r="H50" s="406">
        <f t="shared" ref="H50:K50" si="12">+H51</f>
        <v>0</v>
      </c>
      <c r="I50" s="406">
        <f t="shared" si="12"/>
        <v>0</v>
      </c>
      <c r="J50" s="406">
        <f t="shared" si="12"/>
        <v>0</v>
      </c>
      <c r="K50" s="406">
        <f t="shared" si="12"/>
        <v>510000</v>
      </c>
    </row>
    <row r="51" spans="1:34" s="987" customFormat="1" ht="25.5" customHeight="1">
      <c r="A51" s="309" t="s">
        <v>72</v>
      </c>
      <c r="B51" s="920" t="s">
        <v>1543</v>
      </c>
      <c r="C51" s="283"/>
      <c r="D51" s="283"/>
      <c r="E51" s="283"/>
      <c r="F51" s="237"/>
      <c r="G51" s="310">
        <f>+'6.Vốn đtư,SNKT25'!D53</f>
        <v>510000</v>
      </c>
      <c r="H51" s="283"/>
      <c r="I51" s="310"/>
      <c r="J51" s="319"/>
      <c r="K51" s="320">
        <f>+G51</f>
        <v>510000</v>
      </c>
    </row>
    <row r="52" spans="1:34" s="408" customFormat="1" ht="21.6" customHeight="1">
      <c r="A52" s="424" t="s">
        <v>647</v>
      </c>
      <c r="B52" s="434" t="s">
        <v>1168</v>
      </c>
      <c r="C52" s="434"/>
      <c r="D52" s="434"/>
      <c r="E52" s="434"/>
      <c r="F52" s="229">
        <f>SUM(G52:H52)</f>
        <v>216000</v>
      </c>
      <c r="G52" s="406">
        <f>+G53</f>
        <v>216000</v>
      </c>
      <c r="H52" s="406">
        <f>+H53</f>
        <v>0</v>
      </c>
      <c r="I52" s="406">
        <f>+I53</f>
        <v>0</v>
      </c>
      <c r="J52" s="406">
        <f>+J53</f>
        <v>0</v>
      </c>
      <c r="K52" s="406">
        <f>+K53</f>
        <v>216000</v>
      </c>
      <c r="L52" s="541" t="e">
        <f>+L53+#REF!</f>
        <v>#REF!</v>
      </c>
      <c r="M52" s="542"/>
      <c r="N52" s="542"/>
    </row>
    <row r="53" spans="1:34" s="987" customFormat="1" ht="21.6" customHeight="1">
      <c r="A53" s="309" t="s">
        <v>72</v>
      </c>
      <c r="B53" s="283" t="s">
        <v>645</v>
      </c>
      <c r="C53" s="283"/>
      <c r="D53" s="283"/>
      <c r="E53" s="283"/>
      <c r="F53" s="237"/>
      <c r="G53" s="310">
        <f t="shared" ref="G53:L53" si="13">SUM(G54:G54)</f>
        <v>216000</v>
      </c>
      <c r="H53" s="310">
        <f t="shared" si="13"/>
        <v>0</v>
      </c>
      <c r="I53" s="310">
        <f t="shared" si="13"/>
        <v>0</v>
      </c>
      <c r="J53" s="310">
        <f t="shared" si="13"/>
        <v>0</v>
      </c>
      <c r="K53" s="310">
        <f t="shared" si="13"/>
        <v>216000</v>
      </c>
      <c r="L53" s="543">
        <f t="shared" si="13"/>
        <v>0</v>
      </c>
      <c r="M53" s="544"/>
      <c r="N53" s="544"/>
    </row>
    <row r="54" spans="1:34" s="317" customFormat="1" ht="21.6" customHeight="1">
      <c r="A54" s="312" t="s">
        <v>1</v>
      </c>
      <c r="B54" s="313" t="s">
        <v>256</v>
      </c>
      <c r="C54" s="313"/>
      <c r="D54" s="313"/>
      <c r="E54" s="313"/>
      <c r="F54" s="247">
        <f>SUM(G54:H54)</f>
        <v>216000</v>
      </c>
      <c r="G54" s="314">
        <f>+'6.Vốn đtư,SNKT25'!D59</f>
        <v>216000</v>
      </c>
      <c r="H54" s="313"/>
      <c r="I54" s="313"/>
      <c r="J54" s="315"/>
      <c r="K54" s="318">
        <f>+G54-J54</f>
        <v>216000</v>
      </c>
    </row>
    <row r="55" spans="1:34" s="317" customFormat="1" ht="74.25" hidden="1" customHeight="1">
      <c r="A55" s="424" t="s">
        <v>648</v>
      </c>
      <c r="B55" s="434" t="s">
        <v>1374</v>
      </c>
      <c r="C55" s="313"/>
      <c r="D55" s="313"/>
      <c r="E55" s="313"/>
      <c r="F55" s="247"/>
      <c r="G55" s="406"/>
      <c r="H55" s="434"/>
      <c r="I55" s="434"/>
      <c r="J55" s="503"/>
      <c r="K55" s="405">
        <f>+G55</f>
        <v>0</v>
      </c>
    </row>
    <row r="56" spans="1:34" s="231" customFormat="1" ht="23.1" customHeight="1">
      <c r="A56" s="224">
        <v>2</v>
      </c>
      <c r="B56" s="225" t="s">
        <v>1431</v>
      </c>
      <c r="C56" s="545"/>
      <c r="D56" s="227"/>
      <c r="E56" s="228"/>
      <c r="F56" s="229">
        <f>SUM(G56:H56)</f>
        <v>3018300</v>
      </c>
      <c r="G56" s="229">
        <f>SUM(G57:G58)</f>
        <v>3018300</v>
      </c>
      <c r="H56" s="229">
        <f>SUM(H57:H58)</f>
        <v>0</v>
      </c>
      <c r="I56" s="229">
        <f>SUM(I57:I58)</f>
        <v>0</v>
      </c>
      <c r="J56" s="229">
        <f>SUM(J57:J58)</f>
        <v>0</v>
      </c>
      <c r="K56" s="229">
        <f>SUM(K57:K58)</f>
        <v>3018300</v>
      </c>
    </row>
    <row r="57" spans="1:34" s="231" customFormat="1" ht="21.75" customHeight="1">
      <c r="A57" s="224" t="s">
        <v>72</v>
      </c>
      <c r="B57" s="239" t="s">
        <v>1263</v>
      </c>
      <c r="C57" s="545"/>
      <c r="D57" s="227"/>
      <c r="E57" s="228"/>
      <c r="F57" s="237"/>
      <c r="G57" s="310">
        <v>140000</v>
      </c>
      <c r="H57" s="238"/>
      <c r="I57" s="238"/>
      <c r="J57" s="238"/>
      <c r="K57" s="238">
        <f>+G57-J57</f>
        <v>140000</v>
      </c>
    </row>
    <row r="58" spans="1:34" s="231" customFormat="1" ht="21.75" customHeight="1">
      <c r="A58" s="224" t="s">
        <v>72</v>
      </c>
      <c r="B58" s="239" t="s">
        <v>1262</v>
      </c>
      <c r="C58" s="545"/>
      <c r="D58" s="227"/>
      <c r="E58" s="228"/>
      <c r="F58" s="237" t="e">
        <f>+#REF!+#REF!</f>
        <v>#REF!</v>
      </c>
      <c r="G58" s="310">
        <f>18300+2860000</f>
        <v>2878300</v>
      </c>
      <c r="H58" s="237"/>
      <c r="I58" s="237"/>
      <c r="J58" s="237"/>
      <c r="K58" s="237">
        <f>+G58</f>
        <v>2878300</v>
      </c>
    </row>
    <row r="59" spans="1:34" s="231" customFormat="1" ht="19.5" customHeight="1">
      <c r="A59" s="224">
        <v>3</v>
      </c>
      <c r="B59" s="225" t="s">
        <v>45</v>
      </c>
      <c r="C59" s="240">
        <f>C60+C168+C188+C230</f>
        <v>127</v>
      </c>
      <c r="D59" s="240">
        <f>D60+D168+D188+D230</f>
        <v>123</v>
      </c>
      <c r="E59" s="240">
        <f>E60+E168+E188+E230</f>
        <v>0</v>
      </c>
      <c r="F59" s="229" t="e">
        <f>+F60+F168+F188+F230+F231+F237+F244</f>
        <v>#REF!</v>
      </c>
      <c r="G59" s="229">
        <f>+G60+G168+G188+G230+G231+G234+G235+G236+G237+G244+G267+G268+G269+G270</f>
        <v>47187144.173759997</v>
      </c>
      <c r="H59" s="229">
        <f>+H60+H168+H188+H230+H231+H234+H235+H236+H237+H244+H267+H268+H269+H270</f>
        <v>366800</v>
      </c>
      <c r="I59" s="229">
        <f>+I60+I168+I188+I230+I231+I234+I235+I236+I237+I244+I267+I268+I269+I270</f>
        <v>312100</v>
      </c>
      <c r="J59" s="229">
        <f>+J60+J168+J188+J230+J231+J234+J235+J236+J237+J244+J267+J268+J269+J270</f>
        <v>0</v>
      </c>
      <c r="K59" s="229">
        <f>+K60+K168+K188+K230+K231+K234+K235+K236+K237+K244+K267+K268+K269+K270</f>
        <v>46875044.173759997</v>
      </c>
      <c r="AH59" s="254">
        <f>+G59-I59</f>
        <v>46875044.173759997</v>
      </c>
    </row>
    <row r="60" spans="1:34" s="231" customFormat="1" ht="35.25" customHeight="1">
      <c r="A60" s="224" t="s">
        <v>0</v>
      </c>
      <c r="B60" s="225" t="s">
        <v>815</v>
      </c>
      <c r="C60" s="648">
        <f>C61+C87+C97+C103+C111+C118+C127+C138+C147+C154+C159</f>
        <v>80</v>
      </c>
      <c r="D60" s="648">
        <f>D61+D87+D97+D103+D111+D118+D127+D138+D147+D154+D159</f>
        <v>77</v>
      </c>
      <c r="E60" s="648">
        <f>E61+E87+E97+E103+E111+E118+E127+E138+E147+E154+E159</f>
        <v>0</v>
      </c>
      <c r="F60" s="229">
        <f t="shared" ref="F60:K60" si="14">+F61+F87+F97+F103+F111+F118+F127+F138+F147+F154+F159</f>
        <v>19736708.925439995</v>
      </c>
      <c r="G60" s="229">
        <f t="shared" si="14"/>
        <v>27169774.333759997</v>
      </c>
      <c r="H60" s="229">
        <f t="shared" si="14"/>
        <v>225200</v>
      </c>
      <c r="I60" s="229">
        <f t="shared" si="14"/>
        <v>250500</v>
      </c>
      <c r="J60" s="229">
        <f t="shared" si="14"/>
        <v>0</v>
      </c>
      <c r="K60" s="229">
        <f t="shared" si="14"/>
        <v>26919274.333759997</v>
      </c>
      <c r="AH60" s="254">
        <f>+K59-AH59</f>
        <v>0</v>
      </c>
    </row>
    <row r="61" spans="1:34" s="231" customFormat="1" ht="19.5" customHeight="1">
      <c r="A61" s="224"/>
      <c r="B61" s="225" t="s">
        <v>18</v>
      </c>
      <c r="C61" s="230">
        <f>+C62+C66+C72+C78+C79</f>
        <v>25</v>
      </c>
      <c r="D61" s="230">
        <f>+D62+D66+D72+D78+D79</f>
        <v>25</v>
      </c>
      <c r="E61" s="230">
        <f>+E62+E66+E72+E78+E79</f>
        <v>0</v>
      </c>
      <c r="F61" s="229">
        <f>+F62+F66+F72+F78+F79</f>
        <v>7922854.5088</v>
      </c>
      <c r="G61" s="229">
        <f>+G62+G66+G72+G78+G79+G80+G81+G84+G85+G86+G82+G83</f>
        <v>10018673.5088</v>
      </c>
      <c r="H61" s="229">
        <f>+H62+H66+H72+H78+H79+H80+H81+H84+H85+H86+H82+H83</f>
        <v>65700</v>
      </c>
      <c r="I61" s="229">
        <f>+I62+I66+I72+I78+I79+I80+I81+I84+I85+I86+I82+I83</f>
        <v>33400</v>
      </c>
      <c r="J61" s="229">
        <f>+J62+J66+J72+J78+J79+J80+J81+J84+J85+J86+J82+J83</f>
        <v>0</v>
      </c>
      <c r="K61" s="229">
        <f>+K62+K66+K72+K78+K79+K80+K81+K84+K85+K86+K82+K83</f>
        <v>9985273.5088</v>
      </c>
      <c r="U61" s="249"/>
    </row>
    <row r="62" spans="1:34" s="231" customFormat="1" ht="19.5" customHeight="1">
      <c r="A62" s="224"/>
      <c r="B62" s="225" t="s">
        <v>19</v>
      </c>
      <c r="C62" s="226">
        <v>18</v>
      </c>
      <c r="D62" s="227">
        <v>18</v>
      </c>
      <c r="E62" s="228"/>
      <c r="F62" s="229">
        <f>SUM(G62:H62)</f>
        <v>3942820.9368000003</v>
      </c>
      <c r="G62" s="229">
        <f>SUM(G63:G65)</f>
        <v>3885220.9368000003</v>
      </c>
      <c r="H62" s="229">
        <f>SUM(H63:H65)</f>
        <v>57600</v>
      </c>
      <c r="I62" s="229">
        <f>SUM(I63:I65)</f>
        <v>0</v>
      </c>
      <c r="J62" s="229">
        <f>SUM(J63:J65)</f>
        <v>0</v>
      </c>
      <c r="K62" s="229">
        <f>SUM(K63:K65)</f>
        <v>3885220.9368000003</v>
      </c>
    </row>
    <row r="63" spans="1:34" s="143" customFormat="1" ht="19.5" customHeight="1">
      <c r="A63" s="232"/>
      <c r="B63" s="233" t="s">
        <v>133</v>
      </c>
      <c r="C63" s="234"/>
      <c r="D63" s="235"/>
      <c r="E63" s="241">
        <v>119.74821</v>
      </c>
      <c r="F63" s="237">
        <f>SUM(G63:H63)</f>
        <v>3362529.7368000001</v>
      </c>
      <c r="G63" s="237">
        <f>+E63*2340*12</f>
        <v>3362529.7368000001</v>
      </c>
      <c r="H63" s="238"/>
      <c r="I63" s="238"/>
      <c r="J63" s="238"/>
      <c r="K63" s="238">
        <f>+G63-I63-J63</f>
        <v>3362529.7368000001</v>
      </c>
    </row>
    <row r="64" spans="1:34" s="143" customFormat="1" ht="19.5" customHeight="1">
      <c r="A64" s="232"/>
      <c r="B64" s="233" t="s">
        <v>1247</v>
      </c>
      <c r="C64" s="234"/>
      <c r="D64" s="235"/>
      <c r="E64" s="241">
        <v>357.6</v>
      </c>
      <c r="F64" s="237"/>
      <c r="G64" s="237">
        <f>+E64*12</f>
        <v>4291.2000000000007</v>
      </c>
      <c r="H64" s="238"/>
      <c r="I64" s="238"/>
      <c r="J64" s="238"/>
      <c r="K64" s="238">
        <f>+G64-I64-J64</f>
        <v>4291.2000000000007</v>
      </c>
    </row>
    <row r="65" spans="1:21" s="143" customFormat="1" ht="19.5" customHeight="1">
      <c r="A65" s="232"/>
      <c r="B65" s="239" t="s">
        <v>5</v>
      </c>
      <c r="C65" s="234"/>
      <c r="D65" s="235"/>
      <c r="E65" s="234">
        <v>32000</v>
      </c>
      <c r="F65" s="237">
        <f>SUM(G65:H65)</f>
        <v>576000</v>
      </c>
      <c r="G65" s="237">
        <f>+C62*E65-(C62*E65*10%)</f>
        <v>518400</v>
      </c>
      <c r="H65" s="238">
        <f>C62*E65*10%</f>
        <v>57600</v>
      </c>
      <c r="I65" s="238"/>
      <c r="J65" s="238"/>
      <c r="K65" s="238">
        <f>+G65-I65-J65</f>
        <v>518400</v>
      </c>
    </row>
    <row r="66" spans="1:21" s="231" customFormat="1" ht="19.5" customHeight="1">
      <c r="A66" s="224"/>
      <c r="B66" s="225" t="s">
        <v>836</v>
      </c>
      <c r="C66" s="226">
        <v>7</v>
      </c>
      <c r="D66" s="227">
        <v>7</v>
      </c>
      <c r="E66" s="228"/>
      <c r="F66" s="229">
        <f>SUM(G66:H66)</f>
        <v>961969.57199999981</v>
      </c>
      <c r="G66" s="229">
        <f>SUM(G67:G69)</f>
        <v>953869.57199999981</v>
      </c>
      <c r="H66" s="229">
        <f>SUM(H67:H69)</f>
        <v>8100</v>
      </c>
      <c r="I66" s="229">
        <f>SUM(I67:I69)</f>
        <v>0</v>
      </c>
      <c r="J66" s="229">
        <f>SUM(J67:J69)</f>
        <v>0</v>
      </c>
      <c r="K66" s="229">
        <f>SUM(K67:K69)</f>
        <v>953869.57199999981</v>
      </c>
    </row>
    <row r="67" spans="1:21" s="143" customFormat="1" ht="19.5" customHeight="1">
      <c r="A67" s="232"/>
      <c r="B67" s="233" t="s">
        <v>133</v>
      </c>
      <c r="C67" s="234"/>
      <c r="D67" s="235"/>
      <c r="E67" s="236">
        <v>31.297149999999998</v>
      </c>
      <c r="F67" s="237">
        <f>SUM(G67:H67)</f>
        <v>878823.97199999983</v>
      </c>
      <c r="G67" s="237">
        <f>+E67*2340*12</f>
        <v>878823.97199999983</v>
      </c>
      <c r="H67" s="238"/>
      <c r="I67" s="238"/>
      <c r="J67" s="238"/>
      <c r="K67" s="238">
        <f>+G67-I67-J67</f>
        <v>878823.97199999983</v>
      </c>
    </row>
    <row r="68" spans="1:21" s="143" customFormat="1" ht="19.5" customHeight="1">
      <c r="A68" s="232"/>
      <c r="B68" s="233" t="s">
        <v>1248</v>
      </c>
      <c r="C68" s="234"/>
      <c r="D68" s="235"/>
      <c r="E68" s="236">
        <v>178.8</v>
      </c>
      <c r="F68" s="237"/>
      <c r="G68" s="237">
        <f>+E68*12</f>
        <v>2145.6000000000004</v>
      </c>
      <c r="H68" s="238"/>
      <c r="I68" s="238"/>
      <c r="J68" s="238"/>
      <c r="K68" s="238">
        <f>+G68-I68-J68</f>
        <v>2145.6000000000004</v>
      </c>
    </row>
    <row r="69" spans="1:21" s="143" customFormat="1" ht="19.5" customHeight="1">
      <c r="A69" s="232"/>
      <c r="B69" s="239" t="s">
        <v>5</v>
      </c>
      <c r="C69" s="234"/>
      <c r="D69" s="235"/>
      <c r="E69" s="242"/>
      <c r="F69" s="237">
        <f t="shared" ref="F69:F80" si="15">SUM(G69:H69)</f>
        <v>81000</v>
      </c>
      <c r="G69" s="237">
        <f>SUM(G70:G71)</f>
        <v>72900</v>
      </c>
      <c r="H69" s="238">
        <f>SUM(H70:H71)</f>
        <v>8100</v>
      </c>
      <c r="I69" s="238"/>
      <c r="J69" s="238"/>
      <c r="K69" s="238">
        <f>+G69-I69-J69</f>
        <v>72900</v>
      </c>
    </row>
    <row r="70" spans="1:21" s="248" customFormat="1" ht="19.5" customHeight="1">
      <c r="A70" s="243"/>
      <c r="B70" s="244" t="s">
        <v>20</v>
      </c>
      <c r="C70" s="245"/>
      <c r="D70" s="246">
        <v>3</v>
      </c>
      <c r="E70" s="245">
        <v>7000</v>
      </c>
      <c r="F70" s="247">
        <f t="shared" si="15"/>
        <v>21000</v>
      </c>
      <c r="G70" s="247">
        <f>+D70*E70-(D70*E70*10%)</f>
        <v>18900</v>
      </c>
      <c r="H70" s="429">
        <f>D70*E70*10%</f>
        <v>2100</v>
      </c>
      <c r="I70" s="429"/>
      <c r="J70" s="429"/>
      <c r="K70" s="429">
        <f>+G70-I70-J70</f>
        <v>18900</v>
      </c>
    </row>
    <row r="71" spans="1:21" s="248" customFormat="1" ht="19.5" customHeight="1">
      <c r="A71" s="243"/>
      <c r="B71" s="244" t="s">
        <v>21</v>
      </c>
      <c r="C71" s="245"/>
      <c r="D71" s="246">
        <v>4</v>
      </c>
      <c r="E71" s="245">
        <v>15000</v>
      </c>
      <c r="F71" s="247">
        <f t="shared" si="15"/>
        <v>60000</v>
      </c>
      <c r="G71" s="247">
        <f>+D71*E71-(D71*E71*10%)</f>
        <v>54000</v>
      </c>
      <c r="H71" s="429">
        <f>D71*E71*10%</f>
        <v>6000</v>
      </c>
      <c r="I71" s="429"/>
      <c r="J71" s="429"/>
      <c r="K71" s="429">
        <f>+G71-I71-J71</f>
        <v>54000</v>
      </c>
    </row>
    <row r="72" spans="1:21" s="231" customFormat="1" ht="19.5" customHeight="1">
      <c r="A72" s="224"/>
      <c r="B72" s="225" t="s">
        <v>226</v>
      </c>
      <c r="C72" s="226"/>
      <c r="D72" s="227"/>
      <c r="E72" s="228"/>
      <c r="F72" s="229">
        <f t="shared" si="15"/>
        <v>1833064</v>
      </c>
      <c r="G72" s="229">
        <f>SUM(G73:G77)</f>
        <v>1833064</v>
      </c>
      <c r="H72" s="229">
        <f>SUM(H73:H77)</f>
        <v>0</v>
      </c>
      <c r="I72" s="229">
        <f>SUM(I73:I77)</f>
        <v>7400</v>
      </c>
      <c r="J72" s="229">
        <f>SUM(J73:J77)</f>
        <v>0</v>
      </c>
      <c r="K72" s="229">
        <f>SUM(K73:K77)</f>
        <v>1825664</v>
      </c>
    </row>
    <row r="73" spans="1:21" s="143" customFormat="1" ht="19.5" customHeight="1">
      <c r="A73" s="232"/>
      <c r="B73" s="239" t="s">
        <v>227</v>
      </c>
      <c r="C73" s="649">
        <v>27</v>
      </c>
      <c r="D73" s="235">
        <f>+C73</f>
        <v>27</v>
      </c>
      <c r="E73" s="242">
        <v>0.4</v>
      </c>
      <c r="F73" s="237">
        <f t="shared" si="15"/>
        <v>303264</v>
      </c>
      <c r="G73" s="237">
        <f>+C73*E73*2340*12</f>
        <v>303264</v>
      </c>
      <c r="H73" s="238"/>
      <c r="I73" s="238"/>
      <c r="J73" s="238"/>
      <c r="K73" s="238">
        <f t="shared" ref="K73:K78" si="16">+G73-I73-J73</f>
        <v>303264</v>
      </c>
    </row>
    <row r="74" spans="1:21" s="143" customFormat="1" ht="19.5" customHeight="1">
      <c r="A74" s="232"/>
      <c r="B74" s="239" t="s">
        <v>630</v>
      </c>
      <c r="C74" s="234"/>
      <c r="D74" s="235"/>
      <c r="E74" s="234"/>
      <c r="F74" s="237">
        <f t="shared" si="15"/>
        <v>302000</v>
      </c>
      <c r="G74" s="237">
        <v>302000</v>
      </c>
      <c r="H74" s="238"/>
      <c r="I74" s="238"/>
      <c r="J74" s="238"/>
      <c r="K74" s="238">
        <f t="shared" si="16"/>
        <v>302000</v>
      </c>
    </row>
    <row r="75" spans="1:21" s="143" customFormat="1" ht="19.5" customHeight="1">
      <c r="A75" s="232"/>
      <c r="B75" s="239" t="s">
        <v>257</v>
      </c>
      <c r="C75" s="649">
        <v>27</v>
      </c>
      <c r="D75" s="235">
        <v>27</v>
      </c>
      <c r="E75" s="234">
        <v>1000</v>
      </c>
      <c r="F75" s="237">
        <f t="shared" si="15"/>
        <v>27000</v>
      </c>
      <c r="G75" s="237">
        <f>+C75*E75</f>
        <v>27000</v>
      </c>
      <c r="H75" s="238"/>
      <c r="I75" s="238"/>
      <c r="J75" s="238"/>
      <c r="K75" s="238">
        <f t="shared" si="16"/>
        <v>27000</v>
      </c>
    </row>
    <row r="76" spans="1:21" s="143" customFormat="1" ht="19.5" customHeight="1">
      <c r="A76" s="232"/>
      <c r="B76" s="239" t="s">
        <v>258</v>
      </c>
      <c r="C76" s="234">
        <v>6</v>
      </c>
      <c r="D76" s="235">
        <v>6</v>
      </c>
      <c r="E76" s="234">
        <v>1500</v>
      </c>
      <c r="F76" s="237">
        <f t="shared" si="15"/>
        <v>9000</v>
      </c>
      <c r="G76" s="237">
        <f>+C76*E76</f>
        <v>9000</v>
      </c>
      <c r="H76" s="238"/>
      <c r="I76" s="238"/>
      <c r="J76" s="238"/>
      <c r="K76" s="238">
        <f t="shared" si="16"/>
        <v>9000</v>
      </c>
    </row>
    <row r="77" spans="1:21" s="143" customFormat="1" ht="48.75" customHeight="1">
      <c r="A77" s="232"/>
      <c r="B77" s="239" t="s">
        <v>1420</v>
      </c>
      <c r="C77" s="234"/>
      <c r="D77" s="235"/>
      <c r="E77" s="234"/>
      <c r="F77" s="237">
        <f t="shared" si="15"/>
        <v>1191800</v>
      </c>
      <c r="G77" s="237">
        <v>1191800</v>
      </c>
      <c r="H77" s="238"/>
      <c r="I77" s="238">
        <f>+((G77-1118000)*0.1)+20</f>
        <v>7400</v>
      </c>
      <c r="J77" s="238"/>
      <c r="K77" s="238">
        <f t="shared" si="16"/>
        <v>1184400</v>
      </c>
      <c r="U77" s="387">
        <f>SUM(K77:K77)</f>
        <v>1184400</v>
      </c>
    </row>
    <row r="78" spans="1:21" s="231" customFormat="1" ht="48" customHeight="1">
      <c r="A78" s="224"/>
      <c r="B78" s="225" t="s">
        <v>816</v>
      </c>
      <c r="C78" s="226"/>
      <c r="D78" s="227"/>
      <c r="E78" s="228"/>
      <c r="F78" s="229">
        <f t="shared" si="15"/>
        <v>1090000</v>
      </c>
      <c r="G78" s="229">
        <v>1090000</v>
      </c>
      <c r="H78" s="240"/>
      <c r="I78" s="240">
        <f>+(G78-972000)*0.1</f>
        <v>11800</v>
      </c>
      <c r="J78" s="240"/>
      <c r="K78" s="240">
        <f t="shared" si="16"/>
        <v>1078200</v>
      </c>
    </row>
    <row r="79" spans="1:21" s="231" customFormat="1" ht="36.75" customHeight="1">
      <c r="A79" s="224"/>
      <c r="B79" s="685" t="s">
        <v>541</v>
      </c>
      <c r="C79" s="226"/>
      <c r="D79" s="227"/>
      <c r="E79" s="228"/>
      <c r="F79" s="229">
        <f t="shared" si="15"/>
        <v>95000</v>
      </c>
      <c r="G79" s="229">
        <f>206000-111000</f>
        <v>95000</v>
      </c>
      <c r="H79" s="240"/>
      <c r="I79" s="240"/>
      <c r="J79" s="240"/>
      <c r="K79" s="240">
        <f t="shared" ref="K79:K86" si="17">+G79-I79-J79</f>
        <v>95000</v>
      </c>
      <c r="O79" s="251"/>
      <c r="P79" s="650"/>
    </row>
    <row r="80" spans="1:21" s="231" customFormat="1" ht="51" customHeight="1">
      <c r="A80" s="224"/>
      <c r="B80" s="695" t="s">
        <v>1432</v>
      </c>
      <c r="C80" s="226"/>
      <c r="D80" s="227"/>
      <c r="E80" s="228"/>
      <c r="F80" s="229">
        <f t="shared" si="15"/>
        <v>250000</v>
      </c>
      <c r="G80" s="229">
        <v>250000</v>
      </c>
      <c r="H80" s="240"/>
      <c r="I80" s="240">
        <f>+(G80-200000)*0.1</f>
        <v>5000</v>
      </c>
      <c r="J80" s="240"/>
      <c r="K80" s="240">
        <f t="shared" si="17"/>
        <v>245000</v>
      </c>
      <c r="O80" s="651"/>
      <c r="P80" s="651"/>
    </row>
    <row r="81" spans="1:36" s="231" customFormat="1" ht="18.75" customHeight="1">
      <c r="A81" s="224"/>
      <c r="B81" s="250" t="s">
        <v>631</v>
      </c>
      <c r="C81" s="226"/>
      <c r="D81" s="227"/>
      <c r="E81" s="228"/>
      <c r="F81" s="229"/>
      <c r="G81" s="229">
        <v>10500</v>
      </c>
      <c r="H81" s="240"/>
      <c r="I81" s="240"/>
      <c r="J81" s="240"/>
      <c r="K81" s="240">
        <f t="shared" si="17"/>
        <v>10500</v>
      </c>
      <c r="O81" s="650"/>
      <c r="P81" s="650"/>
    </row>
    <row r="82" spans="1:36" s="231" customFormat="1" ht="18.75" customHeight="1">
      <c r="A82" s="224"/>
      <c r="B82" s="652" t="s">
        <v>845</v>
      </c>
      <c r="C82" s="226"/>
      <c r="D82" s="227"/>
      <c r="E82" s="228"/>
      <c r="F82" s="229"/>
      <c r="G82" s="229">
        <v>62000</v>
      </c>
      <c r="H82" s="240"/>
      <c r="I82" s="240">
        <f>+G82*0.1</f>
        <v>6200</v>
      </c>
      <c r="J82" s="240"/>
      <c r="K82" s="240">
        <f t="shared" si="17"/>
        <v>55800</v>
      </c>
      <c r="O82" s="650"/>
      <c r="P82" s="650"/>
    </row>
    <row r="83" spans="1:36" s="231" customFormat="1" ht="18.75" customHeight="1">
      <c r="A83" s="224"/>
      <c r="B83" s="434" t="s">
        <v>1269</v>
      </c>
      <c r="C83" s="226"/>
      <c r="D83" s="227"/>
      <c r="E83" s="228"/>
      <c r="F83" s="229"/>
      <c r="G83" s="229">
        <v>30000</v>
      </c>
      <c r="H83" s="240"/>
      <c r="I83" s="240">
        <f>+G83*0.1</f>
        <v>3000</v>
      </c>
      <c r="J83" s="240"/>
      <c r="K83" s="240">
        <f t="shared" si="17"/>
        <v>27000</v>
      </c>
      <c r="O83" s="650"/>
      <c r="P83" s="650"/>
    </row>
    <row r="84" spans="1:36" s="231" customFormat="1" ht="18.75" customHeight="1">
      <c r="A84" s="224"/>
      <c r="B84" s="653" t="s">
        <v>1169</v>
      </c>
      <c r="C84" s="226"/>
      <c r="D84" s="227"/>
      <c r="E84" s="228"/>
      <c r="F84" s="229">
        <f>SUM(G84:H84)</f>
        <v>1600000</v>
      </c>
      <c r="G84" s="229">
        <v>1600000</v>
      </c>
      <c r="H84" s="240"/>
      <c r="I84" s="240"/>
      <c r="J84" s="240"/>
      <c r="K84" s="240">
        <f t="shared" si="17"/>
        <v>1600000</v>
      </c>
      <c r="O84" s="651"/>
      <c r="P84" s="651"/>
      <c r="AI84" s="231">
        <v>0.66</v>
      </c>
    </row>
    <row r="85" spans="1:36" s="231" customFormat="1" ht="33" customHeight="1">
      <c r="A85" s="224"/>
      <c r="B85" s="653" t="s">
        <v>1173</v>
      </c>
      <c r="C85" s="226"/>
      <c r="D85" s="227"/>
      <c r="E85" s="228"/>
      <c r="F85" s="229"/>
      <c r="G85" s="229">
        <v>200769</v>
      </c>
      <c r="H85" s="240"/>
      <c r="I85" s="240"/>
      <c r="J85" s="240"/>
      <c r="K85" s="240">
        <f t="shared" si="17"/>
        <v>200769</v>
      </c>
      <c r="O85" s="651"/>
      <c r="P85" s="651"/>
    </row>
    <row r="86" spans="1:36" s="231" customFormat="1" ht="18.75" customHeight="1">
      <c r="A86" s="224"/>
      <c r="B86" s="653" t="s">
        <v>1371</v>
      </c>
      <c r="C86" s="226"/>
      <c r="D86" s="227"/>
      <c r="E86" s="228"/>
      <c r="F86" s="229"/>
      <c r="G86" s="229">
        <v>8250</v>
      </c>
      <c r="H86" s="240"/>
      <c r="I86" s="240"/>
      <c r="J86" s="240"/>
      <c r="K86" s="240">
        <f t="shared" si="17"/>
        <v>8250</v>
      </c>
      <c r="O86" s="651"/>
      <c r="P86" s="651"/>
    </row>
    <row r="87" spans="1:36" s="231" customFormat="1" ht="21.75" customHeight="1">
      <c r="A87" s="224"/>
      <c r="B87" s="225" t="s">
        <v>237</v>
      </c>
      <c r="C87" s="226">
        <v>7</v>
      </c>
      <c r="D87" s="227">
        <v>6</v>
      </c>
      <c r="E87" s="228"/>
      <c r="F87" s="229">
        <f>SUM(F88:F93)</f>
        <v>1481134.00832</v>
      </c>
      <c r="G87" s="229">
        <f>SUM(G88:G96)</f>
        <v>1616022.00832</v>
      </c>
      <c r="H87" s="229">
        <f>SUM(H88:H96)</f>
        <v>20300</v>
      </c>
      <c r="I87" s="229">
        <f>SUM(I88:I96)</f>
        <v>15100</v>
      </c>
      <c r="J87" s="229">
        <f>SUM(J88:J96)</f>
        <v>0</v>
      </c>
      <c r="K87" s="229">
        <f>SUM(K88:K96)</f>
        <v>1600922.00832</v>
      </c>
      <c r="AI87" s="231">
        <f>+AI84*0.25</f>
        <v>0.16500000000000001</v>
      </c>
    </row>
    <row r="88" spans="1:36" s="143" customFormat="1" ht="21.75" customHeight="1">
      <c r="A88" s="232"/>
      <c r="B88" s="233" t="s">
        <v>8</v>
      </c>
      <c r="C88" s="234"/>
      <c r="D88" s="235"/>
      <c r="E88" s="241">
        <v>36.25</v>
      </c>
      <c r="F88" s="237">
        <f>SUM(G88:H88)</f>
        <v>1017900</v>
      </c>
      <c r="G88" s="237">
        <f>+E88*2340*12</f>
        <v>1017900</v>
      </c>
      <c r="H88" s="238"/>
      <c r="I88" s="238"/>
      <c r="J88" s="238"/>
      <c r="K88" s="238">
        <f t="shared" ref="K88:K96" si="18">+G88-I88-J88</f>
        <v>1017900</v>
      </c>
      <c r="AI88" s="143">
        <f>+AI84*0.225</f>
        <v>0.14850000000000002</v>
      </c>
    </row>
    <row r="89" spans="1:36" s="143" customFormat="1" ht="21.75" customHeight="1">
      <c r="A89" s="232"/>
      <c r="B89" s="233" t="s">
        <v>228</v>
      </c>
      <c r="C89" s="234"/>
      <c r="D89" s="235">
        <f>+C87-D87</f>
        <v>1</v>
      </c>
      <c r="E89" s="241">
        <f>2.34+0.98+(2.34*22.5%)+(0.98*9.44%*0.225)</f>
        <v>3.8673151999999997</v>
      </c>
      <c r="F89" s="237">
        <f>SUM(G89:H89)</f>
        <v>83534.008319999994</v>
      </c>
      <c r="G89" s="237">
        <f>+E89*1800*12</f>
        <v>83534.008319999994</v>
      </c>
      <c r="H89" s="238"/>
      <c r="I89" s="238"/>
      <c r="J89" s="238"/>
      <c r="K89" s="238">
        <f t="shared" si="18"/>
        <v>83534.008319999994</v>
      </c>
      <c r="AI89" s="143">
        <f>SUM(AI84:AI88)</f>
        <v>0.97350000000000003</v>
      </c>
      <c r="AJ89" s="143">
        <f>+AI89*2340*12</f>
        <v>27335.880000000005</v>
      </c>
    </row>
    <row r="90" spans="1:36" s="143" customFormat="1" ht="21.75" customHeight="1">
      <c r="A90" s="232"/>
      <c r="B90" s="233" t="s">
        <v>609</v>
      </c>
      <c r="C90" s="234"/>
      <c r="D90" s="235"/>
      <c r="E90" s="241">
        <v>0.1</v>
      </c>
      <c r="F90" s="237"/>
      <c r="G90" s="237">
        <f>+E90*1490*12</f>
        <v>1788</v>
      </c>
      <c r="H90" s="238"/>
      <c r="I90" s="238"/>
      <c r="J90" s="238"/>
      <c r="K90" s="238">
        <f t="shared" si="18"/>
        <v>1788</v>
      </c>
    </row>
    <row r="91" spans="1:36" s="143" customFormat="1" ht="21.75" customHeight="1">
      <c r="A91" s="232"/>
      <c r="B91" s="239" t="s">
        <v>9</v>
      </c>
      <c r="C91" s="234"/>
      <c r="D91" s="235"/>
      <c r="E91" s="234">
        <v>29000</v>
      </c>
      <c r="F91" s="237">
        <f>SUM(G91:H91)</f>
        <v>203000</v>
      </c>
      <c r="G91" s="237">
        <f>+C87*E91-(C87*E91*10%)</f>
        <v>182700</v>
      </c>
      <c r="H91" s="238">
        <f>+C87*E91*10%</f>
        <v>20300</v>
      </c>
      <c r="I91" s="238"/>
      <c r="J91" s="238"/>
      <c r="K91" s="238">
        <f t="shared" si="18"/>
        <v>182700</v>
      </c>
    </row>
    <row r="92" spans="1:36" s="143" customFormat="1" ht="21.75" customHeight="1">
      <c r="A92" s="232"/>
      <c r="B92" s="233" t="s">
        <v>1540</v>
      </c>
      <c r="C92" s="234"/>
      <c r="D92" s="235"/>
      <c r="E92" s="236"/>
      <c r="F92" s="237">
        <f>SUM(G92:H92)</f>
        <v>110700</v>
      </c>
      <c r="G92" s="237">
        <v>110700</v>
      </c>
      <c r="H92" s="238"/>
      <c r="I92" s="238">
        <f>+((G92-37900)*0.1)+20</f>
        <v>7300</v>
      </c>
      <c r="J92" s="238"/>
      <c r="K92" s="238">
        <f t="shared" si="18"/>
        <v>103400</v>
      </c>
    </row>
    <row r="93" spans="1:36" s="143" customFormat="1" ht="21.75" customHeight="1">
      <c r="A93" s="232"/>
      <c r="B93" s="233" t="s">
        <v>943</v>
      </c>
      <c r="C93" s="234"/>
      <c r="D93" s="235"/>
      <c r="E93" s="236"/>
      <c r="F93" s="237">
        <f t="shared" ref="F93:F182" si="19">SUM(G93:H93)</f>
        <v>66000</v>
      </c>
      <c r="G93" s="237">
        <v>66000</v>
      </c>
      <c r="H93" s="238"/>
      <c r="I93" s="238">
        <f>+((G93-34100)*0.1)+10</f>
        <v>3200</v>
      </c>
      <c r="J93" s="238"/>
      <c r="K93" s="238">
        <f t="shared" si="18"/>
        <v>62800</v>
      </c>
    </row>
    <row r="94" spans="1:36" s="143" customFormat="1" ht="21.75" customHeight="1">
      <c r="A94" s="232"/>
      <c r="B94" s="251" t="s">
        <v>1371</v>
      </c>
      <c r="C94" s="234"/>
      <c r="D94" s="235"/>
      <c r="E94" s="236"/>
      <c r="F94" s="237"/>
      <c r="G94" s="237">
        <v>6600</v>
      </c>
      <c r="H94" s="238"/>
      <c r="I94" s="238"/>
      <c r="J94" s="238"/>
      <c r="K94" s="238">
        <f t="shared" si="18"/>
        <v>6600</v>
      </c>
    </row>
    <row r="95" spans="1:36" s="143" customFormat="1" ht="21.75" customHeight="1">
      <c r="A95" s="232"/>
      <c r="B95" s="233" t="s">
        <v>1246</v>
      </c>
      <c r="C95" s="234"/>
      <c r="D95" s="235"/>
      <c r="E95" s="236"/>
      <c r="F95" s="237"/>
      <c r="G95" s="237">
        <v>84000</v>
      </c>
      <c r="H95" s="238"/>
      <c r="I95" s="238">
        <f>+((G95-37900)*0.1)-10</f>
        <v>4600</v>
      </c>
      <c r="J95" s="238"/>
      <c r="K95" s="238">
        <f t="shared" si="18"/>
        <v>79400</v>
      </c>
    </row>
    <row r="96" spans="1:36" s="143" customFormat="1" ht="36" customHeight="1">
      <c r="A96" s="232"/>
      <c r="B96" s="251" t="s">
        <v>1173</v>
      </c>
      <c r="C96" s="234"/>
      <c r="D96" s="235"/>
      <c r="E96" s="236"/>
      <c r="F96" s="237"/>
      <c r="G96" s="237">
        <v>62800</v>
      </c>
      <c r="H96" s="238"/>
      <c r="I96" s="238"/>
      <c r="J96" s="238"/>
      <c r="K96" s="238">
        <f t="shared" si="18"/>
        <v>62800</v>
      </c>
    </row>
    <row r="97" spans="1:33" s="231" customFormat="1" ht="21.75" customHeight="1">
      <c r="A97" s="224"/>
      <c r="B97" s="225" t="s">
        <v>236</v>
      </c>
      <c r="C97" s="226">
        <v>6</v>
      </c>
      <c r="D97" s="227">
        <v>5</v>
      </c>
      <c r="E97" s="228"/>
      <c r="F97" s="229">
        <f>SUM(F98:F99)</f>
        <v>1112995.2</v>
      </c>
      <c r="G97" s="229">
        <f>SUM(G98:G100)</f>
        <v>1179129.20832</v>
      </c>
      <c r="H97" s="229">
        <f>SUM(H98:H100)</f>
        <v>17400</v>
      </c>
      <c r="I97" s="229">
        <f>SUM(I98:I100)</f>
        <v>0</v>
      </c>
      <c r="J97" s="229">
        <f>SUM(J98:J100)</f>
        <v>0</v>
      </c>
      <c r="K97" s="229">
        <f>SUM(K98:K100)</f>
        <v>1179129.20832</v>
      </c>
    </row>
    <row r="98" spans="1:33" s="143" customFormat="1" ht="21.75" customHeight="1">
      <c r="A98" s="232"/>
      <c r="B98" s="233" t="s">
        <v>8</v>
      </c>
      <c r="C98" s="234"/>
      <c r="D98" s="235"/>
      <c r="E98" s="241">
        <v>33.44</v>
      </c>
      <c r="F98" s="237">
        <f t="shared" si="19"/>
        <v>938995.19999999995</v>
      </c>
      <c r="G98" s="237">
        <f>+E98*2340*12</f>
        <v>938995.19999999995</v>
      </c>
      <c r="H98" s="238"/>
      <c r="I98" s="238"/>
      <c r="J98" s="238"/>
      <c r="K98" s="238">
        <f>+G98-I98-J98</f>
        <v>938995.19999999995</v>
      </c>
    </row>
    <row r="99" spans="1:33" s="143" customFormat="1" ht="21.75" customHeight="1">
      <c r="A99" s="232"/>
      <c r="B99" s="239" t="s">
        <v>9</v>
      </c>
      <c r="C99" s="234"/>
      <c r="D99" s="235"/>
      <c r="E99" s="234">
        <v>29000</v>
      </c>
      <c r="F99" s="237">
        <f t="shared" si="19"/>
        <v>174000</v>
      </c>
      <c r="G99" s="237">
        <f>+C97*E99-(C97*E99*10%)</f>
        <v>156600</v>
      </c>
      <c r="H99" s="238">
        <f>+C97*E99*10%</f>
        <v>17400</v>
      </c>
      <c r="I99" s="238"/>
      <c r="J99" s="238"/>
      <c r="K99" s="238">
        <f>+G99-I99-J99</f>
        <v>156600</v>
      </c>
    </row>
    <row r="100" spans="1:33" s="143" customFormat="1" ht="21.75" customHeight="1">
      <c r="A100" s="232"/>
      <c r="B100" s="233" t="s">
        <v>228</v>
      </c>
      <c r="C100" s="234"/>
      <c r="D100" s="235">
        <f>+C97-D97</f>
        <v>1</v>
      </c>
      <c r="E100" s="241">
        <f>2.34+0.98+(2.34*22.5%)+(0.98*9.44%*0.225)</f>
        <v>3.8673151999999997</v>
      </c>
      <c r="F100" s="237">
        <f>SUM(G100:H100)</f>
        <v>83534.008319999994</v>
      </c>
      <c r="G100" s="237">
        <f>+E100*1800*12</f>
        <v>83534.008319999994</v>
      </c>
      <c r="H100" s="238"/>
      <c r="I100" s="238"/>
      <c r="J100" s="238"/>
      <c r="K100" s="238">
        <f>+G100-I100-J100</f>
        <v>83534.008319999994</v>
      </c>
    </row>
    <row r="101" spans="1:33" s="143" customFormat="1" ht="21.75" customHeight="1">
      <c r="A101" s="232"/>
      <c r="B101" s="251" t="s">
        <v>1371</v>
      </c>
      <c r="C101" s="234"/>
      <c r="D101" s="235"/>
      <c r="E101" s="236"/>
      <c r="F101" s="237"/>
      <c r="G101" s="237">
        <v>5850</v>
      </c>
      <c r="H101" s="238"/>
      <c r="I101" s="238"/>
      <c r="J101" s="238"/>
      <c r="K101" s="238">
        <f>+G101-I101-J101</f>
        <v>5850</v>
      </c>
    </row>
    <row r="102" spans="1:33" s="143" customFormat="1" ht="33.75" customHeight="1">
      <c r="A102" s="232"/>
      <c r="B102" s="251" t="s">
        <v>1173</v>
      </c>
      <c r="C102" s="234"/>
      <c r="D102" s="235"/>
      <c r="E102" s="241"/>
      <c r="F102" s="237"/>
      <c r="G102" s="237">
        <v>57800</v>
      </c>
      <c r="H102" s="238"/>
      <c r="I102" s="238"/>
      <c r="J102" s="238"/>
      <c r="K102" s="238">
        <f>+G102-I102-J102</f>
        <v>57800</v>
      </c>
    </row>
    <row r="103" spans="1:33" s="231" customFormat="1" ht="21.75" customHeight="1">
      <c r="A103" s="224"/>
      <c r="B103" s="225" t="s">
        <v>235</v>
      </c>
      <c r="C103" s="226">
        <v>6</v>
      </c>
      <c r="D103" s="227">
        <v>6</v>
      </c>
      <c r="E103" s="228"/>
      <c r="F103" s="229">
        <f>SUM(F104:F107)</f>
        <v>1301728</v>
      </c>
      <c r="G103" s="229">
        <f t="shared" ref="G103:AF103" si="20">SUM(G104:G110)</f>
        <v>1414778</v>
      </c>
      <c r="H103" s="229">
        <f t="shared" si="20"/>
        <v>17400</v>
      </c>
      <c r="I103" s="229">
        <f t="shared" si="20"/>
        <v>9500</v>
      </c>
      <c r="J103" s="229">
        <f t="shared" si="20"/>
        <v>0</v>
      </c>
      <c r="K103" s="229">
        <f t="shared" si="20"/>
        <v>1405278</v>
      </c>
      <c r="L103" s="229">
        <f t="shared" si="20"/>
        <v>0</v>
      </c>
      <c r="M103" s="229">
        <f t="shared" si="20"/>
        <v>0</v>
      </c>
      <c r="N103" s="229">
        <f t="shared" si="20"/>
        <v>0</v>
      </c>
      <c r="O103" s="229">
        <f t="shared" si="20"/>
        <v>0</v>
      </c>
      <c r="P103" s="229">
        <f t="shared" si="20"/>
        <v>0</v>
      </c>
      <c r="Q103" s="229">
        <f t="shared" si="20"/>
        <v>0</v>
      </c>
      <c r="R103" s="229">
        <f t="shared" si="20"/>
        <v>0</v>
      </c>
      <c r="S103" s="229">
        <f t="shared" si="20"/>
        <v>0</v>
      </c>
      <c r="T103" s="229">
        <f t="shared" si="20"/>
        <v>0</v>
      </c>
      <c r="U103" s="229">
        <f t="shared" si="20"/>
        <v>0</v>
      </c>
      <c r="V103" s="229">
        <f t="shared" si="20"/>
        <v>0</v>
      </c>
      <c r="W103" s="229">
        <f t="shared" si="20"/>
        <v>0</v>
      </c>
      <c r="X103" s="229">
        <f t="shared" si="20"/>
        <v>0</v>
      </c>
      <c r="Y103" s="229">
        <f t="shared" si="20"/>
        <v>0</v>
      </c>
      <c r="Z103" s="229">
        <f t="shared" si="20"/>
        <v>0</v>
      </c>
      <c r="AA103" s="229">
        <f t="shared" si="20"/>
        <v>0</v>
      </c>
      <c r="AB103" s="229">
        <f t="shared" si="20"/>
        <v>0</v>
      </c>
      <c r="AC103" s="229">
        <f t="shared" si="20"/>
        <v>0</v>
      </c>
      <c r="AD103" s="229">
        <f t="shared" si="20"/>
        <v>0</v>
      </c>
      <c r="AE103" s="229">
        <f t="shared" si="20"/>
        <v>0</v>
      </c>
      <c r="AF103" s="229">
        <f t="shared" si="20"/>
        <v>0</v>
      </c>
      <c r="AG103" s="778"/>
    </row>
    <row r="104" spans="1:33" s="143" customFormat="1" ht="21.75" customHeight="1">
      <c r="A104" s="232"/>
      <c r="B104" s="233" t="s">
        <v>8</v>
      </c>
      <c r="C104" s="234"/>
      <c r="D104" s="235"/>
      <c r="E104" s="241">
        <v>36.6</v>
      </c>
      <c r="F104" s="237">
        <f t="shared" si="19"/>
        <v>1027728</v>
      </c>
      <c r="G104" s="237">
        <f>+E104*2340*12</f>
        <v>1027728</v>
      </c>
      <c r="H104" s="238"/>
      <c r="I104" s="238"/>
      <c r="J104" s="238"/>
      <c r="K104" s="238">
        <f>+G104-I104-J104</f>
        <v>1027728</v>
      </c>
    </row>
    <row r="105" spans="1:33" s="143" customFormat="1" ht="21.75" customHeight="1">
      <c r="A105" s="232"/>
      <c r="B105" s="239" t="s">
        <v>9</v>
      </c>
      <c r="C105" s="234"/>
      <c r="D105" s="235"/>
      <c r="E105" s="234">
        <v>29000</v>
      </c>
      <c r="F105" s="237">
        <f t="shared" si="19"/>
        <v>174000</v>
      </c>
      <c r="G105" s="237">
        <f>+C103*E105-(C103*E105*10%)</f>
        <v>156600</v>
      </c>
      <c r="H105" s="238">
        <f>+C103*E105*10%</f>
        <v>17400</v>
      </c>
      <c r="I105" s="238"/>
      <c r="J105" s="238"/>
      <c r="K105" s="238">
        <f t="shared" ref="K105:K111" si="21">+G105-I105-J105</f>
        <v>156600</v>
      </c>
    </row>
    <row r="106" spans="1:33" s="143" customFormat="1" ht="36.75" hidden="1" customHeight="1">
      <c r="A106" s="232"/>
      <c r="B106" s="233" t="s">
        <v>228</v>
      </c>
      <c r="C106" s="234"/>
      <c r="D106" s="235">
        <f>C103-D103</f>
        <v>0</v>
      </c>
      <c r="E106" s="241">
        <f>2.34+0.98+(2.34*22.5%)+(0.98*9.44%*0.225)</f>
        <v>3.8673151999999997</v>
      </c>
      <c r="F106" s="237">
        <f t="shared" si="19"/>
        <v>0</v>
      </c>
      <c r="G106" s="237">
        <f>+D106*E106*1490*12</f>
        <v>0</v>
      </c>
      <c r="H106" s="238"/>
      <c r="I106" s="238"/>
      <c r="J106" s="238"/>
      <c r="K106" s="238">
        <f t="shared" si="21"/>
        <v>0</v>
      </c>
    </row>
    <row r="107" spans="1:33" s="143" customFormat="1" ht="36" customHeight="1">
      <c r="A107" s="232"/>
      <c r="B107" s="233" t="s">
        <v>749</v>
      </c>
      <c r="C107" s="234"/>
      <c r="D107" s="235"/>
      <c r="E107" s="236"/>
      <c r="F107" s="237">
        <f t="shared" si="19"/>
        <v>100000</v>
      </c>
      <c r="G107" s="237">
        <v>100000</v>
      </c>
      <c r="H107" s="238"/>
      <c r="I107" s="238">
        <f>+((G107-66150)*0.1)+15</f>
        <v>3400</v>
      </c>
      <c r="J107" s="238"/>
      <c r="K107" s="238">
        <f t="shared" si="21"/>
        <v>96600</v>
      </c>
    </row>
    <row r="108" spans="1:33" s="143" customFormat="1" ht="18.75" customHeight="1">
      <c r="A108" s="232"/>
      <c r="B108" s="233" t="s">
        <v>845</v>
      </c>
      <c r="C108" s="234"/>
      <c r="D108" s="235"/>
      <c r="E108" s="236"/>
      <c r="F108" s="237"/>
      <c r="G108" s="237">
        <v>61400</v>
      </c>
      <c r="H108" s="238"/>
      <c r="I108" s="238">
        <f>+(G108*0.1)-40</f>
        <v>6100</v>
      </c>
      <c r="J108" s="238"/>
      <c r="K108" s="238">
        <f t="shared" si="21"/>
        <v>55300</v>
      </c>
    </row>
    <row r="109" spans="1:33" s="143" customFormat="1" ht="18.75" customHeight="1">
      <c r="A109" s="232"/>
      <c r="B109" s="251" t="s">
        <v>1371</v>
      </c>
      <c r="C109" s="234"/>
      <c r="D109" s="235"/>
      <c r="E109" s="236"/>
      <c r="F109" s="237"/>
      <c r="G109" s="237">
        <v>5550</v>
      </c>
      <c r="H109" s="238"/>
      <c r="I109" s="238"/>
      <c r="J109" s="238"/>
      <c r="K109" s="238">
        <f t="shared" si="21"/>
        <v>5550</v>
      </c>
    </row>
    <row r="110" spans="1:33" s="143" customFormat="1" ht="36" customHeight="1">
      <c r="A110" s="232"/>
      <c r="B110" s="251" t="s">
        <v>1173</v>
      </c>
      <c r="C110" s="234"/>
      <c r="D110" s="235"/>
      <c r="E110" s="236"/>
      <c r="F110" s="237"/>
      <c r="G110" s="237">
        <v>63500</v>
      </c>
      <c r="H110" s="238"/>
      <c r="I110" s="238"/>
      <c r="J110" s="238"/>
      <c r="K110" s="238">
        <f t="shared" si="21"/>
        <v>63500</v>
      </c>
    </row>
    <row r="111" spans="1:33" s="231" customFormat="1" ht="21.6" customHeight="1">
      <c r="A111" s="224"/>
      <c r="B111" s="225" t="s">
        <v>229</v>
      </c>
      <c r="C111" s="226">
        <v>3</v>
      </c>
      <c r="D111" s="227">
        <v>2</v>
      </c>
      <c r="E111" s="228"/>
      <c r="F111" s="229">
        <f>SUM(F112:F116)</f>
        <v>680343.60832</v>
      </c>
      <c r="G111" s="229">
        <f>SUM(G112:G116)</f>
        <v>671643.60832</v>
      </c>
      <c r="H111" s="230">
        <f>SUM(H112:H116)</f>
        <v>8700</v>
      </c>
      <c r="I111" s="230">
        <f>SUM(I112:I116)</f>
        <v>0</v>
      </c>
      <c r="J111" s="230">
        <f>SUM(J112:J116)</f>
        <v>0</v>
      </c>
      <c r="K111" s="240">
        <f t="shared" si="21"/>
        <v>671643.60832</v>
      </c>
    </row>
    <row r="112" spans="1:33" s="143" customFormat="1" ht="21.6" customHeight="1">
      <c r="A112" s="232"/>
      <c r="B112" s="233" t="s">
        <v>8</v>
      </c>
      <c r="C112" s="234"/>
      <c r="D112" s="235"/>
      <c r="E112" s="241">
        <v>13.12</v>
      </c>
      <c r="F112" s="237">
        <f t="shared" si="19"/>
        <v>368409.59999999998</v>
      </c>
      <c r="G112" s="237">
        <f>+E112*2340*12</f>
        <v>368409.59999999998</v>
      </c>
      <c r="H112" s="238"/>
      <c r="I112" s="238"/>
      <c r="J112" s="238"/>
      <c r="K112" s="238">
        <f t="shared" ref="K112:K117" si="22">+G112-I112-J112</f>
        <v>368409.59999999998</v>
      </c>
    </row>
    <row r="113" spans="1:33" s="143" customFormat="1" ht="21.6" customHeight="1">
      <c r="A113" s="232"/>
      <c r="B113" s="239" t="s">
        <v>9</v>
      </c>
      <c r="C113" s="234"/>
      <c r="D113" s="235"/>
      <c r="E113" s="234">
        <v>29000</v>
      </c>
      <c r="F113" s="237">
        <f t="shared" si="19"/>
        <v>87000</v>
      </c>
      <c r="G113" s="237">
        <f>+C111*E113-(C111*E113*10%)</f>
        <v>78300</v>
      </c>
      <c r="H113" s="238">
        <f>+C111*E113*10%</f>
        <v>8700</v>
      </c>
      <c r="I113" s="238"/>
      <c r="J113" s="238"/>
      <c r="K113" s="238">
        <f t="shared" si="22"/>
        <v>78300</v>
      </c>
    </row>
    <row r="114" spans="1:33" s="143" customFormat="1" ht="21.75" customHeight="1">
      <c r="A114" s="232"/>
      <c r="B114" s="233" t="s">
        <v>228</v>
      </c>
      <c r="C114" s="234"/>
      <c r="D114" s="235">
        <f>+C111-D111</f>
        <v>1</v>
      </c>
      <c r="E114" s="241">
        <f>2.34+0.98+(2.34*22.5%)+(0.98*9.44%*0.225)</f>
        <v>3.8673151999999997</v>
      </c>
      <c r="F114" s="237">
        <f>SUM(G114:H114)</f>
        <v>83534.008319999994</v>
      </c>
      <c r="G114" s="237">
        <f>+E114*1800*12</f>
        <v>83534.008319999994</v>
      </c>
      <c r="H114" s="238"/>
      <c r="I114" s="238"/>
      <c r="J114" s="238"/>
      <c r="K114" s="238">
        <f t="shared" si="22"/>
        <v>83534.008319999994</v>
      </c>
    </row>
    <row r="115" spans="1:33" s="143" customFormat="1" ht="21.6" customHeight="1">
      <c r="A115" s="232"/>
      <c r="B115" s="239" t="s">
        <v>230</v>
      </c>
      <c r="C115" s="234"/>
      <c r="D115" s="235"/>
      <c r="E115" s="242">
        <v>0</v>
      </c>
      <c r="F115" s="237">
        <f t="shared" si="19"/>
        <v>92800</v>
      </c>
      <c r="G115" s="237">
        <v>92800</v>
      </c>
      <c r="H115" s="238"/>
      <c r="I115" s="238"/>
      <c r="J115" s="238"/>
      <c r="K115" s="238">
        <f t="shared" si="22"/>
        <v>92800</v>
      </c>
    </row>
    <row r="116" spans="1:33" s="143" customFormat="1" ht="21.6" customHeight="1">
      <c r="A116" s="232"/>
      <c r="B116" s="239" t="s">
        <v>233</v>
      </c>
      <c r="C116" s="234"/>
      <c r="D116" s="235"/>
      <c r="E116" s="242"/>
      <c r="F116" s="237">
        <f t="shared" si="19"/>
        <v>48600</v>
      </c>
      <c r="G116" s="237">
        <v>48600</v>
      </c>
      <c r="H116" s="238"/>
      <c r="I116" s="238"/>
      <c r="J116" s="238"/>
      <c r="K116" s="238">
        <f t="shared" si="22"/>
        <v>48600</v>
      </c>
    </row>
    <row r="117" spans="1:33" s="143" customFormat="1" ht="34.5" customHeight="1">
      <c r="A117" s="232"/>
      <c r="B117" s="251" t="s">
        <v>1173</v>
      </c>
      <c r="C117" s="234"/>
      <c r="D117" s="235"/>
      <c r="E117" s="242"/>
      <c r="F117" s="237"/>
      <c r="G117" s="237">
        <v>21400</v>
      </c>
      <c r="H117" s="238"/>
      <c r="I117" s="238"/>
      <c r="J117" s="238"/>
      <c r="K117" s="238">
        <f t="shared" si="22"/>
        <v>21400</v>
      </c>
    </row>
    <row r="118" spans="1:33" s="231" customFormat="1" ht="21.6" customHeight="1">
      <c r="A118" s="224"/>
      <c r="B118" s="225" t="s">
        <v>238</v>
      </c>
      <c r="C118" s="226">
        <v>3</v>
      </c>
      <c r="D118" s="227">
        <v>3</v>
      </c>
      <c r="E118" s="228"/>
      <c r="F118" s="229">
        <f>SUM(F119:F124)</f>
        <v>482043.60000000003</v>
      </c>
      <c r="G118" s="229">
        <f>SUM(G119:G126)</f>
        <v>688718</v>
      </c>
      <c r="H118" s="229">
        <f>SUM(H119:H126)</f>
        <v>8700</v>
      </c>
      <c r="I118" s="229">
        <f>SUM(I119:I126)</f>
        <v>0</v>
      </c>
      <c r="J118" s="229">
        <f>SUM(J119:J126)</f>
        <v>0</v>
      </c>
      <c r="K118" s="229">
        <f>SUM(K119:K126)</f>
        <v>688718</v>
      </c>
      <c r="L118" s="229">
        <f t="shared" ref="L118:AF118" si="23">SUM(L119:L126)</f>
        <v>0</v>
      </c>
      <c r="M118" s="229">
        <f t="shared" si="23"/>
        <v>0</v>
      </c>
      <c r="N118" s="229">
        <f t="shared" si="23"/>
        <v>0</v>
      </c>
      <c r="O118" s="229">
        <f t="shared" si="23"/>
        <v>0</v>
      </c>
      <c r="P118" s="229">
        <f t="shared" si="23"/>
        <v>0</v>
      </c>
      <c r="Q118" s="229">
        <f t="shared" si="23"/>
        <v>0</v>
      </c>
      <c r="R118" s="229">
        <f t="shared" si="23"/>
        <v>0</v>
      </c>
      <c r="S118" s="229">
        <f t="shared" si="23"/>
        <v>0</v>
      </c>
      <c r="T118" s="229">
        <f t="shared" si="23"/>
        <v>0</v>
      </c>
      <c r="U118" s="229">
        <f t="shared" si="23"/>
        <v>0</v>
      </c>
      <c r="V118" s="229">
        <f t="shared" si="23"/>
        <v>0</v>
      </c>
      <c r="W118" s="229">
        <f t="shared" si="23"/>
        <v>0</v>
      </c>
      <c r="X118" s="229">
        <f t="shared" si="23"/>
        <v>0</v>
      </c>
      <c r="Y118" s="229">
        <f t="shared" si="23"/>
        <v>0</v>
      </c>
      <c r="Z118" s="229">
        <f t="shared" si="23"/>
        <v>0</v>
      </c>
      <c r="AA118" s="229">
        <f t="shared" si="23"/>
        <v>0</v>
      </c>
      <c r="AB118" s="229">
        <f t="shared" si="23"/>
        <v>0</v>
      </c>
      <c r="AC118" s="229">
        <f t="shared" si="23"/>
        <v>0</v>
      </c>
      <c r="AD118" s="229">
        <f t="shared" si="23"/>
        <v>0</v>
      </c>
      <c r="AE118" s="229">
        <f t="shared" si="23"/>
        <v>0</v>
      </c>
      <c r="AF118" s="229">
        <f t="shared" si="23"/>
        <v>0</v>
      </c>
      <c r="AG118" s="778"/>
    </row>
    <row r="119" spans="1:33" s="143" customFormat="1" ht="21.6" customHeight="1">
      <c r="A119" s="232"/>
      <c r="B119" s="233" t="s">
        <v>8</v>
      </c>
      <c r="C119" s="234"/>
      <c r="D119" s="235"/>
      <c r="E119" s="241">
        <v>11.97</v>
      </c>
      <c r="F119" s="237">
        <f t="shared" si="19"/>
        <v>336117.60000000003</v>
      </c>
      <c r="G119" s="237">
        <f>+E119*2340*12</f>
        <v>336117.60000000003</v>
      </c>
      <c r="H119" s="238"/>
      <c r="I119" s="238"/>
      <c r="J119" s="238"/>
      <c r="K119" s="238">
        <f t="shared" ref="K119:K126" si="24">+G119-I119-J119</f>
        <v>336117.60000000003</v>
      </c>
    </row>
    <row r="120" spans="1:33" s="143" customFormat="1" ht="21.6" customHeight="1">
      <c r="A120" s="232"/>
      <c r="B120" s="233" t="s">
        <v>945</v>
      </c>
      <c r="C120" s="234"/>
      <c r="D120" s="235"/>
      <c r="E120" s="241">
        <v>7.06</v>
      </c>
      <c r="F120" s="237"/>
      <c r="G120" s="237">
        <f>+E120*2340*11</f>
        <v>181724.39999999997</v>
      </c>
      <c r="H120" s="238"/>
      <c r="I120" s="238"/>
      <c r="J120" s="238"/>
      <c r="K120" s="238">
        <f t="shared" si="24"/>
        <v>181724.39999999997</v>
      </c>
    </row>
    <row r="121" spans="1:33" s="143" customFormat="1" ht="21.6" customHeight="1">
      <c r="A121" s="232"/>
      <c r="B121" s="239" t="s">
        <v>9</v>
      </c>
      <c r="C121" s="234"/>
      <c r="D121" s="235"/>
      <c r="E121" s="234">
        <v>29000</v>
      </c>
      <c r="F121" s="237">
        <f t="shared" si="19"/>
        <v>87000</v>
      </c>
      <c r="G121" s="237">
        <f>+C118*E121-(C118*E121*10%)</f>
        <v>78300</v>
      </c>
      <c r="H121" s="238">
        <f>+C118*E121*10%</f>
        <v>8700</v>
      </c>
      <c r="I121" s="238"/>
      <c r="J121" s="238"/>
      <c r="K121" s="238">
        <f t="shared" si="24"/>
        <v>78300</v>
      </c>
    </row>
    <row r="122" spans="1:33" s="143" customFormat="1" ht="21.6" customHeight="1">
      <c r="A122" s="232"/>
      <c r="B122" s="239" t="s">
        <v>542</v>
      </c>
      <c r="C122" s="234"/>
      <c r="D122" s="235"/>
      <c r="E122" s="234"/>
      <c r="F122" s="237">
        <f t="shared" si="19"/>
        <v>9226</v>
      </c>
      <c r="G122" s="237">
        <v>9226</v>
      </c>
      <c r="H122" s="238"/>
      <c r="I122" s="238"/>
      <c r="J122" s="238"/>
      <c r="K122" s="238">
        <f t="shared" si="24"/>
        <v>9226</v>
      </c>
    </row>
    <row r="123" spans="1:33" s="143" customFormat="1" ht="21.75" customHeight="1">
      <c r="A123" s="232"/>
      <c r="B123" s="239" t="s">
        <v>1430</v>
      </c>
      <c r="C123" s="234"/>
      <c r="D123" s="235"/>
      <c r="E123" s="234"/>
      <c r="F123" s="237">
        <f t="shared" si="19"/>
        <v>4000</v>
      </c>
      <c r="G123" s="654">
        <v>4000</v>
      </c>
      <c r="H123" s="238"/>
      <c r="I123" s="238"/>
      <c r="J123" s="238"/>
      <c r="K123" s="238">
        <f t="shared" si="24"/>
        <v>4000</v>
      </c>
    </row>
    <row r="124" spans="1:33" s="143" customFormat="1" ht="76.5" customHeight="1">
      <c r="A124" s="232"/>
      <c r="B124" s="239" t="s">
        <v>1368</v>
      </c>
      <c r="C124" s="234"/>
      <c r="D124" s="235"/>
      <c r="E124" s="234"/>
      <c r="F124" s="237">
        <f t="shared" si="19"/>
        <v>45700</v>
      </c>
      <c r="G124" s="654">
        <v>45700</v>
      </c>
      <c r="H124" s="238"/>
      <c r="I124" s="238"/>
      <c r="J124" s="238"/>
      <c r="K124" s="238">
        <f t="shared" si="24"/>
        <v>45700</v>
      </c>
    </row>
    <row r="125" spans="1:33" s="143" customFormat="1" ht="18.75" customHeight="1">
      <c r="A125" s="232"/>
      <c r="B125" s="251" t="s">
        <v>1371</v>
      </c>
      <c r="C125" s="234"/>
      <c r="D125" s="235"/>
      <c r="E125" s="234"/>
      <c r="F125" s="237"/>
      <c r="G125" s="654">
        <v>5550</v>
      </c>
      <c r="H125" s="238"/>
      <c r="I125" s="238"/>
      <c r="J125" s="238"/>
      <c r="K125" s="238">
        <f t="shared" si="24"/>
        <v>5550</v>
      </c>
    </row>
    <row r="126" spans="1:33" s="143" customFormat="1" ht="37.5" customHeight="1">
      <c r="A126" s="232"/>
      <c r="B126" s="251" t="s">
        <v>1173</v>
      </c>
      <c r="C126" s="234"/>
      <c r="D126" s="235"/>
      <c r="E126" s="234"/>
      <c r="F126" s="237"/>
      <c r="G126" s="654">
        <v>28100</v>
      </c>
      <c r="H126" s="238"/>
      <c r="I126" s="238"/>
      <c r="J126" s="238"/>
      <c r="K126" s="238">
        <f t="shared" si="24"/>
        <v>28100</v>
      </c>
    </row>
    <row r="127" spans="1:33" s="231" customFormat="1" ht="23.1" customHeight="1">
      <c r="A127" s="224"/>
      <c r="B127" s="225" t="s">
        <v>239</v>
      </c>
      <c r="C127" s="226">
        <v>6</v>
      </c>
      <c r="D127" s="227">
        <v>6</v>
      </c>
      <c r="E127" s="228"/>
      <c r="F127" s="229">
        <f>SUM(F128:F132)</f>
        <v>1225221.6000000001</v>
      </c>
      <c r="G127" s="229">
        <f>SUM(G128:G137)</f>
        <v>5534771.5999999996</v>
      </c>
      <c r="H127" s="229">
        <f>SUM(H128:H137)</f>
        <v>17400</v>
      </c>
      <c r="I127" s="229">
        <f>SUM(I128:I137)</f>
        <v>168900</v>
      </c>
      <c r="J127" s="229">
        <f>SUM(J128:J137)</f>
        <v>0</v>
      </c>
      <c r="K127" s="229">
        <f>SUM(K128:K137)</f>
        <v>5365871.5999999996</v>
      </c>
    </row>
    <row r="128" spans="1:33" s="143" customFormat="1" ht="23.1" customHeight="1">
      <c r="A128" s="232"/>
      <c r="B128" s="233" t="s">
        <v>8</v>
      </c>
      <c r="C128" s="234"/>
      <c r="D128" s="235"/>
      <c r="E128" s="241">
        <v>34.520000000000003</v>
      </c>
      <c r="F128" s="237">
        <f t="shared" si="19"/>
        <v>969321.60000000009</v>
      </c>
      <c r="G128" s="237">
        <f>+E128*2340*12</f>
        <v>969321.60000000009</v>
      </c>
      <c r="H128" s="238"/>
      <c r="I128" s="238"/>
      <c r="J128" s="238"/>
      <c r="K128" s="238">
        <f>+G128-I128-J128</f>
        <v>969321.60000000009</v>
      </c>
    </row>
    <row r="129" spans="1:16" s="143" customFormat="1" ht="23.1" customHeight="1">
      <c r="A129" s="232"/>
      <c r="B129" s="239" t="s">
        <v>9</v>
      </c>
      <c r="C129" s="234"/>
      <c r="D129" s="235"/>
      <c r="E129" s="234">
        <v>29000</v>
      </c>
      <c r="F129" s="237">
        <f t="shared" si="19"/>
        <v>174000</v>
      </c>
      <c r="G129" s="237">
        <f>+C127*E129-(C127*E129*10%)</f>
        <v>156600</v>
      </c>
      <c r="H129" s="238">
        <f>+C127*E129*10%</f>
        <v>17400</v>
      </c>
      <c r="I129" s="238"/>
      <c r="J129" s="238"/>
      <c r="K129" s="238">
        <f t="shared" ref="K129:K137" si="25">+G129-I129-J129</f>
        <v>156600</v>
      </c>
    </row>
    <row r="130" spans="1:16" s="143" customFormat="1" ht="23.1" hidden="1" customHeight="1">
      <c r="A130" s="232"/>
      <c r="B130" s="239" t="s">
        <v>611</v>
      </c>
      <c r="C130" s="234"/>
      <c r="D130" s="235"/>
      <c r="E130" s="234"/>
      <c r="F130" s="237"/>
      <c r="G130" s="237"/>
      <c r="H130" s="238"/>
      <c r="I130" s="238"/>
      <c r="J130" s="238"/>
      <c r="K130" s="238">
        <f t="shared" si="25"/>
        <v>0</v>
      </c>
    </row>
    <row r="131" spans="1:16" s="143" customFormat="1" ht="23.1" customHeight="1">
      <c r="A131" s="232"/>
      <c r="B131" s="239" t="s">
        <v>343</v>
      </c>
      <c r="C131" s="234"/>
      <c r="D131" s="235"/>
      <c r="E131" s="234"/>
      <c r="F131" s="237">
        <f t="shared" si="19"/>
        <v>42500</v>
      </c>
      <c r="G131" s="238">
        <v>42500</v>
      </c>
      <c r="H131" s="238"/>
      <c r="I131" s="238"/>
      <c r="J131" s="238"/>
      <c r="K131" s="238">
        <f t="shared" si="25"/>
        <v>42500</v>
      </c>
    </row>
    <row r="132" spans="1:16" s="143" customFormat="1" ht="23.1" customHeight="1">
      <c r="A132" s="232"/>
      <c r="B132" s="239" t="s">
        <v>434</v>
      </c>
      <c r="C132" s="234"/>
      <c r="D132" s="235"/>
      <c r="E132" s="234"/>
      <c r="F132" s="237">
        <f>SUM(G132:H132)</f>
        <v>39400</v>
      </c>
      <c r="G132" s="238">
        <v>39400</v>
      </c>
      <c r="H132" s="238"/>
      <c r="I132" s="238"/>
      <c r="J132" s="238"/>
      <c r="K132" s="238">
        <f t="shared" si="25"/>
        <v>39400</v>
      </c>
    </row>
    <row r="133" spans="1:16" s="143" customFormat="1" ht="23.1" customHeight="1">
      <c r="A133" s="232"/>
      <c r="B133" s="251" t="s">
        <v>1371</v>
      </c>
      <c r="C133" s="234"/>
      <c r="D133" s="235"/>
      <c r="E133" s="234"/>
      <c r="F133" s="237"/>
      <c r="G133" s="654">
        <v>5550</v>
      </c>
      <c r="H133" s="238"/>
      <c r="I133" s="238"/>
      <c r="J133" s="238"/>
      <c r="K133" s="238">
        <f t="shared" si="25"/>
        <v>5550</v>
      </c>
    </row>
    <row r="134" spans="1:16" s="143" customFormat="1" ht="23.1" customHeight="1">
      <c r="A134" s="232"/>
      <c r="B134" s="239" t="s">
        <v>628</v>
      </c>
      <c r="C134" s="234"/>
      <c r="D134" s="235"/>
      <c r="E134" s="234"/>
      <c r="F134" s="237"/>
      <c r="G134" s="237">
        <v>3979000</v>
      </c>
      <c r="H134" s="238"/>
      <c r="I134" s="238">
        <f>+(G134-2560000)*0.1</f>
        <v>141900</v>
      </c>
      <c r="J134" s="238"/>
      <c r="K134" s="238">
        <f t="shared" si="25"/>
        <v>3837100</v>
      </c>
    </row>
    <row r="135" spans="1:16" s="143" customFormat="1" ht="23.1" customHeight="1">
      <c r="A135" s="232"/>
      <c r="B135" s="239" t="s">
        <v>1422</v>
      </c>
      <c r="C135" s="234"/>
      <c r="D135" s="235"/>
      <c r="E135" s="234"/>
      <c r="F135" s="237"/>
      <c r="G135" s="237">
        <v>270000</v>
      </c>
      <c r="H135" s="238"/>
      <c r="I135" s="238">
        <f>+G135*0.1</f>
        <v>27000</v>
      </c>
      <c r="J135" s="238"/>
      <c r="K135" s="238">
        <f t="shared" si="25"/>
        <v>243000</v>
      </c>
    </row>
    <row r="136" spans="1:16" s="143" customFormat="1" ht="23.1" customHeight="1">
      <c r="A136" s="232"/>
      <c r="B136" s="239" t="s">
        <v>1421</v>
      </c>
      <c r="C136" s="234"/>
      <c r="D136" s="235"/>
      <c r="E136" s="234"/>
      <c r="F136" s="237"/>
      <c r="G136" s="237">
        <v>13300</v>
      </c>
      <c r="H136" s="238"/>
      <c r="I136" s="238"/>
      <c r="J136" s="238"/>
      <c r="K136" s="238">
        <f t="shared" si="25"/>
        <v>13300</v>
      </c>
    </row>
    <row r="137" spans="1:16" s="143" customFormat="1" ht="34.5" customHeight="1">
      <c r="A137" s="232"/>
      <c r="B137" s="251" t="s">
        <v>1173</v>
      </c>
      <c r="C137" s="234"/>
      <c r="D137" s="235"/>
      <c r="E137" s="234"/>
      <c r="F137" s="237"/>
      <c r="G137" s="237">
        <v>59100</v>
      </c>
      <c r="H137" s="238"/>
      <c r="I137" s="238"/>
      <c r="J137" s="238"/>
      <c r="K137" s="238">
        <f t="shared" si="25"/>
        <v>59100</v>
      </c>
    </row>
    <row r="138" spans="1:16" s="231" customFormat="1" ht="23.1" customHeight="1">
      <c r="A138" s="224"/>
      <c r="B138" s="225" t="s">
        <v>543</v>
      </c>
      <c r="C138" s="226">
        <v>7</v>
      </c>
      <c r="D138" s="227">
        <v>7</v>
      </c>
      <c r="E138" s="228"/>
      <c r="F138" s="229">
        <f>SUM(F139:F142)</f>
        <v>1568155.2</v>
      </c>
      <c r="G138" s="229">
        <f>SUM(G139:G146)</f>
        <v>1718605.2</v>
      </c>
      <c r="H138" s="229">
        <f>SUM(H139:H146)</f>
        <v>20300</v>
      </c>
      <c r="I138" s="229">
        <f>SUM(I139:I146)</f>
        <v>14400</v>
      </c>
      <c r="J138" s="229">
        <f>SUM(J139:J146)</f>
        <v>0</v>
      </c>
      <c r="K138" s="229">
        <f>SUM(K139:K146)</f>
        <v>1704205.2</v>
      </c>
    </row>
    <row r="139" spans="1:16" s="143" customFormat="1" ht="23.1" customHeight="1">
      <c r="A139" s="232"/>
      <c r="B139" s="233" t="s">
        <v>8</v>
      </c>
      <c r="C139" s="234"/>
      <c r="D139" s="235"/>
      <c r="E139" s="241">
        <v>39.19</v>
      </c>
      <c r="F139" s="237">
        <f t="shared" si="19"/>
        <v>1100455.2</v>
      </c>
      <c r="G139" s="237">
        <f>+E139*2340*12</f>
        <v>1100455.2</v>
      </c>
      <c r="H139" s="238"/>
      <c r="I139" s="238"/>
      <c r="J139" s="238"/>
      <c r="K139" s="238">
        <f>+G139-I139-J139</f>
        <v>1100455.2</v>
      </c>
      <c r="O139" s="560"/>
      <c r="P139" s="560"/>
    </row>
    <row r="140" spans="1:16" s="143" customFormat="1" ht="23.1" customHeight="1">
      <c r="A140" s="232"/>
      <c r="B140" s="239" t="s">
        <v>9</v>
      </c>
      <c r="C140" s="234"/>
      <c r="D140" s="235"/>
      <c r="E140" s="234">
        <v>29000</v>
      </c>
      <c r="F140" s="237">
        <f t="shared" si="19"/>
        <v>203000</v>
      </c>
      <c r="G140" s="237">
        <f>+C138*E140-(C138*E140*10%)</f>
        <v>182700</v>
      </c>
      <c r="H140" s="238">
        <f>+C138*E140*10%</f>
        <v>20300</v>
      </c>
      <c r="I140" s="238"/>
      <c r="J140" s="238"/>
      <c r="K140" s="238">
        <f>+G140-I140-J140</f>
        <v>182700</v>
      </c>
    </row>
    <row r="141" spans="1:16" s="143" customFormat="1" ht="23.1" customHeight="1">
      <c r="A141" s="232"/>
      <c r="B141" s="239" t="s">
        <v>234</v>
      </c>
      <c r="C141" s="234"/>
      <c r="D141" s="235"/>
      <c r="E141" s="242"/>
      <c r="F141" s="237">
        <f t="shared" si="19"/>
        <v>182200</v>
      </c>
      <c r="G141" s="237">
        <v>182200</v>
      </c>
      <c r="H141" s="238"/>
      <c r="I141" s="238">
        <f>+((G141-100000)*0.1)-20</f>
        <v>8200</v>
      </c>
      <c r="J141" s="238"/>
      <c r="K141" s="238">
        <f>+G141-I141-J141</f>
        <v>174000</v>
      </c>
    </row>
    <row r="142" spans="1:16" s="143" customFormat="1" ht="54.75" customHeight="1">
      <c r="A142" s="232"/>
      <c r="B142" s="239" t="s">
        <v>1244</v>
      </c>
      <c r="C142" s="234"/>
      <c r="D142" s="235"/>
      <c r="E142" s="242"/>
      <c r="F142" s="237">
        <f t="shared" si="19"/>
        <v>82500</v>
      </c>
      <c r="G142" s="237">
        <v>82500</v>
      </c>
      <c r="H142" s="238"/>
      <c r="I142" s="238">
        <f>+((G142-20000)*0.1)-50</f>
        <v>6200</v>
      </c>
      <c r="J142" s="238"/>
      <c r="K142" s="238">
        <f>+G142-I142-J142</f>
        <v>76300</v>
      </c>
    </row>
    <row r="143" spans="1:16" s="143" customFormat="1" ht="21" customHeight="1">
      <c r="A143" s="232"/>
      <c r="B143" s="239" t="s">
        <v>1242</v>
      </c>
      <c r="C143" s="234"/>
      <c r="D143" s="235"/>
      <c r="E143" s="234"/>
      <c r="F143" s="237"/>
      <c r="G143" s="237">
        <f>+Sheet7!D53</f>
        <v>58300</v>
      </c>
      <c r="H143" s="238"/>
      <c r="I143" s="238"/>
      <c r="J143" s="238"/>
      <c r="K143" s="238">
        <f>+G143</f>
        <v>58300</v>
      </c>
    </row>
    <row r="144" spans="1:16" s="143" customFormat="1" ht="38.25" customHeight="1">
      <c r="A144" s="232"/>
      <c r="B144" s="239" t="s">
        <v>1243</v>
      </c>
      <c r="C144" s="234"/>
      <c r="D144" s="235"/>
      <c r="E144" s="242"/>
      <c r="F144" s="237"/>
      <c r="G144" s="237">
        <f>+Sheet7!D54</f>
        <v>39600</v>
      </c>
      <c r="H144" s="238"/>
      <c r="I144" s="238"/>
      <c r="J144" s="238"/>
      <c r="K144" s="238">
        <f>+G144</f>
        <v>39600</v>
      </c>
    </row>
    <row r="145" spans="1:33" s="143" customFormat="1" ht="19.5" customHeight="1">
      <c r="A145" s="232"/>
      <c r="B145" s="251" t="s">
        <v>1371</v>
      </c>
      <c r="C145" s="234"/>
      <c r="D145" s="235"/>
      <c r="E145" s="242"/>
      <c r="F145" s="237"/>
      <c r="G145" s="237">
        <v>5550</v>
      </c>
      <c r="H145" s="238"/>
      <c r="I145" s="238"/>
      <c r="J145" s="238"/>
      <c r="K145" s="238">
        <f>+G145</f>
        <v>5550</v>
      </c>
    </row>
    <row r="146" spans="1:33" s="143" customFormat="1" ht="39" customHeight="1">
      <c r="A146" s="232"/>
      <c r="B146" s="251" t="s">
        <v>1173</v>
      </c>
      <c r="C146" s="234"/>
      <c r="D146" s="235"/>
      <c r="E146" s="242"/>
      <c r="F146" s="237"/>
      <c r="G146" s="237">
        <v>67300</v>
      </c>
      <c r="H146" s="238"/>
      <c r="I146" s="238"/>
      <c r="J146" s="238"/>
      <c r="K146" s="238">
        <f>+G146</f>
        <v>67300</v>
      </c>
    </row>
    <row r="147" spans="1:33" s="231" customFormat="1" ht="23.25" customHeight="1">
      <c r="A147" s="224"/>
      <c r="B147" s="225" t="s">
        <v>544</v>
      </c>
      <c r="C147" s="226">
        <v>6</v>
      </c>
      <c r="D147" s="227">
        <v>6</v>
      </c>
      <c r="E147" s="228"/>
      <c r="F147" s="229">
        <f>SUM(F148:F151)</f>
        <v>1338204.8</v>
      </c>
      <c r="G147" s="229">
        <f>SUM(G148:G153)</f>
        <v>1390904.8</v>
      </c>
      <c r="H147" s="229">
        <f>SUM(H148:H153)</f>
        <v>17400</v>
      </c>
      <c r="I147" s="229">
        <f>SUM(I148:I153)</f>
        <v>0</v>
      </c>
      <c r="J147" s="229">
        <f>SUM(J148:J153)</f>
        <v>0</v>
      </c>
      <c r="K147" s="229">
        <f>SUM(K148:K153)</f>
        <v>1390904.8</v>
      </c>
    </row>
    <row r="148" spans="1:33" s="143" customFormat="1" ht="23.25" customHeight="1">
      <c r="A148" s="232"/>
      <c r="B148" s="233" t="s">
        <v>8</v>
      </c>
      <c r="C148" s="234"/>
      <c r="D148" s="235"/>
      <c r="E148" s="242">
        <v>37.81</v>
      </c>
      <c r="F148" s="237">
        <f t="shared" si="19"/>
        <v>1061704.8</v>
      </c>
      <c r="G148" s="237">
        <f>+E148*2340*12</f>
        <v>1061704.8</v>
      </c>
      <c r="H148" s="238"/>
      <c r="I148" s="238"/>
      <c r="J148" s="238"/>
      <c r="K148" s="238">
        <f>+G148-I148-J148</f>
        <v>1061704.8</v>
      </c>
    </row>
    <row r="149" spans="1:33" s="143" customFormat="1" ht="23.25" customHeight="1">
      <c r="A149" s="232"/>
      <c r="B149" s="239" t="s">
        <v>9</v>
      </c>
      <c r="C149" s="234"/>
      <c r="D149" s="235"/>
      <c r="E149" s="234">
        <v>29000</v>
      </c>
      <c r="F149" s="237">
        <f t="shared" si="19"/>
        <v>174000</v>
      </c>
      <c r="G149" s="237">
        <f>+C147*E149*90%</f>
        <v>156600</v>
      </c>
      <c r="H149" s="238">
        <f>+C147*E149*10%</f>
        <v>17400</v>
      </c>
      <c r="I149" s="238"/>
      <c r="J149" s="238"/>
      <c r="K149" s="238">
        <f>+G149-I149-J149</f>
        <v>156600</v>
      </c>
    </row>
    <row r="150" spans="1:33" s="143" customFormat="1" ht="23.25" customHeight="1">
      <c r="A150" s="232"/>
      <c r="B150" s="239" t="s">
        <v>670</v>
      </c>
      <c r="C150" s="234"/>
      <c r="D150" s="235"/>
      <c r="E150" s="234"/>
      <c r="F150" s="237">
        <f t="shared" si="19"/>
        <v>77500</v>
      </c>
      <c r="G150" s="237">
        <v>77500</v>
      </c>
      <c r="H150" s="238"/>
      <c r="I150" s="238"/>
      <c r="J150" s="238"/>
      <c r="K150" s="238">
        <f>+G150-I150-J150</f>
        <v>77500</v>
      </c>
    </row>
    <row r="151" spans="1:33" s="143" customFormat="1" ht="23.25" customHeight="1">
      <c r="A151" s="232"/>
      <c r="B151" s="239" t="s">
        <v>278</v>
      </c>
      <c r="C151" s="234"/>
      <c r="D151" s="235"/>
      <c r="E151" s="234"/>
      <c r="F151" s="237">
        <f t="shared" si="19"/>
        <v>25000</v>
      </c>
      <c r="G151" s="237">
        <v>25000</v>
      </c>
      <c r="H151" s="238"/>
      <c r="I151" s="238"/>
      <c r="J151" s="238"/>
      <c r="K151" s="238">
        <f>+G151-I151-J151</f>
        <v>25000</v>
      </c>
    </row>
    <row r="152" spans="1:33" s="143" customFormat="1" ht="19.5" customHeight="1">
      <c r="A152" s="232"/>
      <c r="B152" s="239" t="s">
        <v>1369</v>
      </c>
      <c r="C152" s="234"/>
      <c r="D152" s="235"/>
      <c r="E152" s="242"/>
      <c r="F152" s="237"/>
      <c r="G152" s="237">
        <v>5400</v>
      </c>
      <c r="H152" s="238"/>
      <c r="I152" s="238"/>
      <c r="J152" s="238"/>
      <c r="K152" s="238">
        <f>+G152</f>
        <v>5400</v>
      </c>
    </row>
    <row r="153" spans="1:33" s="143" customFormat="1" ht="38.25" customHeight="1">
      <c r="A153" s="232"/>
      <c r="B153" s="251" t="s">
        <v>1173</v>
      </c>
      <c r="C153" s="234"/>
      <c r="D153" s="235"/>
      <c r="E153" s="234"/>
      <c r="F153" s="237"/>
      <c r="G153" s="237">
        <v>64700</v>
      </c>
      <c r="H153" s="238"/>
      <c r="I153" s="238"/>
      <c r="J153" s="238"/>
      <c r="K153" s="238">
        <f>+G153-I153-J153</f>
        <v>64700</v>
      </c>
    </row>
    <row r="154" spans="1:33" s="231" customFormat="1" ht="23.25" customHeight="1">
      <c r="A154" s="224"/>
      <c r="B154" s="225" t="s">
        <v>240</v>
      </c>
      <c r="C154" s="226">
        <v>8</v>
      </c>
      <c r="D154" s="227">
        <v>8</v>
      </c>
      <c r="E154" s="228"/>
      <c r="F154" s="229">
        <f t="shared" si="19"/>
        <v>1870972.4</v>
      </c>
      <c r="G154" s="229">
        <f>SUM(G155:G158)</f>
        <v>1847772.4</v>
      </c>
      <c r="H154" s="229">
        <f>SUM(H155:H158)</f>
        <v>23200</v>
      </c>
      <c r="I154" s="229">
        <f>SUM(I155:I158)</f>
        <v>0</v>
      </c>
      <c r="J154" s="229">
        <f>SUM(J155:J158)</f>
        <v>0</v>
      </c>
      <c r="K154" s="229">
        <f>SUM(K155:K158)</f>
        <v>1847772.4</v>
      </c>
    </row>
    <row r="155" spans="1:33" s="143" customFormat="1" ht="23.25" customHeight="1">
      <c r="A155" s="232"/>
      <c r="B155" s="233" t="s">
        <v>8</v>
      </c>
      <c r="C155" s="234"/>
      <c r="D155" s="235"/>
      <c r="E155" s="241">
        <v>54.78</v>
      </c>
      <c r="F155" s="237">
        <f t="shared" si="19"/>
        <v>1538222.4</v>
      </c>
      <c r="G155" s="237">
        <f>+E155*2340*12</f>
        <v>1538222.4</v>
      </c>
      <c r="H155" s="238"/>
      <c r="I155" s="238"/>
      <c r="J155" s="238"/>
      <c r="K155" s="238">
        <f>+G155-I155-J155</f>
        <v>1538222.4</v>
      </c>
    </row>
    <row r="156" spans="1:33" s="143" customFormat="1" ht="23.25" customHeight="1">
      <c r="A156" s="232"/>
      <c r="B156" s="239" t="s">
        <v>9</v>
      </c>
      <c r="C156" s="234"/>
      <c r="D156" s="235"/>
      <c r="E156" s="234">
        <v>29000</v>
      </c>
      <c r="F156" s="237">
        <f t="shared" si="19"/>
        <v>232000</v>
      </c>
      <c r="G156" s="237">
        <f>+C154*E156-(C154*E156*10%)</f>
        <v>208800</v>
      </c>
      <c r="H156" s="238">
        <f>+C154*E156*10%</f>
        <v>23200</v>
      </c>
      <c r="I156" s="238"/>
      <c r="J156" s="238"/>
      <c r="K156" s="238">
        <f>+G156-I156-J156</f>
        <v>208800</v>
      </c>
    </row>
    <row r="157" spans="1:33" s="143" customFormat="1" ht="23.25" customHeight="1">
      <c r="A157" s="232"/>
      <c r="B157" s="251" t="s">
        <v>1371</v>
      </c>
      <c r="C157" s="234"/>
      <c r="D157" s="235"/>
      <c r="E157" s="234"/>
      <c r="F157" s="237"/>
      <c r="G157" s="237">
        <v>5550</v>
      </c>
      <c r="H157" s="238"/>
      <c r="I157" s="238"/>
      <c r="J157" s="238"/>
      <c r="K157" s="238">
        <f>+G157-I157-J157</f>
        <v>5550</v>
      </c>
    </row>
    <row r="158" spans="1:33" s="143" customFormat="1" ht="34.5" customHeight="1">
      <c r="A158" s="232"/>
      <c r="B158" s="251" t="s">
        <v>1173</v>
      </c>
      <c r="C158" s="234"/>
      <c r="D158" s="235"/>
      <c r="E158" s="234"/>
      <c r="F158" s="237"/>
      <c r="G158" s="237">
        <v>95200</v>
      </c>
      <c r="H158" s="238"/>
      <c r="I158" s="238"/>
      <c r="J158" s="238"/>
      <c r="K158" s="238">
        <f>+G158-I158-J158</f>
        <v>95200</v>
      </c>
    </row>
    <row r="159" spans="1:33" s="231" customFormat="1" ht="23.25" customHeight="1">
      <c r="A159" s="224"/>
      <c r="B159" s="225" t="s">
        <v>11</v>
      </c>
      <c r="C159" s="226">
        <v>3</v>
      </c>
      <c r="D159" s="227">
        <v>3</v>
      </c>
      <c r="E159" s="228"/>
      <c r="F159" s="229">
        <f>SUM(F160:F165)</f>
        <v>753056</v>
      </c>
      <c r="G159" s="229">
        <f>SUM(G160:G167)</f>
        <v>1088756</v>
      </c>
      <c r="H159" s="229">
        <f t="shared" ref="H159:AF159" si="26">SUM(H160:H167)</f>
        <v>8700</v>
      </c>
      <c r="I159" s="229">
        <f t="shared" si="26"/>
        <v>9200</v>
      </c>
      <c r="J159" s="229">
        <f t="shared" si="26"/>
        <v>0</v>
      </c>
      <c r="K159" s="229">
        <f t="shared" si="26"/>
        <v>1079556</v>
      </c>
      <c r="L159" s="229">
        <f t="shared" si="26"/>
        <v>0</v>
      </c>
      <c r="M159" s="229">
        <f t="shared" si="26"/>
        <v>0</v>
      </c>
      <c r="N159" s="229">
        <f t="shared" si="26"/>
        <v>0</v>
      </c>
      <c r="O159" s="229">
        <f t="shared" si="26"/>
        <v>0</v>
      </c>
      <c r="P159" s="229">
        <f t="shared" si="26"/>
        <v>0</v>
      </c>
      <c r="Q159" s="229">
        <f t="shared" si="26"/>
        <v>0</v>
      </c>
      <c r="R159" s="229">
        <f t="shared" si="26"/>
        <v>0</v>
      </c>
      <c r="S159" s="229">
        <f t="shared" si="26"/>
        <v>0</v>
      </c>
      <c r="T159" s="229">
        <f t="shared" si="26"/>
        <v>0</v>
      </c>
      <c r="U159" s="229">
        <f t="shared" si="26"/>
        <v>0</v>
      </c>
      <c r="V159" s="229">
        <f t="shared" si="26"/>
        <v>0</v>
      </c>
      <c r="W159" s="229">
        <f t="shared" si="26"/>
        <v>0</v>
      </c>
      <c r="X159" s="229">
        <f t="shared" si="26"/>
        <v>0</v>
      </c>
      <c r="Y159" s="229">
        <f t="shared" si="26"/>
        <v>0</v>
      </c>
      <c r="Z159" s="229">
        <f t="shared" si="26"/>
        <v>0</v>
      </c>
      <c r="AA159" s="229">
        <f t="shared" si="26"/>
        <v>0</v>
      </c>
      <c r="AB159" s="229">
        <f t="shared" si="26"/>
        <v>0</v>
      </c>
      <c r="AC159" s="229">
        <f t="shared" si="26"/>
        <v>0</v>
      </c>
      <c r="AD159" s="229">
        <f t="shared" si="26"/>
        <v>0</v>
      </c>
      <c r="AE159" s="229">
        <f t="shared" si="26"/>
        <v>0</v>
      </c>
      <c r="AF159" s="229">
        <f t="shared" si="26"/>
        <v>0</v>
      </c>
      <c r="AG159" s="778"/>
    </row>
    <row r="160" spans="1:33" s="143" customFormat="1" ht="23.25" customHeight="1">
      <c r="A160" s="232"/>
      <c r="B160" s="233" t="s">
        <v>8</v>
      </c>
      <c r="C160" s="234"/>
      <c r="D160" s="235"/>
      <c r="E160" s="241">
        <v>20.7</v>
      </c>
      <c r="F160" s="237">
        <f t="shared" si="19"/>
        <v>581256</v>
      </c>
      <c r="G160" s="237">
        <f>+E160*2340*12</f>
        <v>581256</v>
      </c>
      <c r="H160" s="238"/>
      <c r="I160" s="238"/>
      <c r="J160" s="238"/>
      <c r="K160" s="238">
        <f t="shared" ref="K160:K167" si="27">+G160-I160-J160</f>
        <v>581256</v>
      </c>
    </row>
    <row r="161" spans="1:14" s="143" customFormat="1" ht="23.25" customHeight="1">
      <c r="A161" s="232"/>
      <c r="B161" s="239" t="s">
        <v>9</v>
      </c>
      <c r="C161" s="234"/>
      <c r="D161" s="235"/>
      <c r="E161" s="234">
        <v>29000</v>
      </c>
      <c r="F161" s="237">
        <f t="shared" si="19"/>
        <v>87000</v>
      </c>
      <c r="G161" s="237">
        <f>+C159*E161-(C159*E161*10%)</f>
        <v>78300</v>
      </c>
      <c r="H161" s="238">
        <f>+C159*E161*10%</f>
        <v>8700</v>
      </c>
      <c r="I161" s="238"/>
      <c r="J161" s="238"/>
      <c r="K161" s="238">
        <f t="shared" si="27"/>
        <v>78300</v>
      </c>
    </row>
    <row r="162" spans="1:14" s="143" customFormat="1" ht="23.25" customHeight="1">
      <c r="A162" s="232"/>
      <c r="B162" s="239" t="s">
        <v>269</v>
      </c>
      <c r="C162" s="234"/>
      <c r="D162" s="235"/>
      <c r="E162" s="234"/>
      <c r="F162" s="237">
        <f t="shared" si="19"/>
        <v>84800</v>
      </c>
      <c r="G162" s="237">
        <v>84800</v>
      </c>
      <c r="H162" s="238"/>
      <c r="I162" s="238"/>
      <c r="J162" s="238"/>
      <c r="K162" s="238">
        <f t="shared" si="27"/>
        <v>84800</v>
      </c>
    </row>
    <row r="163" spans="1:14" s="143" customFormat="1" ht="23.25" customHeight="1">
      <c r="A163" s="232"/>
      <c r="B163" s="239" t="s">
        <v>1245</v>
      </c>
      <c r="C163" s="234"/>
      <c r="D163" s="235"/>
      <c r="E163" s="234"/>
      <c r="F163" s="237"/>
      <c r="G163" s="237">
        <v>150000</v>
      </c>
      <c r="H163" s="238"/>
      <c r="I163" s="238"/>
      <c r="J163" s="238"/>
      <c r="K163" s="238">
        <f>+G163-I163-J163</f>
        <v>150000</v>
      </c>
    </row>
    <row r="164" spans="1:14" s="143" customFormat="1" ht="23.25" customHeight="1">
      <c r="A164" s="232"/>
      <c r="B164" s="283" t="s">
        <v>1251</v>
      </c>
      <c r="C164" s="234"/>
      <c r="D164" s="235"/>
      <c r="E164" s="234"/>
      <c r="F164" s="237"/>
      <c r="G164" s="237">
        <v>25200</v>
      </c>
      <c r="H164" s="238"/>
      <c r="I164" s="238"/>
      <c r="J164" s="238"/>
      <c r="K164" s="238">
        <f>+G164-I164-J164</f>
        <v>25200</v>
      </c>
    </row>
    <row r="165" spans="1:14" s="143" customFormat="1" ht="84.75" customHeight="1">
      <c r="A165" s="232"/>
      <c r="B165" s="283" t="s">
        <v>1252</v>
      </c>
      <c r="C165" s="234"/>
      <c r="D165" s="235"/>
      <c r="E165" s="234"/>
      <c r="F165" s="237"/>
      <c r="G165" s="237">
        <v>126900</v>
      </c>
      <c r="H165" s="238"/>
      <c r="I165" s="238">
        <f>+((G165-35000)*0.1)+10</f>
        <v>9200</v>
      </c>
      <c r="J165" s="238"/>
      <c r="K165" s="238">
        <f>+G165-I165-J165</f>
        <v>117700</v>
      </c>
    </row>
    <row r="166" spans="1:14" s="143" customFormat="1" ht="22.5" customHeight="1">
      <c r="A166" s="232"/>
      <c r="B166" s="251" t="s">
        <v>1371</v>
      </c>
      <c r="C166" s="234"/>
      <c r="D166" s="235"/>
      <c r="E166" s="234"/>
      <c r="F166" s="237"/>
      <c r="G166" s="237">
        <v>6600</v>
      </c>
      <c r="H166" s="238"/>
      <c r="I166" s="238"/>
      <c r="J166" s="238"/>
      <c r="K166" s="238">
        <f>+G166-I166-J166</f>
        <v>6600</v>
      </c>
    </row>
    <row r="167" spans="1:14" s="143" customFormat="1" ht="36" customHeight="1">
      <c r="A167" s="232"/>
      <c r="B167" s="251" t="s">
        <v>1173</v>
      </c>
      <c r="C167" s="234"/>
      <c r="D167" s="235"/>
      <c r="E167" s="234"/>
      <c r="F167" s="237"/>
      <c r="G167" s="237">
        <v>35700</v>
      </c>
      <c r="H167" s="238"/>
      <c r="I167" s="238"/>
      <c r="J167" s="238"/>
      <c r="K167" s="238">
        <f t="shared" si="27"/>
        <v>35700</v>
      </c>
    </row>
    <row r="168" spans="1:14" s="231" customFormat="1" ht="21.75" customHeight="1">
      <c r="A168" s="224" t="s">
        <v>2</v>
      </c>
      <c r="B168" s="225" t="s">
        <v>350</v>
      </c>
      <c r="C168" s="226">
        <f>C169+C173</f>
        <v>31</v>
      </c>
      <c r="D168" s="226">
        <f>D169+D173</f>
        <v>30</v>
      </c>
      <c r="E168" s="228"/>
      <c r="F168" s="229" t="e">
        <f>+F169+F172+F173+F178+F179+#REF!+F180+F181+F182+#REF!+#REF!+F183</f>
        <v>#REF!</v>
      </c>
      <c r="G168" s="229">
        <f>+G169+G173+SUM(G178:G187)</f>
        <v>12814443.52</v>
      </c>
      <c r="H168" s="229">
        <f>+H169+H173+SUM(H178:H187)</f>
        <v>88400</v>
      </c>
      <c r="I168" s="229">
        <f>+I169+I173+SUM(I178:I187)</f>
        <v>42100</v>
      </c>
      <c r="J168" s="229">
        <f>+J169+J173+SUM(J178:J187)</f>
        <v>0</v>
      </c>
      <c r="K168" s="229">
        <f>+K169+K173+SUM(K178:K187)</f>
        <v>12772343.52</v>
      </c>
    </row>
    <row r="169" spans="1:14" s="231" customFormat="1" ht="21.75" customHeight="1">
      <c r="A169" s="224"/>
      <c r="B169" s="225" t="s">
        <v>241</v>
      </c>
      <c r="C169" s="226">
        <v>26</v>
      </c>
      <c r="D169" s="227">
        <v>25</v>
      </c>
      <c r="E169" s="228"/>
      <c r="F169" s="229">
        <f t="shared" si="19"/>
        <v>7029649.1200000001</v>
      </c>
      <c r="G169" s="229">
        <f>SUM(G170:G172)</f>
        <v>6946449.1200000001</v>
      </c>
      <c r="H169" s="229">
        <f>SUM(H170:H172)</f>
        <v>83200</v>
      </c>
      <c r="I169" s="229">
        <f>SUM(I170:I172)</f>
        <v>0</v>
      </c>
      <c r="J169" s="229">
        <f>SUM(J170:J172)</f>
        <v>0</v>
      </c>
      <c r="K169" s="229">
        <f>SUM(K170:K172)</f>
        <v>6946449.1200000001</v>
      </c>
    </row>
    <row r="170" spans="1:14" s="143" customFormat="1" ht="21.75" customHeight="1">
      <c r="A170" s="232"/>
      <c r="B170" s="233" t="s">
        <v>133</v>
      </c>
      <c r="C170" s="234"/>
      <c r="D170" s="235"/>
      <c r="E170" s="241">
        <f>0.59+0.59+0.604+208.78+5.41</f>
        <v>215.97399999999999</v>
      </c>
      <c r="F170" s="237">
        <f t="shared" si="19"/>
        <v>6064549.9199999999</v>
      </c>
      <c r="G170" s="237">
        <f>+E170*2340*12</f>
        <v>6064549.9199999999</v>
      </c>
      <c r="H170" s="238"/>
      <c r="I170" s="238"/>
      <c r="J170" s="238"/>
      <c r="K170" s="238">
        <f>+G170-I170-J170</f>
        <v>6064549.9199999999</v>
      </c>
    </row>
    <row r="171" spans="1:14" s="143" customFormat="1" ht="21.75" customHeight="1">
      <c r="A171" s="232"/>
      <c r="B171" s="239" t="s">
        <v>5</v>
      </c>
      <c r="C171" s="234"/>
      <c r="D171" s="235"/>
      <c r="E171" s="234">
        <v>32000</v>
      </c>
      <c r="F171" s="237">
        <f>SUM(G171:H171)</f>
        <v>832000</v>
      </c>
      <c r="G171" s="237">
        <f>+C169*E171-(C169*E171*10%)</f>
        <v>748800</v>
      </c>
      <c r="H171" s="238">
        <f>C169*E171*10%</f>
        <v>83200</v>
      </c>
      <c r="I171" s="238"/>
      <c r="J171" s="238"/>
      <c r="K171" s="238">
        <f>+G171-I171-J171</f>
        <v>748800</v>
      </c>
    </row>
    <row r="172" spans="1:14" s="143" customFormat="1" ht="21.75" customHeight="1">
      <c r="A172" s="232"/>
      <c r="B172" s="233" t="s">
        <v>945</v>
      </c>
      <c r="C172" s="234"/>
      <c r="D172" s="235">
        <f>+C169-D169</f>
        <v>1</v>
      </c>
      <c r="E172" s="241">
        <f>4.74</f>
        <v>4.74</v>
      </c>
      <c r="F172" s="237">
        <f t="shared" si="19"/>
        <v>133099.20000000001</v>
      </c>
      <c r="G172" s="237">
        <f>+D172*E172*2340*12</f>
        <v>133099.20000000001</v>
      </c>
      <c r="H172" s="238"/>
      <c r="I172" s="238"/>
      <c r="J172" s="238"/>
      <c r="K172" s="238">
        <f>+G172-I172-J172</f>
        <v>133099.20000000001</v>
      </c>
    </row>
    <row r="173" spans="1:14" s="231" customFormat="1" ht="21.75" customHeight="1">
      <c r="A173" s="224"/>
      <c r="B173" s="225" t="s">
        <v>817</v>
      </c>
      <c r="C173" s="226">
        <v>5</v>
      </c>
      <c r="D173" s="227">
        <v>5</v>
      </c>
      <c r="E173" s="228"/>
      <c r="F173" s="229">
        <f t="shared" si="19"/>
        <v>763950.39999999991</v>
      </c>
      <c r="G173" s="229">
        <f t="shared" ref="G173:L173" si="28">G174+G175</f>
        <v>758750.39999999991</v>
      </c>
      <c r="H173" s="229">
        <f t="shared" si="28"/>
        <v>5200</v>
      </c>
      <c r="I173" s="229">
        <f t="shared" si="28"/>
        <v>0</v>
      </c>
      <c r="J173" s="229">
        <f t="shared" si="28"/>
        <v>0</v>
      </c>
      <c r="K173" s="229">
        <f t="shared" si="28"/>
        <v>758750.39999999991</v>
      </c>
      <c r="L173" s="579">
        <f t="shared" si="28"/>
        <v>0</v>
      </c>
      <c r="M173" s="580"/>
      <c r="N173" s="580"/>
    </row>
    <row r="174" spans="1:14" s="143" customFormat="1" ht="21.75" customHeight="1">
      <c r="A174" s="232"/>
      <c r="B174" s="233" t="s">
        <v>133</v>
      </c>
      <c r="C174" s="234"/>
      <c r="D174" s="235"/>
      <c r="E174" s="241">
        <v>25.13</v>
      </c>
      <c r="F174" s="237">
        <f t="shared" si="19"/>
        <v>705650.39999999991</v>
      </c>
      <c r="G174" s="237">
        <f>+E174*2340*12</f>
        <v>705650.39999999991</v>
      </c>
      <c r="H174" s="238"/>
      <c r="I174" s="238"/>
      <c r="J174" s="238"/>
      <c r="K174" s="238">
        <f t="shared" ref="K174:K179" si="29">+G174-I174-J174</f>
        <v>705650.39999999991</v>
      </c>
    </row>
    <row r="175" spans="1:14" s="143" customFormat="1" ht="21.75" customHeight="1">
      <c r="A175" s="232"/>
      <c r="B175" s="239" t="s">
        <v>5</v>
      </c>
      <c r="C175" s="234"/>
      <c r="D175" s="235"/>
      <c r="E175" s="242"/>
      <c r="F175" s="237">
        <f t="shared" si="19"/>
        <v>58300</v>
      </c>
      <c r="G175" s="237">
        <f>SUM(G176:G177)</f>
        <v>53100</v>
      </c>
      <c r="H175" s="425">
        <f>SUM(H176:H177)</f>
        <v>5200</v>
      </c>
      <c r="I175" s="425"/>
      <c r="J175" s="238"/>
      <c r="K175" s="238">
        <f t="shared" si="29"/>
        <v>53100</v>
      </c>
    </row>
    <row r="176" spans="1:14" s="248" customFormat="1" ht="21.75" customHeight="1">
      <c r="A176" s="243"/>
      <c r="B176" s="244" t="s">
        <v>242</v>
      </c>
      <c r="C176" s="245"/>
      <c r="D176" s="246">
        <v>2</v>
      </c>
      <c r="E176" s="245">
        <v>7000</v>
      </c>
      <c r="F176" s="237">
        <f t="shared" si="19"/>
        <v>13300</v>
      </c>
      <c r="G176" s="247">
        <f>+D176*E176-(D176*E176*10%)</f>
        <v>12600</v>
      </c>
      <c r="H176" s="429">
        <f>E176*10%</f>
        <v>700</v>
      </c>
      <c r="I176" s="429"/>
      <c r="J176" s="429"/>
      <c r="K176" s="238">
        <f t="shared" si="29"/>
        <v>12600</v>
      </c>
    </row>
    <row r="177" spans="1:21" s="248" customFormat="1" ht="21.75" customHeight="1">
      <c r="A177" s="243"/>
      <c r="B177" s="244" t="s">
        <v>243</v>
      </c>
      <c r="C177" s="245"/>
      <c r="D177" s="246">
        <v>3</v>
      </c>
      <c r="E177" s="245">
        <v>15000</v>
      </c>
      <c r="F177" s="237">
        <f t="shared" si="19"/>
        <v>45000</v>
      </c>
      <c r="G177" s="247">
        <f>+D177*E177-(D177*E177*10%)</f>
        <v>40500</v>
      </c>
      <c r="H177" s="429">
        <f>D177*E177*10%</f>
        <v>4500</v>
      </c>
      <c r="I177" s="429"/>
      <c r="J177" s="429"/>
      <c r="K177" s="238">
        <f t="shared" si="29"/>
        <v>40500</v>
      </c>
    </row>
    <row r="178" spans="1:21" s="231" customFormat="1" ht="21.75" customHeight="1">
      <c r="A178" s="224"/>
      <c r="B178" s="225" t="s">
        <v>245</v>
      </c>
      <c r="C178" s="226">
        <v>39</v>
      </c>
      <c r="D178" s="226">
        <v>39</v>
      </c>
      <c r="E178" s="228">
        <v>0.4</v>
      </c>
      <c r="F178" s="229">
        <f t="shared" si="19"/>
        <v>438048</v>
      </c>
      <c r="G178" s="229">
        <f>+C178*E178*2340*12</f>
        <v>438048</v>
      </c>
      <c r="H178" s="240"/>
      <c r="I178" s="240"/>
      <c r="J178" s="240"/>
      <c r="K178" s="240">
        <f t="shared" si="29"/>
        <v>438048</v>
      </c>
    </row>
    <row r="179" spans="1:21" s="231" customFormat="1" ht="42" customHeight="1">
      <c r="A179" s="224"/>
      <c r="B179" s="225" t="s">
        <v>632</v>
      </c>
      <c r="C179" s="226"/>
      <c r="D179" s="227"/>
      <c r="E179" s="228"/>
      <c r="F179" s="229">
        <f t="shared" si="19"/>
        <v>1426500</v>
      </c>
      <c r="G179" s="229">
        <v>1426500</v>
      </c>
      <c r="H179" s="240"/>
      <c r="I179" s="240">
        <f>+((G179-1006000)*0.1)+50</f>
        <v>42100</v>
      </c>
      <c r="J179" s="240"/>
      <c r="K179" s="240">
        <f t="shared" si="29"/>
        <v>1384400</v>
      </c>
      <c r="U179" s="254"/>
    </row>
    <row r="180" spans="1:21" s="231" customFormat="1" ht="21.75" customHeight="1">
      <c r="A180" s="224"/>
      <c r="B180" s="225" t="s">
        <v>244</v>
      </c>
      <c r="C180" s="226">
        <v>29</v>
      </c>
      <c r="D180" s="227">
        <f>+C180</f>
        <v>29</v>
      </c>
      <c r="E180" s="228">
        <v>0.2</v>
      </c>
      <c r="F180" s="229">
        <f t="shared" si="19"/>
        <v>162864.00000000003</v>
      </c>
      <c r="G180" s="229">
        <f>+C180*E180*2340*12</f>
        <v>162864.00000000003</v>
      </c>
      <c r="H180" s="240"/>
      <c r="I180" s="240"/>
      <c r="J180" s="240"/>
      <c r="K180" s="240">
        <f t="shared" ref="K180:K187" si="30">+G180-I180-J180</f>
        <v>162864.00000000003</v>
      </c>
    </row>
    <row r="181" spans="1:21" s="231" customFormat="1" ht="21.75" customHeight="1">
      <c r="A181" s="224"/>
      <c r="B181" s="225" t="s">
        <v>301</v>
      </c>
      <c r="C181" s="226">
        <v>15</v>
      </c>
      <c r="D181" s="227">
        <v>15</v>
      </c>
      <c r="E181" s="228">
        <v>0.2</v>
      </c>
      <c r="F181" s="229">
        <f t="shared" si="19"/>
        <v>84240</v>
      </c>
      <c r="G181" s="229">
        <f>+C181*E181*2340*12</f>
        <v>84240</v>
      </c>
      <c r="H181" s="240"/>
      <c r="I181" s="240"/>
      <c r="J181" s="240"/>
      <c r="K181" s="240">
        <f t="shared" si="30"/>
        <v>84240</v>
      </c>
    </row>
    <row r="182" spans="1:21" s="231" customFormat="1" ht="21.75" customHeight="1">
      <c r="A182" s="419"/>
      <c r="B182" s="225" t="s">
        <v>1423</v>
      </c>
      <c r="C182" s="605"/>
      <c r="D182" s="438"/>
      <c r="E182" s="613">
        <v>4.9000000000000004</v>
      </c>
      <c r="F182" s="229">
        <f t="shared" si="19"/>
        <v>137592</v>
      </c>
      <c r="G182" s="229">
        <f>+(E182*2340*12)</f>
        <v>137592</v>
      </c>
      <c r="H182" s="240"/>
      <c r="I182" s="240"/>
      <c r="J182" s="240"/>
      <c r="K182" s="240">
        <f t="shared" si="30"/>
        <v>137592</v>
      </c>
    </row>
    <row r="183" spans="1:21" s="231" customFormat="1" ht="36" customHeight="1">
      <c r="A183" s="419"/>
      <c r="B183" s="225" t="s">
        <v>1241</v>
      </c>
      <c r="C183" s="605"/>
      <c r="D183" s="438"/>
      <c r="E183" s="613"/>
      <c r="F183" s="229">
        <f t="shared" ref="F183:F275" si="31">SUM(G183:H183)</f>
        <v>413000</v>
      </c>
      <c r="G183" s="229">
        <v>413000</v>
      </c>
      <c r="H183" s="240"/>
      <c r="I183" s="240"/>
      <c r="J183" s="240"/>
      <c r="K183" s="240">
        <f t="shared" si="30"/>
        <v>413000</v>
      </c>
      <c r="O183" s="254"/>
      <c r="P183" s="254"/>
    </row>
    <row r="184" spans="1:21" s="231" customFormat="1" ht="21" customHeight="1">
      <c r="A184" s="419"/>
      <c r="B184" s="225" t="s">
        <v>633</v>
      </c>
      <c r="C184" s="605"/>
      <c r="D184" s="438"/>
      <c r="E184" s="613"/>
      <c r="F184" s="229"/>
      <c r="G184" s="229">
        <v>41500</v>
      </c>
      <c r="H184" s="240"/>
      <c r="I184" s="240"/>
      <c r="J184" s="240"/>
      <c r="K184" s="240">
        <f t="shared" si="30"/>
        <v>41500</v>
      </c>
    </row>
    <row r="185" spans="1:21" s="231" customFormat="1" ht="34.5" customHeight="1">
      <c r="A185" s="419"/>
      <c r="B185" s="653" t="s">
        <v>1173</v>
      </c>
      <c r="C185" s="605"/>
      <c r="D185" s="438"/>
      <c r="E185" s="613"/>
      <c r="F185" s="229"/>
      <c r="G185" s="229">
        <v>296500</v>
      </c>
      <c r="H185" s="240"/>
      <c r="I185" s="240"/>
      <c r="J185" s="240"/>
      <c r="K185" s="240">
        <f t="shared" si="30"/>
        <v>296500</v>
      </c>
    </row>
    <row r="186" spans="1:21" s="143" customFormat="1" ht="21" customHeight="1">
      <c r="A186" s="386"/>
      <c r="B186" s="653" t="s">
        <v>1304</v>
      </c>
      <c r="C186" s="655"/>
      <c r="D186" s="437"/>
      <c r="E186" s="606"/>
      <c r="F186" s="237"/>
      <c r="G186" s="229">
        <v>2100000</v>
      </c>
      <c r="H186" s="240"/>
      <c r="I186" s="240"/>
      <c r="J186" s="240"/>
      <c r="K186" s="240">
        <f t="shared" si="30"/>
        <v>2100000</v>
      </c>
    </row>
    <row r="187" spans="1:21" s="143" customFormat="1" ht="21" customHeight="1">
      <c r="A187" s="386"/>
      <c r="B187" s="225" t="s">
        <v>1371</v>
      </c>
      <c r="C187" s="655"/>
      <c r="D187" s="437"/>
      <c r="E187" s="606"/>
      <c r="F187" s="237"/>
      <c r="G187" s="229">
        <v>9000</v>
      </c>
      <c r="H187" s="240"/>
      <c r="I187" s="240"/>
      <c r="J187" s="240"/>
      <c r="K187" s="240">
        <f t="shared" si="30"/>
        <v>9000</v>
      </c>
    </row>
    <row r="188" spans="1:21" s="231" customFormat="1" ht="21" customHeight="1">
      <c r="A188" s="224" t="s">
        <v>330</v>
      </c>
      <c r="B188" s="225" t="s">
        <v>351</v>
      </c>
      <c r="C188" s="240">
        <f>C189+C201+C208+C213+C224</f>
        <v>16</v>
      </c>
      <c r="D188" s="240">
        <f>D189+D201+D208+D213+D224</f>
        <v>16</v>
      </c>
      <c r="E188" s="240">
        <f>E189+E201+E208+E213+E224</f>
        <v>0</v>
      </c>
      <c r="F188" s="229">
        <f t="shared" si="31"/>
        <v>4847431.5199999996</v>
      </c>
      <c r="G188" s="229">
        <f>+G189+G201+G208+G213+G224</f>
        <v>4796231.5199999996</v>
      </c>
      <c r="H188" s="229">
        <f>+H189+H201+H208+H213+H224</f>
        <v>51200</v>
      </c>
      <c r="I188" s="229">
        <f>+I189+I201+I208+I213+I224</f>
        <v>12700</v>
      </c>
      <c r="J188" s="229">
        <f>+J189+J201+J208+J213+J224</f>
        <v>0</v>
      </c>
      <c r="K188" s="229">
        <f>+K189+K201+K208+K213+K224</f>
        <v>4783531.5199999996</v>
      </c>
    </row>
    <row r="189" spans="1:21" s="231" customFormat="1" ht="21" customHeight="1">
      <c r="A189" s="224"/>
      <c r="B189" s="225" t="s">
        <v>246</v>
      </c>
      <c r="C189" s="226">
        <v>4</v>
      </c>
      <c r="D189" s="227">
        <v>4</v>
      </c>
      <c r="E189" s="228"/>
      <c r="F189" s="229">
        <f>SUM(F190:F198)</f>
        <v>1266846.3999999999</v>
      </c>
      <c r="G189" s="229">
        <f>SUM(G190:G200)</f>
        <v>1365086.4</v>
      </c>
      <c r="H189" s="229">
        <f>SUM(H190:H200)</f>
        <v>12800</v>
      </c>
      <c r="I189" s="229">
        <f>SUM(I190:I200)</f>
        <v>0</v>
      </c>
      <c r="J189" s="229">
        <f>SUM(J190:J200)</f>
        <v>0</v>
      </c>
      <c r="K189" s="229">
        <f>SUM(K190:K200)</f>
        <v>1365086.4</v>
      </c>
    </row>
    <row r="190" spans="1:21" s="143" customFormat="1" ht="21" customHeight="1">
      <c r="A190" s="232"/>
      <c r="B190" s="233" t="s">
        <v>8</v>
      </c>
      <c r="C190" s="234"/>
      <c r="D190" s="235"/>
      <c r="E190" s="241">
        <v>36.33</v>
      </c>
      <c r="F190" s="237">
        <f t="shared" si="31"/>
        <v>1020146.3999999999</v>
      </c>
      <c r="G190" s="237">
        <f>+E190*2340*12</f>
        <v>1020146.3999999999</v>
      </c>
      <c r="H190" s="238"/>
      <c r="I190" s="238"/>
      <c r="J190" s="238"/>
      <c r="K190" s="238">
        <f t="shared" ref="K190:K270" si="32">+G190-I190-J190</f>
        <v>1020146.3999999999</v>
      </c>
    </row>
    <row r="191" spans="1:21" s="143" customFormat="1" ht="21" customHeight="1">
      <c r="A191" s="232"/>
      <c r="B191" s="239" t="s">
        <v>9</v>
      </c>
      <c r="C191" s="234"/>
      <c r="D191" s="235"/>
      <c r="E191" s="234">
        <v>32000</v>
      </c>
      <c r="F191" s="237">
        <f t="shared" si="31"/>
        <v>128000</v>
      </c>
      <c r="G191" s="237">
        <f>+C189*E191-(C189*E191*10%)</f>
        <v>115200</v>
      </c>
      <c r="H191" s="238">
        <f>+C189*E191*10%</f>
        <v>12800</v>
      </c>
      <c r="I191" s="238"/>
      <c r="J191" s="238"/>
      <c r="K191" s="238">
        <f t="shared" si="32"/>
        <v>115200</v>
      </c>
    </row>
    <row r="192" spans="1:21" s="143" customFormat="1" ht="21" customHeight="1">
      <c r="A192" s="232"/>
      <c r="B192" s="239" t="s">
        <v>1283</v>
      </c>
      <c r="C192" s="234"/>
      <c r="D192" s="235"/>
      <c r="E192" s="234"/>
      <c r="F192" s="237"/>
      <c r="G192" s="237">
        <f>+(23*120*12)+(0.25*2340*12)</f>
        <v>40140</v>
      </c>
      <c r="H192" s="238"/>
      <c r="I192" s="238"/>
      <c r="J192" s="238"/>
      <c r="K192" s="238">
        <f>+G192</f>
        <v>40140</v>
      </c>
    </row>
    <row r="193" spans="1:34" s="143" customFormat="1" ht="60" customHeight="1">
      <c r="A193" s="232"/>
      <c r="B193" s="283" t="s">
        <v>1279</v>
      </c>
      <c r="C193" s="234"/>
      <c r="D193" s="235"/>
      <c r="E193" s="234"/>
      <c r="F193" s="237"/>
      <c r="G193" s="237">
        <v>6500</v>
      </c>
      <c r="H193" s="238"/>
      <c r="I193" s="238"/>
      <c r="J193" s="238"/>
      <c r="K193" s="238">
        <f>+G193</f>
        <v>6500</v>
      </c>
      <c r="O193" s="143">
        <v>159100</v>
      </c>
    </row>
    <row r="194" spans="1:34" s="143" customFormat="1" ht="69" customHeight="1">
      <c r="A194" s="232"/>
      <c r="B194" s="283" t="s">
        <v>1280</v>
      </c>
      <c r="C194" s="234"/>
      <c r="D194" s="235"/>
      <c r="E194" s="236"/>
      <c r="F194" s="237">
        <f t="shared" si="31"/>
        <v>17400</v>
      </c>
      <c r="G194" s="237">
        <v>17400</v>
      </c>
      <c r="H194" s="238"/>
      <c r="I194" s="238"/>
      <c r="J194" s="238"/>
      <c r="K194" s="238">
        <f t="shared" si="32"/>
        <v>17400</v>
      </c>
      <c r="O194" s="558">
        <v>-27384</v>
      </c>
      <c r="P194" s="558"/>
    </row>
    <row r="195" spans="1:34" s="143" customFormat="1" ht="84.75" customHeight="1">
      <c r="A195" s="232"/>
      <c r="B195" s="283" t="s">
        <v>1281</v>
      </c>
      <c r="C195" s="234"/>
      <c r="D195" s="235"/>
      <c r="E195" s="242"/>
      <c r="F195" s="237">
        <f t="shared" si="31"/>
        <v>19300</v>
      </c>
      <c r="G195" s="237">
        <v>19300</v>
      </c>
      <c r="H195" s="238"/>
      <c r="I195" s="238"/>
      <c r="J195" s="238"/>
      <c r="K195" s="238">
        <f t="shared" si="32"/>
        <v>19300</v>
      </c>
    </row>
    <row r="196" spans="1:34" s="143" customFormat="1" ht="36.75" customHeight="1">
      <c r="A196" s="232"/>
      <c r="B196" s="283" t="s">
        <v>1284</v>
      </c>
      <c r="C196" s="234"/>
      <c r="D196" s="235"/>
      <c r="E196" s="242"/>
      <c r="F196" s="237">
        <f t="shared" si="31"/>
        <v>22000</v>
      </c>
      <c r="G196" s="237">
        <v>22000</v>
      </c>
      <c r="H196" s="238"/>
      <c r="I196" s="238"/>
      <c r="J196" s="238"/>
      <c r="K196" s="238">
        <f t="shared" si="32"/>
        <v>22000</v>
      </c>
      <c r="AH196" s="560"/>
    </row>
    <row r="197" spans="1:34" s="143" customFormat="1" ht="82.5" customHeight="1">
      <c r="A197" s="232"/>
      <c r="B197" s="283" t="s">
        <v>1433</v>
      </c>
      <c r="C197" s="234"/>
      <c r="D197" s="235"/>
      <c r="E197" s="242"/>
      <c r="F197" s="237">
        <f t="shared" si="31"/>
        <v>12000</v>
      </c>
      <c r="G197" s="237">
        <v>12000</v>
      </c>
      <c r="H197" s="238"/>
      <c r="I197" s="238"/>
      <c r="J197" s="238"/>
      <c r="K197" s="238">
        <f t="shared" si="32"/>
        <v>12000</v>
      </c>
    </row>
    <row r="198" spans="1:34" s="143" customFormat="1" ht="72.75" customHeight="1">
      <c r="A198" s="232"/>
      <c r="B198" s="283" t="s">
        <v>1282</v>
      </c>
      <c r="C198" s="234"/>
      <c r="D198" s="235"/>
      <c r="E198" s="242"/>
      <c r="F198" s="237">
        <f t="shared" si="31"/>
        <v>48000</v>
      </c>
      <c r="G198" s="237">
        <v>48000</v>
      </c>
      <c r="H198" s="238"/>
      <c r="I198" s="238"/>
      <c r="J198" s="238"/>
      <c r="K198" s="238">
        <f t="shared" si="32"/>
        <v>48000</v>
      </c>
    </row>
    <row r="199" spans="1:34" s="143" customFormat="1" ht="21.75" customHeight="1">
      <c r="A199" s="232"/>
      <c r="B199" s="239" t="s">
        <v>1371</v>
      </c>
      <c r="C199" s="234"/>
      <c r="D199" s="235"/>
      <c r="E199" s="242"/>
      <c r="F199" s="237">
        <f t="shared" si="31"/>
        <v>14700</v>
      </c>
      <c r="G199" s="237">
        <v>14700</v>
      </c>
      <c r="H199" s="238"/>
      <c r="I199" s="238"/>
      <c r="J199" s="238"/>
      <c r="K199" s="238">
        <f t="shared" si="32"/>
        <v>14700</v>
      </c>
    </row>
    <row r="200" spans="1:34" s="143" customFormat="1" ht="39.75" customHeight="1">
      <c r="A200" s="232"/>
      <c r="B200" s="251" t="s">
        <v>1173</v>
      </c>
      <c r="C200" s="234"/>
      <c r="D200" s="235"/>
      <c r="E200" s="242"/>
      <c r="F200" s="237"/>
      <c r="G200" s="237">
        <v>49700</v>
      </c>
      <c r="H200" s="238"/>
      <c r="I200" s="238"/>
      <c r="J200" s="238"/>
      <c r="K200" s="238">
        <f t="shared" si="32"/>
        <v>49700</v>
      </c>
    </row>
    <row r="201" spans="1:34" s="231" customFormat="1" ht="20.100000000000001" customHeight="1">
      <c r="A201" s="224"/>
      <c r="B201" s="225" t="s">
        <v>247</v>
      </c>
      <c r="C201" s="226">
        <v>3</v>
      </c>
      <c r="D201" s="227">
        <v>3</v>
      </c>
      <c r="E201" s="228"/>
      <c r="F201" s="229">
        <f>SUM(F202:F206)</f>
        <v>813314.39999999991</v>
      </c>
      <c r="G201" s="229">
        <f>SUM(G202:G207)</f>
        <v>1040914.3999999999</v>
      </c>
      <c r="H201" s="229">
        <f>SUM(H202:H207)</f>
        <v>9600</v>
      </c>
      <c r="I201" s="229">
        <f>SUM(I202:I207)</f>
        <v>6100</v>
      </c>
      <c r="J201" s="229">
        <f>SUM(J202:J207)</f>
        <v>0</v>
      </c>
      <c r="K201" s="229">
        <f>SUM(K202:K207)</f>
        <v>1034814.3999999999</v>
      </c>
    </row>
    <row r="202" spans="1:34" s="143" customFormat="1" ht="20.100000000000001" customHeight="1">
      <c r="A202" s="232"/>
      <c r="B202" s="233" t="s">
        <v>8</v>
      </c>
      <c r="C202" s="234"/>
      <c r="D202" s="235"/>
      <c r="E202" s="241">
        <v>15.93</v>
      </c>
      <c r="F202" s="237">
        <f t="shared" si="31"/>
        <v>447314.39999999997</v>
      </c>
      <c r="G202" s="237">
        <f>+E202*2340*12</f>
        <v>447314.39999999997</v>
      </c>
      <c r="H202" s="238"/>
      <c r="I202" s="238"/>
      <c r="J202" s="238"/>
      <c r="K202" s="238">
        <f t="shared" si="32"/>
        <v>447314.39999999997</v>
      </c>
    </row>
    <row r="203" spans="1:34" s="143" customFormat="1" ht="20.100000000000001" customHeight="1">
      <c r="A203" s="232"/>
      <c r="B203" s="239" t="s">
        <v>9</v>
      </c>
      <c r="C203" s="234"/>
      <c r="D203" s="235"/>
      <c r="E203" s="234">
        <v>32000</v>
      </c>
      <c r="F203" s="237">
        <f t="shared" si="31"/>
        <v>96000</v>
      </c>
      <c r="G203" s="237">
        <f>+C201*E203-(C201*E203*10%)</f>
        <v>86400</v>
      </c>
      <c r="H203" s="238">
        <f>+C201*E203*10%</f>
        <v>9600</v>
      </c>
      <c r="I203" s="238"/>
      <c r="J203" s="238"/>
      <c r="K203" s="238">
        <f t="shared" si="32"/>
        <v>86400</v>
      </c>
    </row>
    <row r="204" spans="1:34" s="143" customFormat="1" ht="20.100000000000001" customHeight="1">
      <c r="A204" s="232"/>
      <c r="B204" s="233" t="s">
        <v>845</v>
      </c>
      <c r="C204" s="234"/>
      <c r="D204" s="235"/>
      <c r="E204" s="234"/>
      <c r="F204" s="237"/>
      <c r="G204" s="237">
        <v>82600</v>
      </c>
      <c r="H204" s="238"/>
      <c r="I204" s="238"/>
      <c r="J204" s="238"/>
      <c r="K204" s="238">
        <f t="shared" si="32"/>
        <v>82600</v>
      </c>
    </row>
    <row r="205" spans="1:34" s="143" customFormat="1" ht="36" customHeight="1">
      <c r="A205" s="232"/>
      <c r="B205" s="239" t="s">
        <v>1271</v>
      </c>
      <c r="C205" s="234"/>
      <c r="D205" s="235"/>
      <c r="E205" s="234"/>
      <c r="F205" s="237"/>
      <c r="G205" s="237">
        <v>133000</v>
      </c>
      <c r="H205" s="238"/>
      <c r="I205" s="238"/>
      <c r="J205" s="238"/>
      <c r="K205" s="238">
        <f t="shared" si="32"/>
        <v>133000</v>
      </c>
    </row>
    <row r="206" spans="1:34" s="143" customFormat="1" ht="20.100000000000001" customHeight="1">
      <c r="A206" s="232"/>
      <c r="B206" s="239" t="s">
        <v>770</v>
      </c>
      <c r="C206" s="234"/>
      <c r="D206" s="235"/>
      <c r="E206" s="242"/>
      <c r="F206" s="237">
        <f t="shared" si="31"/>
        <v>270000</v>
      </c>
      <c r="G206" s="237">
        <v>270000</v>
      </c>
      <c r="H206" s="238"/>
      <c r="I206" s="238">
        <f>+((G205+G206-111800-230000)*0.1)-20</f>
        <v>6100</v>
      </c>
      <c r="J206" s="238"/>
      <c r="K206" s="238">
        <f t="shared" si="32"/>
        <v>263900</v>
      </c>
    </row>
    <row r="207" spans="1:34" s="143" customFormat="1" ht="42.75" customHeight="1">
      <c r="A207" s="232"/>
      <c r="B207" s="251" t="s">
        <v>1173</v>
      </c>
      <c r="C207" s="234"/>
      <c r="D207" s="235"/>
      <c r="E207" s="242"/>
      <c r="F207" s="237"/>
      <c r="G207" s="237">
        <v>21600</v>
      </c>
      <c r="H207" s="238"/>
      <c r="I207" s="238"/>
      <c r="J207" s="238"/>
      <c r="K207" s="238">
        <f t="shared" si="32"/>
        <v>21600</v>
      </c>
    </row>
    <row r="208" spans="1:34" s="231" customFormat="1" ht="21.75" customHeight="1">
      <c r="A208" s="224"/>
      <c r="B208" s="225" t="s">
        <v>818</v>
      </c>
      <c r="C208" s="226">
        <v>3</v>
      </c>
      <c r="D208" s="227">
        <v>3</v>
      </c>
      <c r="E208" s="228"/>
      <c r="F208" s="229">
        <f>SUM(F209:F211)</f>
        <v>715760.8</v>
      </c>
      <c r="G208" s="229">
        <f>SUM(G209:G212)</f>
        <v>732760.8</v>
      </c>
      <c r="H208" s="229">
        <f>SUM(H209:H212)</f>
        <v>9600</v>
      </c>
      <c r="I208" s="229">
        <f>SUM(I209:I212)</f>
        <v>0</v>
      </c>
      <c r="J208" s="229">
        <f>SUM(J209:J212)</f>
        <v>0</v>
      </c>
      <c r="K208" s="229">
        <f>SUM(K209:K212)</f>
        <v>732760.8</v>
      </c>
    </row>
    <row r="209" spans="1:34" s="143" customFormat="1" ht="21.75" customHeight="1">
      <c r="A209" s="232"/>
      <c r="B209" s="233" t="s">
        <v>8</v>
      </c>
      <c r="C209" s="234"/>
      <c r="D209" s="235"/>
      <c r="E209" s="241">
        <v>18.510000000000002</v>
      </c>
      <c r="F209" s="237">
        <f t="shared" si="31"/>
        <v>519760.80000000005</v>
      </c>
      <c r="G209" s="237">
        <f>+E209*2340*12</f>
        <v>519760.80000000005</v>
      </c>
      <c r="H209" s="238"/>
      <c r="I209" s="238"/>
      <c r="J209" s="238"/>
      <c r="K209" s="238">
        <f t="shared" si="32"/>
        <v>519760.80000000005</v>
      </c>
    </row>
    <row r="210" spans="1:34" s="143" customFormat="1" ht="21.75" customHeight="1">
      <c r="A210" s="232"/>
      <c r="B210" s="239" t="s">
        <v>9</v>
      </c>
      <c r="C210" s="234"/>
      <c r="D210" s="235"/>
      <c r="E210" s="234">
        <v>32000</v>
      </c>
      <c r="F210" s="237">
        <f t="shared" si="31"/>
        <v>96000</v>
      </c>
      <c r="G210" s="237">
        <f>+C208*E210-(C208*E210*10%)</f>
        <v>86400</v>
      </c>
      <c r="H210" s="238">
        <f>+C208*E210*10%</f>
        <v>9600</v>
      </c>
      <c r="I210" s="238"/>
      <c r="J210" s="238"/>
      <c r="K210" s="238">
        <f t="shared" si="32"/>
        <v>86400</v>
      </c>
    </row>
    <row r="211" spans="1:34" s="143" customFormat="1" ht="21.75" customHeight="1">
      <c r="A211" s="232"/>
      <c r="B211" s="239" t="s">
        <v>1471</v>
      </c>
      <c r="C211" s="234"/>
      <c r="D211" s="235"/>
      <c r="E211" s="242"/>
      <c r="F211" s="237">
        <f t="shared" si="31"/>
        <v>100000</v>
      </c>
      <c r="G211" s="237">
        <v>100000</v>
      </c>
      <c r="H211" s="238"/>
      <c r="I211" s="238"/>
      <c r="J211" s="238"/>
      <c r="K211" s="238">
        <f t="shared" si="32"/>
        <v>100000</v>
      </c>
    </row>
    <row r="212" spans="1:34" s="143" customFormat="1" ht="38.25" customHeight="1">
      <c r="A212" s="232"/>
      <c r="B212" s="251" t="s">
        <v>1173</v>
      </c>
      <c r="C212" s="234"/>
      <c r="D212" s="235"/>
      <c r="E212" s="242"/>
      <c r="F212" s="237"/>
      <c r="G212" s="237">
        <v>26600</v>
      </c>
      <c r="H212" s="238"/>
      <c r="I212" s="238"/>
      <c r="J212" s="238"/>
      <c r="K212" s="238">
        <f t="shared" si="32"/>
        <v>26600</v>
      </c>
    </row>
    <row r="213" spans="1:34" s="231" customFormat="1" ht="20.100000000000001" customHeight="1">
      <c r="A213" s="224"/>
      <c r="B213" s="225" t="s">
        <v>352</v>
      </c>
      <c r="C213" s="226">
        <v>3</v>
      </c>
      <c r="D213" s="227">
        <v>3</v>
      </c>
      <c r="E213" s="228"/>
      <c r="F213" s="229">
        <f>SUM(F214:F216)</f>
        <v>756613.60000000009</v>
      </c>
      <c r="G213" s="229">
        <f>SUM(G214:G223)</f>
        <v>1027633.6000000001</v>
      </c>
      <c r="H213" s="229">
        <f>SUM(H214:H223)</f>
        <v>9600</v>
      </c>
      <c r="I213" s="229">
        <f>SUM(I214:I223)</f>
        <v>6600</v>
      </c>
      <c r="J213" s="229">
        <f>SUM(J214:J223)</f>
        <v>0</v>
      </c>
      <c r="K213" s="229">
        <f>SUM(K214:K223)</f>
        <v>1021033.6000000001</v>
      </c>
    </row>
    <row r="214" spans="1:34" s="143" customFormat="1" ht="20.100000000000001" customHeight="1">
      <c r="A214" s="232"/>
      <c r="B214" s="233" t="s">
        <v>8</v>
      </c>
      <c r="C214" s="234"/>
      <c r="D214" s="235"/>
      <c r="E214" s="241">
        <v>23.17</v>
      </c>
      <c r="F214" s="237">
        <f t="shared" si="31"/>
        <v>650613.60000000009</v>
      </c>
      <c r="G214" s="237">
        <f>+E214*2340*12</f>
        <v>650613.60000000009</v>
      </c>
      <c r="H214" s="238"/>
      <c r="I214" s="238"/>
      <c r="J214" s="238"/>
      <c r="K214" s="238">
        <f t="shared" si="32"/>
        <v>650613.60000000009</v>
      </c>
    </row>
    <row r="215" spans="1:34" s="143" customFormat="1" ht="20.100000000000001" customHeight="1">
      <c r="A215" s="232"/>
      <c r="B215" s="239" t="s">
        <v>9</v>
      </c>
      <c r="C215" s="234"/>
      <c r="D215" s="235"/>
      <c r="E215" s="234">
        <v>32000</v>
      </c>
      <c r="F215" s="237">
        <f t="shared" si="31"/>
        <v>96000</v>
      </c>
      <c r="G215" s="237">
        <f>+C213*E215-(C213*E215*10%)</f>
        <v>86400</v>
      </c>
      <c r="H215" s="238">
        <f>+C213*E215*10%</f>
        <v>9600</v>
      </c>
      <c r="I215" s="238"/>
      <c r="J215" s="238"/>
      <c r="K215" s="238">
        <f t="shared" si="32"/>
        <v>86400</v>
      </c>
    </row>
    <row r="216" spans="1:34" s="143" customFormat="1" ht="20.100000000000001" customHeight="1">
      <c r="A216" s="232"/>
      <c r="B216" s="233" t="s">
        <v>819</v>
      </c>
      <c r="C216" s="234"/>
      <c r="D216" s="235"/>
      <c r="E216" s="241"/>
      <c r="F216" s="237">
        <f t="shared" si="31"/>
        <v>10000</v>
      </c>
      <c r="G216" s="237">
        <v>10000</v>
      </c>
      <c r="H216" s="238"/>
      <c r="I216" s="238"/>
      <c r="J216" s="238"/>
      <c r="K216" s="238">
        <f t="shared" si="32"/>
        <v>10000</v>
      </c>
    </row>
    <row r="217" spans="1:34" s="143" customFormat="1" ht="20.100000000000001" customHeight="1">
      <c r="A217" s="232"/>
      <c r="B217" s="283" t="s">
        <v>1254</v>
      </c>
      <c r="C217" s="234"/>
      <c r="D217" s="235"/>
      <c r="E217" s="241"/>
      <c r="F217" s="237"/>
      <c r="G217" s="237">
        <v>25000</v>
      </c>
      <c r="H217" s="238"/>
      <c r="I217" s="238"/>
      <c r="J217" s="238"/>
      <c r="K217" s="238">
        <f>+G217-I217-J217</f>
        <v>25000</v>
      </c>
    </row>
    <row r="218" spans="1:34" s="143" customFormat="1" ht="36.75" customHeight="1">
      <c r="A218" s="232"/>
      <c r="B218" s="283" t="s">
        <v>1255</v>
      </c>
      <c r="C218" s="234"/>
      <c r="D218" s="235"/>
      <c r="E218" s="241"/>
      <c r="F218" s="237"/>
      <c r="G218" s="237">
        <v>45000</v>
      </c>
      <c r="H218" s="238"/>
      <c r="I218" s="238"/>
      <c r="J218" s="238"/>
      <c r="K218" s="238">
        <f>+G218-I218-J218</f>
        <v>45000</v>
      </c>
      <c r="AH218" s="558">
        <f>+G217+G218+G220+G221</f>
        <v>178500</v>
      </c>
    </row>
    <row r="219" spans="1:34" s="143" customFormat="1" ht="52.5" customHeight="1">
      <c r="A219" s="232"/>
      <c r="B219" s="283" t="s">
        <v>1256</v>
      </c>
      <c r="C219" s="234"/>
      <c r="D219" s="235"/>
      <c r="E219" s="241"/>
      <c r="F219" s="237"/>
      <c r="G219" s="237">
        <v>28660</v>
      </c>
      <c r="H219" s="238"/>
      <c r="I219" s="238">
        <f>+(G219*0.1)-66</f>
        <v>2800</v>
      </c>
      <c r="J219" s="238"/>
      <c r="K219" s="238">
        <f>+G219-I219-J219</f>
        <v>25860</v>
      </c>
      <c r="AH219" s="558">
        <f>+AH218-140500</f>
        <v>38000</v>
      </c>
    </row>
    <row r="220" spans="1:34" s="143" customFormat="1" ht="47.25" customHeight="1">
      <c r="A220" s="232"/>
      <c r="B220" s="283" t="s">
        <v>1257</v>
      </c>
      <c r="C220" s="234"/>
      <c r="D220" s="235"/>
      <c r="E220" s="241"/>
      <c r="F220" s="237"/>
      <c r="G220" s="237">
        <v>8500</v>
      </c>
      <c r="H220" s="238"/>
      <c r="I220" s="238"/>
      <c r="J220" s="238"/>
      <c r="K220" s="238">
        <f>+G220-I220-J220</f>
        <v>8500</v>
      </c>
    </row>
    <row r="221" spans="1:34" s="143" customFormat="1" ht="53.25" customHeight="1">
      <c r="A221" s="232"/>
      <c r="B221" s="283" t="s">
        <v>1258</v>
      </c>
      <c r="C221" s="234"/>
      <c r="D221" s="235"/>
      <c r="E221" s="241"/>
      <c r="F221" s="237"/>
      <c r="G221" s="237">
        <v>100000</v>
      </c>
      <c r="H221" s="238"/>
      <c r="I221" s="238">
        <f>+(G217+G218+G220+G221-140500)*0.1</f>
        <v>3800</v>
      </c>
      <c r="J221" s="238"/>
      <c r="K221" s="238">
        <f>+G221-I221-J221</f>
        <v>96200</v>
      </c>
    </row>
    <row r="222" spans="1:34" s="143" customFormat="1" ht="20.100000000000001" customHeight="1">
      <c r="A222" s="232"/>
      <c r="B222" s="239" t="s">
        <v>1253</v>
      </c>
      <c r="C222" s="234"/>
      <c r="D222" s="235"/>
      <c r="E222" s="241"/>
      <c r="F222" s="237"/>
      <c r="G222" s="237">
        <v>40960</v>
      </c>
      <c r="H222" s="238"/>
      <c r="I222" s="238"/>
      <c r="J222" s="238"/>
      <c r="K222" s="238">
        <f t="shared" si="32"/>
        <v>40960</v>
      </c>
    </row>
    <row r="223" spans="1:34" s="143" customFormat="1" ht="36" customHeight="1">
      <c r="A223" s="232"/>
      <c r="B223" s="251" t="s">
        <v>1173</v>
      </c>
      <c r="C223" s="234"/>
      <c r="D223" s="235"/>
      <c r="E223" s="241"/>
      <c r="F223" s="237"/>
      <c r="G223" s="237">
        <v>32500</v>
      </c>
      <c r="H223" s="238"/>
      <c r="I223" s="238"/>
      <c r="J223" s="238"/>
      <c r="K223" s="238">
        <f t="shared" si="32"/>
        <v>32500</v>
      </c>
    </row>
    <row r="224" spans="1:34" s="231" customFormat="1" ht="20.100000000000001" customHeight="1">
      <c r="A224" s="224"/>
      <c r="B224" s="225" t="s">
        <v>248</v>
      </c>
      <c r="C224" s="226">
        <v>3</v>
      </c>
      <c r="D224" s="227">
        <v>3</v>
      </c>
      <c r="E224" s="228"/>
      <c r="F224" s="229">
        <f>SUM(F225:F228)</f>
        <v>598552</v>
      </c>
      <c r="G224" s="229">
        <f>SUM(G225:G229)</f>
        <v>629836.31999999995</v>
      </c>
      <c r="H224" s="229">
        <f>SUM(H225:H229)</f>
        <v>9600</v>
      </c>
      <c r="I224" s="229">
        <f>SUM(I225:I229)</f>
        <v>0</v>
      </c>
      <c r="J224" s="229">
        <f>SUM(J225:J229)</f>
        <v>0</v>
      </c>
      <c r="K224" s="229">
        <f>SUM(K225:K229)</f>
        <v>629836.31999999995</v>
      </c>
    </row>
    <row r="225" spans="1:11" s="143" customFormat="1" ht="20.100000000000001" customHeight="1">
      <c r="A225" s="232"/>
      <c r="B225" s="233" t="s">
        <v>8</v>
      </c>
      <c r="C225" s="234"/>
      <c r="D225" s="235"/>
      <c r="E225" s="241">
        <v>16.899999999999999</v>
      </c>
      <c r="F225" s="237">
        <f t="shared" si="31"/>
        <v>474552</v>
      </c>
      <c r="G225" s="237">
        <f>+E225*2340*12</f>
        <v>474552</v>
      </c>
      <c r="H225" s="238"/>
      <c r="I225" s="238"/>
      <c r="J225" s="238"/>
      <c r="K225" s="238">
        <f t="shared" si="32"/>
        <v>474552</v>
      </c>
    </row>
    <row r="226" spans="1:11" s="143" customFormat="1" ht="20.100000000000001" customHeight="1">
      <c r="A226" s="232"/>
      <c r="B226" s="239" t="s">
        <v>9</v>
      </c>
      <c r="C226" s="234"/>
      <c r="D226" s="235"/>
      <c r="E226" s="234">
        <v>32000</v>
      </c>
      <c r="F226" s="237">
        <f>SUM(G226:H226)</f>
        <v>96000</v>
      </c>
      <c r="G226" s="237">
        <f>+C224*E226-(C224*E226*10%)</f>
        <v>86400</v>
      </c>
      <c r="H226" s="238">
        <f>+C224*E226*10%</f>
        <v>9600</v>
      </c>
      <c r="I226" s="238"/>
      <c r="J226" s="238"/>
      <c r="K226" s="238">
        <f>+G226-I226-J226</f>
        <v>86400</v>
      </c>
    </row>
    <row r="227" spans="1:11" s="143" customFormat="1" ht="32.25" customHeight="1">
      <c r="A227" s="232"/>
      <c r="B227" s="239" t="s">
        <v>944</v>
      </c>
      <c r="C227" s="234"/>
      <c r="D227" s="235"/>
      <c r="E227" s="241">
        <v>0.504</v>
      </c>
      <c r="F227" s="237"/>
      <c r="G227" s="237">
        <f>+E227*2340*12</f>
        <v>14152.32</v>
      </c>
      <c r="H227" s="238"/>
      <c r="I227" s="238"/>
      <c r="J227" s="238"/>
      <c r="K227" s="238">
        <f>+G227-I227-J227</f>
        <v>14152.32</v>
      </c>
    </row>
    <row r="228" spans="1:11" s="143" customFormat="1" ht="54" customHeight="1">
      <c r="A228" s="232"/>
      <c r="B228" s="239" t="s">
        <v>1259</v>
      </c>
      <c r="C228" s="234"/>
      <c r="D228" s="235"/>
      <c r="E228" s="234"/>
      <c r="F228" s="237">
        <f t="shared" si="31"/>
        <v>28000</v>
      </c>
      <c r="G228" s="237">
        <v>28000</v>
      </c>
      <c r="H228" s="238">
        <f>+C224*E228*10%</f>
        <v>0</v>
      </c>
      <c r="I228" s="238"/>
      <c r="J228" s="238"/>
      <c r="K228" s="238">
        <f t="shared" si="32"/>
        <v>28000</v>
      </c>
    </row>
    <row r="229" spans="1:11" s="143" customFormat="1" ht="36.75" customHeight="1">
      <c r="A229" s="232"/>
      <c r="B229" s="251" t="s">
        <v>1173</v>
      </c>
      <c r="C229" s="234"/>
      <c r="D229" s="235"/>
      <c r="E229" s="234"/>
      <c r="F229" s="237"/>
      <c r="G229" s="237">
        <v>26732</v>
      </c>
      <c r="H229" s="238"/>
      <c r="I229" s="238"/>
      <c r="J229" s="238"/>
      <c r="K229" s="238">
        <f>+G229</f>
        <v>26732</v>
      </c>
    </row>
    <row r="230" spans="1:11" s="231" customFormat="1" ht="43.5" customHeight="1">
      <c r="A230" s="224" t="s">
        <v>331</v>
      </c>
      <c r="B230" s="434" t="s">
        <v>849</v>
      </c>
      <c r="C230" s="226"/>
      <c r="D230" s="227"/>
      <c r="E230" s="228"/>
      <c r="F230" s="229">
        <f t="shared" si="31"/>
        <v>124200</v>
      </c>
      <c r="G230" s="229">
        <v>124200</v>
      </c>
      <c r="H230" s="240"/>
      <c r="I230" s="240"/>
      <c r="J230" s="240"/>
      <c r="K230" s="240">
        <f t="shared" si="32"/>
        <v>124200</v>
      </c>
    </row>
    <row r="231" spans="1:11" s="231" customFormat="1" ht="19.5" customHeight="1">
      <c r="A231" s="224" t="s">
        <v>332</v>
      </c>
      <c r="B231" s="434" t="s">
        <v>1174</v>
      </c>
      <c r="C231" s="226"/>
      <c r="D231" s="227"/>
      <c r="E231" s="228"/>
      <c r="F231" s="229">
        <f>SUM(G231:H231)</f>
        <v>1000000</v>
      </c>
      <c r="G231" s="229">
        <f>SUM(G232:G233)</f>
        <v>1000000</v>
      </c>
      <c r="H231" s="229">
        <f>SUM(H232:H233)</f>
        <v>0</v>
      </c>
      <c r="I231" s="229">
        <f>SUM(I232:I233)</f>
        <v>0</v>
      </c>
      <c r="J231" s="229">
        <f>SUM(J232:J233)</f>
        <v>0</v>
      </c>
      <c r="K231" s="229">
        <f>SUM(K232:K233)</f>
        <v>1000000</v>
      </c>
    </row>
    <row r="232" spans="1:11" s="143" customFormat="1" ht="19.5" customHeight="1">
      <c r="A232" s="232"/>
      <c r="B232" s="283" t="s">
        <v>1175</v>
      </c>
      <c r="C232" s="234"/>
      <c r="D232" s="235"/>
      <c r="E232" s="242"/>
      <c r="F232" s="237"/>
      <c r="G232" s="237">
        <v>800000</v>
      </c>
      <c r="H232" s="238"/>
      <c r="I232" s="238"/>
      <c r="J232" s="238"/>
      <c r="K232" s="238">
        <f>+G232-I232-J232</f>
        <v>800000</v>
      </c>
    </row>
    <row r="233" spans="1:11" s="143" customFormat="1" ht="38.25" customHeight="1">
      <c r="A233" s="232"/>
      <c r="B233" s="283" t="s">
        <v>1176</v>
      </c>
      <c r="C233" s="234"/>
      <c r="D233" s="235"/>
      <c r="E233" s="242"/>
      <c r="F233" s="237"/>
      <c r="G233" s="237">
        <v>200000</v>
      </c>
      <c r="H233" s="238"/>
      <c r="I233" s="238"/>
      <c r="J233" s="238"/>
      <c r="K233" s="238">
        <f>+G233</f>
        <v>200000</v>
      </c>
    </row>
    <row r="234" spans="1:11" s="231" customFormat="1" ht="34.5" customHeight="1">
      <c r="A234" s="224" t="s">
        <v>333</v>
      </c>
      <c r="B234" s="434" t="s">
        <v>1424</v>
      </c>
      <c r="C234" s="226"/>
      <c r="D234" s="227"/>
      <c r="E234" s="228"/>
      <c r="F234" s="229">
        <f>SUM(G234:H234)</f>
        <v>32500</v>
      </c>
      <c r="G234" s="229">
        <v>32500</v>
      </c>
      <c r="H234" s="240"/>
      <c r="I234" s="240"/>
      <c r="J234" s="240"/>
      <c r="K234" s="240">
        <f t="shared" si="32"/>
        <v>32500</v>
      </c>
    </row>
    <row r="235" spans="1:11" s="231" customFormat="1" ht="19.5" customHeight="1">
      <c r="A235" s="224" t="s">
        <v>334</v>
      </c>
      <c r="B235" s="434" t="s">
        <v>1425</v>
      </c>
      <c r="C235" s="226"/>
      <c r="D235" s="227"/>
      <c r="E235" s="228"/>
      <c r="F235" s="229"/>
      <c r="G235" s="229">
        <v>25000</v>
      </c>
      <c r="H235" s="240"/>
      <c r="I235" s="240"/>
      <c r="J235" s="240"/>
      <c r="K235" s="240">
        <f t="shared" si="32"/>
        <v>25000</v>
      </c>
    </row>
    <row r="236" spans="1:11" s="231" customFormat="1" ht="36" customHeight="1">
      <c r="A236" s="224" t="s">
        <v>847</v>
      </c>
      <c r="B236" s="434" t="s">
        <v>1426</v>
      </c>
      <c r="C236" s="226"/>
      <c r="D236" s="227"/>
      <c r="E236" s="228"/>
      <c r="F236" s="229"/>
      <c r="G236" s="229">
        <v>25000</v>
      </c>
      <c r="H236" s="240"/>
      <c r="I236" s="240"/>
      <c r="J236" s="240"/>
      <c r="K236" s="240">
        <f t="shared" si="32"/>
        <v>25000</v>
      </c>
    </row>
    <row r="237" spans="1:11" s="231" customFormat="1" ht="19.5" customHeight="1">
      <c r="A237" s="224" t="s">
        <v>1261</v>
      </c>
      <c r="B237" s="225" t="s">
        <v>820</v>
      </c>
      <c r="C237" s="226">
        <v>1</v>
      </c>
      <c r="D237" s="227">
        <v>1</v>
      </c>
      <c r="E237" s="228"/>
      <c r="F237" s="229">
        <f t="shared" si="31"/>
        <v>290264.8</v>
      </c>
      <c r="G237" s="229">
        <f>SUM(G238:G243)</f>
        <v>288264.8</v>
      </c>
      <c r="H237" s="229">
        <f>SUM(H238:H243)</f>
        <v>2000</v>
      </c>
      <c r="I237" s="229">
        <f>SUM(I238:I243)</f>
        <v>6800</v>
      </c>
      <c r="J237" s="229">
        <f>SUM(J238:J243)</f>
        <v>0</v>
      </c>
      <c r="K237" s="229">
        <f>SUM(K238:K243)</f>
        <v>281464.8</v>
      </c>
    </row>
    <row r="238" spans="1:11" s="143" customFormat="1" ht="20.45" customHeight="1">
      <c r="A238" s="232"/>
      <c r="B238" s="233" t="s">
        <v>8</v>
      </c>
      <c r="C238" s="234"/>
      <c r="D238" s="235"/>
      <c r="E238" s="236">
        <v>6.06</v>
      </c>
      <c r="F238" s="237">
        <f t="shared" si="31"/>
        <v>170164.8</v>
      </c>
      <c r="G238" s="237">
        <f>+E238*2340*12</f>
        <v>170164.8</v>
      </c>
      <c r="H238" s="238"/>
      <c r="I238" s="238"/>
      <c r="J238" s="238"/>
      <c r="K238" s="238">
        <f t="shared" si="32"/>
        <v>170164.8</v>
      </c>
    </row>
    <row r="239" spans="1:11" s="143" customFormat="1" ht="20.45" customHeight="1">
      <c r="A239" s="232"/>
      <c r="B239" s="239" t="s">
        <v>9</v>
      </c>
      <c r="C239" s="234"/>
      <c r="D239" s="235"/>
      <c r="E239" s="234">
        <v>20000</v>
      </c>
      <c r="F239" s="237">
        <f t="shared" si="31"/>
        <v>20000</v>
      </c>
      <c r="G239" s="237">
        <f>+C237*E239-(C237*E239*10%)</f>
        <v>18000</v>
      </c>
      <c r="H239" s="238">
        <f>+E239*10%</f>
        <v>2000</v>
      </c>
      <c r="I239" s="238"/>
      <c r="J239" s="238"/>
      <c r="K239" s="238">
        <f>+G239-I239-J239</f>
        <v>18000</v>
      </c>
    </row>
    <row r="240" spans="1:11" s="143" customFormat="1" ht="20.45" customHeight="1">
      <c r="A240" s="232"/>
      <c r="B240" s="239" t="s">
        <v>1297</v>
      </c>
      <c r="C240" s="234"/>
      <c r="D240" s="235"/>
      <c r="E240" s="234"/>
      <c r="F240" s="237"/>
      <c r="G240" s="237">
        <v>20000</v>
      </c>
      <c r="H240" s="238"/>
      <c r="I240" s="238"/>
      <c r="J240" s="238"/>
      <c r="K240" s="238">
        <f>+G240-I240-J240</f>
        <v>20000</v>
      </c>
    </row>
    <row r="241" spans="1:11" s="143" customFormat="1" ht="20.45" customHeight="1">
      <c r="A241" s="232"/>
      <c r="B241" s="283" t="s">
        <v>1295</v>
      </c>
      <c r="C241" s="234"/>
      <c r="D241" s="235"/>
      <c r="E241" s="234"/>
      <c r="F241" s="237"/>
      <c r="G241" s="237">
        <v>48000</v>
      </c>
      <c r="H241" s="238"/>
      <c r="I241" s="238">
        <f>+G241*0.1</f>
        <v>4800</v>
      </c>
      <c r="J241" s="238"/>
      <c r="K241" s="238">
        <f>+G241-I241-J241</f>
        <v>43200</v>
      </c>
    </row>
    <row r="242" spans="1:11" s="143" customFormat="1" ht="20.45" customHeight="1">
      <c r="A242" s="232"/>
      <c r="B242" s="283" t="s">
        <v>1296</v>
      </c>
      <c r="C242" s="234"/>
      <c r="D242" s="235"/>
      <c r="E242" s="234"/>
      <c r="F242" s="237"/>
      <c r="G242" s="237">
        <v>20000</v>
      </c>
      <c r="H242" s="238"/>
      <c r="I242" s="238">
        <f>+G242*0.1</f>
        <v>2000</v>
      </c>
      <c r="J242" s="238"/>
      <c r="K242" s="238">
        <f>+G242-I242-J242</f>
        <v>18000</v>
      </c>
    </row>
    <row r="243" spans="1:11" s="143" customFormat="1" ht="33.75" customHeight="1">
      <c r="A243" s="232"/>
      <c r="B243" s="251" t="s">
        <v>1173</v>
      </c>
      <c r="C243" s="234"/>
      <c r="D243" s="235"/>
      <c r="E243" s="234"/>
      <c r="F243" s="237"/>
      <c r="G243" s="237">
        <v>12100</v>
      </c>
      <c r="H243" s="238"/>
      <c r="I243" s="238"/>
      <c r="J243" s="238"/>
      <c r="K243" s="238">
        <f>+G243</f>
        <v>12100</v>
      </c>
    </row>
    <row r="244" spans="1:11" s="231" customFormat="1" ht="20.45" customHeight="1">
      <c r="A244" s="224" t="s">
        <v>1285</v>
      </c>
      <c r="B244" s="225" t="s">
        <v>70</v>
      </c>
      <c r="C244" s="256">
        <f>C245+C249+C253+C257+C261</f>
        <v>9</v>
      </c>
      <c r="D244" s="227">
        <f>D245+D249+D253+D257+D261</f>
        <v>9</v>
      </c>
      <c r="E244" s="228"/>
      <c r="F244" s="237">
        <f t="shared" si="31"/>
        <v>869780</v>
      </c>
      <c r="G244" s="229">
        <f>G245+G249+G253+G257+G261+G265</f>
        <v>869780</v>
      </c>
      <c r="H244" s="230">
        <f>H245+H249+H253+H257+H261+H265</f>
        <v>0</v>
      </c>
      <c r="I244" s="230"/>
      <c r="J244" s="230">
        <f>J245+J249+J253+J257+J261+J265</f>
        <v>0</v>
      </c>
      <c r="K244" s="240">
        <f t="shared" si="32"/>
        <v>869780</v>
      </c>
    </row>
    <row r="245" spans="1:11" s="231" customFormat="1" ht="20.45" customHeight="1">
      <c r="A245" s="224"/>
      <c r="B245" s="225" t="s">
        <v>545</v>
      </c>
      <c r="C245" s="240">
        <f>SUM(C246:C248)</f>
        <v>2</v>
      </c>
      <c r="D245" s="240">
        <f>SUM(D246:D248)</f>
        <v>2</v>
      </c>
      <c r="E245" s="240"/>
      <c r="F245" s="237">
        <f t="shared" si="31"/>
        <v>180056</v>
      </c>
      <c r="G245" s="229">
        <f>SUM(G246:G248)</f>
        <v>180056</v>
      </c>
      <c r="H245" s="230">
        <f>SUM(H246:H248)</f>
        <v>0</v>
      </c>
      <c r="I245" s="230"/>
      <c r="J245" s="230">
        <f>SUM(J246:J248)</f>
        <v>0</v>
      </c>
      <c r="K245" s="240">
        <f t="shared" si="32"/>
        <v>180056</v>
      </c>
    </row>
    <row r="246" spans="1:11" s="143" customFormat="1" ht="20.45" customHeight="1">
      <c r="A246" s="232"/>
      <c r="B246" s="233" t="s">
        <v>249</v>
      </c>
      <c r="C246" s="234">
        <v>1</v>
      </c>
      <c r="D246" s="235">
        <v>1</v>
      </c>
      <c r="E246" s="242">
        <v>3.2</v>
      </c>
      <c r="F246" s="237">
        <f t="shared" si="31"/>
        <v>89856</v>
      </c>
      <c r="G246" s="237">
        <f>+E246*2340*12</f>
        <v>89856</v>
      </c>
      <c r="H246" s="238"/>
      <c r="I246" s="238"/>
      <c r="J246" s="238"/>
      <c r="K246" s="238">
        <f t="shared" si="32"/>
        <v>89856</v>
      </c>
    </row>
    <row r="247" spans="1:11" s="143" customFormat="1" ht="20.45" customHeight="1">
      <c r="A247" s="232"/>
      <c r="B247" s="233" t="s">
        <v>17</v>
      </c>
      <c r="C247" s="234">
        <v>1</v>
      </c>
      <c r="D247" s="235">
        <v>1</v>
      </c>
      <c r="E247" s="242">
        <v>2.5</v>
      </c>
      <c r="F247" s="237">
        <f t="shared" si="31"/>
        <v>70200</v>
      </c>
      <c r="G247" s="237">
        <f>+E247*2340*12</f>
        <v>70200</v>
      </c>
      <c r="H247" s="238"/>
      <c r="I247" s="238"/>
      <c r="J247" s="238"/>
      <c r="K247" s="238">
        <f>+G247-I247-J247</f>
        <v>70200</v>
      </c>
    </row>
    <row r="248" spans="1:11" s="143" customFormat="1" ht="20.45" customHeight="1">
      <c r="A248" s="232"/>
      <c r="B248" s="239" t="s">
        <v>9</v>
      </c>
      <c r="C248" s="234"/>
      <c r="D248" s="235"/>
      <c r="E248" s="234">
        <v>20000</v>
      </c>
      <c r="F248" s="237">
        <f>SUM(G248:H248)</f>
        <v>20000</v>
      </c>
      <c r="G248" s="237">
        <f>+E248</f>
        <v>20000</v>
      </c>
      <c r="H248" s="238"/>
      <c r="I248" s="238"/>
      <c r="J248" s="238"/>
      <c r="K248" s="238">
        <f t="shared" si="32"/>
        <v>20000</v>
      </c>
    </row>
    <row r="249" spans="1:11" s="143" customFormat="1" ht="20.45" customHeight="1">
      <c r="A249" s="224"/>
      <c r="B249" s="225" t="s">
        <v>251</v>
      </c>
      <c r="C249" s="226">
        <v>1</v>
      </c>
      <c r="D249" s="227">
        <v>1</v>
      </c>
      <c r="E249" s="228"/>
      <c r="F249" s="237">
        <f t="shared" si="31"/>
        <v>129556</v>
      </c>
      <c r="G249" s="229">
        <f>G250+G251+G252</f>
        <v>129556</v>
      </c>
      <c r="H249" s="229">
        <f>H250+H251+H252</f>
        <v>0</v>
      </c>
      <c r="I249" s="229">
        <f>I250+I251+I252</f>
        <v>0</v>
      </c>
      <c r="J249" s="229">
        <f>J250+J251+J252</f>
        <v>0</v>
      </c>
      <c r="K249" s="229">
        <f>K250+K251+K252</f>
        <v>129556</v>
      </c>
    </row>
    <row r="250" spans="1:11" s="143" customFormat="1" ht="20.45" customHeight="1">
      <c r="A250" s="232"/>
      <c r="B250" s="233" t="s">
        <v>249</v>
      </c>
      <c r="C250" s="234"/>
      <c r="D250" s="235"/>
      <c r="E250" s="242">
        <v>3.2</v>
      </c>
      <c r="F250" s="237">
        <f t="shared" si="31"/>
        <v>89856</v>
      </c>
      <c r="G250" s="237">
        <f>+E250*2340*12</f>
        <v>89856</v>
      </c>
      <c r="H250" s="238"/>
      <c r="I250" s="238"/>
      <c r="J250" s="238"/>
      <c r="K250" s="238">
        <f t="shared" si="32"/>
        <v>89856</v>
      </c>
    </row>
    <row r="251" spans="1:11" s="143" customFormat="1" ht="20.45" customHeight="1">
      <c r="A251" s="232"/>
      <c r="B251" s="239" t="s">
        <v>9</v>
      </c>
      <c r="C251" s="234"/>
      <c r="D251" s="235"/>
      <c r="E251" s="234">
        <v>10000</v>
      </c>
      <c r="F251" s="237">
        <f t="shared" si="31"/>
        <v>10000</v>
      </c>
      <c r="G251" s="237">
        <f>+E251</f>
        <v>10000</v>
      </c>
      <c r="H251" s="238"/>
      <c r="I251" s="238"/>
      <c r="J251" s="238"/>
      <c r="K251" s="238">
        <f t="shared" si="32"/>
        <v>10000</v>
      </c>
    </row>
    <row r="252" spans="1:11" s="143" customFormat="1" ht="20.45" customHeight="1">
      <c r="A252" s="232"/>
      <c r="B252" s="239" t="s">
        <v>1260</v>
      </c>
      <c r="C252" s="234"/>
      <c r="D252" s="235"/>
      <c r="E252" s="234"/>
      <c r="F252" s="237"/>
      <c r="G252" s="237">
        <v>29700</v>
      </c>
      <c r="H252" s="238"/>
      <c r="I252" s="238"/>
      <c r="J252" s="238"/>
      <c r="K252" s="238">
        <f t="shared" si="32"/>
        <v>29700</v>
      </c>
    </row>
    <row r="253" spans="1:11" s="231" customFormat="1" ht="20.45" customHeight="1">
      <c r="A253" s="224"/>
      <c r="B253" s="225" t="s">
        <v>250</v>
      </c>
      <c r="C253" s="240">
        <f>SUM(C254:C256)</f>
        <v>2</v>
      </c>
      <c r="D253" s="240">
        <f>SUM(D254:D256)</f>
        <v>2</v>
      </c>
      <c r="E253" s="240"/>
      <c r="F253" s="237">
        <f t="shared" si="31"/>
        <v>180056</v>
      </c>
      <c r="G253" s="229">
        <f>SUM(G254:G256)</f>
        <v>180056</v>
      </c>
      <c r="H253" s="229">
        <f>SUM(H254:H256)</f>
        <v>0</v>
      </c>
      <c r="I253" s="229">
        <f>SUM(I254:I256)</f>
        <v>0</v>
      </c>
      <c r="J253" s="229">
        <f>SUM(J254:J256)</f>
        <v>0</v>
      </c>
      <c r="K253" s="229">
        <f>SUM(K254:K256)</f>
        <v>180056</v>
      </c>
    </row>
    <row r="254" spans="1:11" s="143" customFormat="1" ht="20.45" customHeight="1">
      <c r="A254" s="232"/>
      <c r="B254" s="233" t="s">
        <v>249</v>
      </c>
      <c r="C254" s="234">
        <v>1</v>
      </c>
      <c r="D254" s="235">
        <v>1</v>
      </c>
      <c r="E254" s="242">
        <v>3.2</v>
      </c>
      <c r="F254" s="237">
        <f t="shared" si="31"/>
        <v>89856</v>
      </c>
      <c r="G254" s="237">
        <f>+E254*2340*12</f>
        <v>89856</v>
      </c>
      <c r="H254" s="238"/>
      <c r="I254" s="238"/>
      <c r="J254" s="238"/>
      <c r="K254" s="238">
        <f t="shared" si="32"/>
        <v>89856</v>
      </c>
    </row>
    <row r="255" spans="1:11" s="143" customFormat="1" ht="20.45" customHeight="1">
      <c r="A255" s="232"/>
      <c r="B255" s="233" t="s">
        <v>17</v>
      </c>
      <c r="C255" s="234">
        <v>1</v>
      </c>
      <c r="D255" s="235">
        <v>1</v>
      </c>
      <c r="E255" s="242">
        <v>2.5</v>
      </c>
      <c r="F255" s="237">
        <f t="shared" si="31"/>
        <v>70200</v>
      </c>
      <c r="G255" s="237">
        <f>+E255*2340*12</f>
        <v>70200</v>
      </c>
      <c r="H255" s="238"/>
      <c r="I255" s="238"/>
      <c r="J255" s="238"/>
      <c r="K255" s="238">
        <f t="shared" si="32"/>
        <v>70200</v>
      </c>
    </row>
    <row r="256" spans="1:11" s="143" customFormat="1" ht="20.45" customHeight="1">
      <c r="A256" s="232"/>
      <c r="B256" s="239" t="s">
        <v>9</v>
      </c>
      <c r="C256" s="234"/>
      <c r="D256" s="235"/>
      <c r="E256" s="234">
        <v>20000</v>
      </c>
      <c r="F256" s="237">
        <f t="shared" si="31"/>
        <v>20000</v>
      </c>
      <c r="G256" s="237">
        <v>20000</v>
      </c>
      <c r="H256" s="238"/>
      <c r="I256" s="238"/>
      <c r="J256" s="238"/>
      <c r="K256" s="238">
        <f t="shared" si="32"/>
        <v>20000</v>
      </c>
    </row>
    <row r="257" spans="1:35" s="231" customFormat="1" ht="20.45" customHeight="1">
      <c r="A257" s="224"/>
      <c r="B257" s="225" t="s">
        <v>252</v>
      </c>
      <c r="C257" s="240">
        <f>SUM(C258:C260)</f>
        <v>2</v>
      </c>
      <c r="D257" s="240">
        <f>SUM(D258:D260)</f>
        <v>2</v>
      </c>
      <c r="E257" s="240"/>
      <c r="F257" s="237">
        <f t="shared" si="31"/>
        <v>180056</v>
      </c>
      <c r="G257" s="229">
        <f>SUM(G258:G260)</f>
        <v>180056</v>
      </c>
      <c r="H257" s="229">
        <f>SUM(H258:H260)</f>
        <v>0</v>
      </c>
      <c r="I257" s="229">
        <f>SUM(I258:I260)</f>
        <v>0</v>
      </c>
      <c r="J257" s="229">
        <f>SUM(J258:J260)</f>
        <v>0</v>
      </c>
      <c r="K257" s="229">
        <f>SUM(K258:K260)</f>
        <v>180056</v>
      </c>
    </row>
    <row r="258" spans="1:35" s="143" customFormat="1" ht="20.45" customHeight="1">
      <c r="A258" s="232"/>
      <c r="B258" s="233" t="s">
        <v>249</v>
      </c>
      <c r="C258" s="234">
        <v>1</v>
      </c>
      <c r="D258" s="235">
        <v>1</v>
      </c>
      <c r="E258" s="242">
        <v>3.2</v>
      </c>
      <c r="F258" s="237">
        <f t="shared" si="31"/>
        <v>89856</v>
      </c>
      <c r="G258" s="237">
        <f>+E258*2340*12</f>
        <v>89856</v>
      </c>
      <c r="H258" s="238"/>
      <c r="I258" s="238"/>
      <c r="J258" s="238"/>
      <c r="K258" s="238">
        <f t="shared" si="32"/>
        <v>89856</v>
      </c>
    </row>
    <row r="259" spans="1:35" s="143" customFormat="1" ht="20.45" customHeight="1">
      <c r="A259" s="232"/>
      <c r="B259" s="233" t="s">
        <v>17</v>
      </c>
      <c r="C259" s="234">
        <v>1</v>
      </c>
      <c r="D259" s="235">
        <v>1</v>
      </c>
      <c r="E259" s="242">
        <v>2.5</v>
      </c>
      <c r="F259" s="237">
        <f>SUM(G259:H259)</f>
        <v>70200</v>
      </c>
      <c r="G259" s="237">
        <f>+E259*2340*12</f>
        <v>70200</v>
      </c>
      <c r="H259" s="238"/>
      <c r="I259" s="238"/>
      <c r="J259" s="238"/>
      <c r="K259" s="238">
        <f>+G259-I259-J259</f>
        <v>70200</v>
      </c>
    </row>
    <row r="260" spans="1:35" s="143" customFormat="1" ht="20.45" customHeight="1">
      <c r="A260" s="232"/>
      <c r="B260" s="239" t="s">
        <v>9</v>
      </c>
      <c r="C260" s="234"/>
      <c r="D260" s="235"/>
      <c r="E260" s="234">
        <v>20000</v>
      </c>
      <c r="F260" s="237">
        <f t="shared" si="31"/>
        <v>20000</v>
      </c>
      <c r="G260" s="237">
        <f>+E260</f>
        <v>20000</v>
      </c>
      <c r="H260" s="238"/>
      <c r="I260" s="238"/>
      <c r="J260" s="238"/>
      <c r="K260" s="238">
        <f t="shared" si="32"/>
        <v>20000</v>
      </c>
    </row>
    <row r="261" spans="1:35" s="231" customFormat="1" ht="20.45" customHeight="1">
      <c r="A261" s="224"/>
      <c r="B261" s="225" t="s">
        <v>253</v>
      </c>
      <c r="C261" s="226">
        <v>2</v>
      </c>
      <c r="D261" s="227">
        <v>2</v>
      </c>
      <c r="E261" s="228"/>
      <c r="F261" s="237">
        <f t="shared" si="31"/>
        <v>180056</v>
      </c>
      <c r="G261" s="229">
        <f>SUM(G262:G264)</f>
        <v>180056</v>
      </c>
      <c r="H261" s="229">
        <f>SUM(H262:H264)</f>
        <v>0</v>
      </c>
      <c r="I261" s="229">
        <f>SUM(I262:I264)</f>
        <v>0</v>
      </c>
      <c r="J261" s="229">
        <f>SUM(J262:J264)</f>
        <v>0</v>
      </c>
      <c r="K261" s="229">
        <f>SUM(K262:K264)</f>
        <v>180056</v>
      </c>
      <c r="AH261" s="254">
        <f>+G261+K189</f>
        <v>1545142.4</v>
      </c>
    </row>
    <row r="262" spans="1:35" s="143" customFormat="1" ht="20.45" customHeight="1">
      <c r="A262" s="232"/>
      <c r="B262" s="233" t="s">
        <v>249</v>
      </c>
      <c r="C262" s="234">
        <v>1</v>
      </c>
      <c r="D262" s="235">
        <v>1</v>
      </c>
      <c r="E262" s="242">
        <v>3.2</v>
      </c>
      <c r="F262" s="237">
        <f t="shared" si="31"/>
        <v>89856</v>
      </c>
      <c r="G262" s="237">
        <f>+E262*2340*12</f>
        <v>89856</v>
      </c>
      <c r="H262" s="238"/>
      <c r="I262" s="238"/>
      <c r="J262" s="238"/>
      <c r="K262" s="238">
        <f t="shared" si="32"/>
        <v>89856</v>
      </c>
    </row>
    <row r="263" spans="1:35" s="143" customFormat="1" ht="20.45" customHeight="1">
      <c r="A263" s="232"/>
      <c r="B263" s="233" t="s">
        <v>17</v>
      </c>
      <c r="C263" s="234">
        <v>1</v>
      </c>
      <c r="D263" s="235">
        <v>1</v>
      </c>
      <c r="E263" s="242">
        <v>2.5</v>
      </c>
      <c r="F263" s="237">
        <f t="shared" si="31"/>
        <v>70200</v>
      </c>
      <c r="G263" s="237">
        <f>+E263*2340*12</f>
        <v>70200</v>
      </c>
      <c r="H263" s="238"/>
      <c r="I263" s="238"/>
      <c r="J263" s="238"/>
      <c r="K263" s="238">
        <f t="shared" si="32"/>
        <v>70200</v>
      </c>
    </row>
    <row r="264" spans="1:35" s="143" customFormat="1" ht="20.45" customHeight="1">
      <c r="A264" s="232"/>
      <c r="B264" s="239" t="s">
        <v>9</v>
      </c>
      <c r="C264" s="234"/>
      <c r="D264" s="235"/>
      <c r="E264" s="234">
        <v>20000</v>
      </c>
      <c r="F264" s="237">
        <f t="shared" si="31"/>
        <v>20000</v>
      </c>
      <c r="G264" s="237">
        <f>+E264</f>
        <v>20000</v>
      </c>
      <c r="H264" s="238"/>
      <c r="I264" s="238"/>
      <c r="J264" s="238"/>
      <c r="K264" s="238">
        <f t="shared" si="32"/>
        <v>20000</v>
      </c>
    </row>
    <row r="265" spans="1:35" s="231" customFormat="1" ht="20.45" customHeight="1">
      <c r="A265" s="224"/>
      <c r="B265" s="225" t="s">
        <v>254</v>
      </c>
      <c r="C265" s="226"/>
      <c r="D265" s="227"/>
      <c r="E265" s="228"/>
      <c r="F265" s="237">
        <f t="shared" si="31"/>
        <v>20000</v>
      </c>
      <c r="G265" s="229">
        <f>G266</f>
        <v>20000</v>
      </c>
      <c r="H265" s="229">
        <f t="shared" ref="H265:AF265" si="33">H266</f>
        <v>0</v>
      </c>
      <c r="I265" s="229">
        <f t="shared" si="33"/>
        <v>0</v>
      </c>
      <c r="J265" s="229">
        <f t="shared" si="33"/>
        <v>0</v>
      </c>
      <c r="K265" s="229">
        <f t="shared" si="33"/>
        <v>20000</v>
      </c>
      <c r="L265" s="229">
        <f t="shared" si="33"/>
        <v>0</v>
      </c>
      <c r="M265" s="229">
        <f t="shared" si="33"/>
        <v>0</v>
      </c>
      <c r="N265" s="229">
        <f t="shared" si="33"/>
        <v>0</v>
      </c>
      <c r="O265" s="229">
        <f t="shared" si="33"/>
        <v>0</v>
      </c>
      <c r="P265" s="229">
        <f t="shared" si="33"/>
        <v>0</v>
      </c>
      <c r="Q265" s="229">
        <f t="shared" si="33"/>
        <v>0</v>
      </c>
      <c r="R265" s="229">
        <f t="shared" si="33"/>
        <v>0</v>
      </c>
      <c r="S265" s="229">
        <f t="shared" si="33"/>
        <v>0</v>
      </c>
      <c r="T265" s="229">
        <f t="shared" si="33"/>
        <v>0</v>
      </c>
      <c r="U265" s="229">
        <f t="shared" si="33"/>
        <v>0</v>
      </c>
      <c r="V265" s="229">
        <f t="shared" si="33"/>
        <v>0</v>
      </c>
      <c r="W265" s="229">
        <f t="shared" si="33"/>
        <v>0</v>
      </c>
      <c r="X265" s="229">
        <f t="shared" si="33"/>
        <v>0</v>
      </c>
      <c r="Y265" s="229">
        <f t="shared" si="33"/>
        <v>0</v>
      </c>
      <c r="Z265" s="229">
        <f t="shared" si="33"/>
        <v>0</v>
      </c>
      <c r="AA265" s="229">
        <f t="shared" si="33"/>
        <v>0</v>
      </c>
      <c r="AB265" s="229">
        <f t="shared" si="33"/>
        <v>0</v>
      </c>
      <c r="AC265" s="229">
        <f t="shared" si="33"/>
        <v>0</v>
      </c>
      <c r="AD265" s="229">
        <f t="shared" si="33"/>
        <v>0</v>
      </c>
      <c r="AE265" s="229">
        <f t="shared" si="33"/>
        <v>0</v>
      </c>
      <c r="AF265" s="229">
        <f t="shared" si="33"/>
        <v>0</v>
      </c>
      <c r="AG265" s="778"/>
    </row>
    <row r="266" spans="1:35" s="143" customFormat="1" ht="20.45" customHeight="1">
      <c r="A266" s="232"/>
      <c r="B266" s="239" t="s">
        <v>9</v>
      </c>
      <c r="C266" s="234">
        <v>1</v>
      </c>
      <c r="D266" s="235">
        <v>1</v>
      </c>
      <c r="E266" s="234">
        <v>20000</v>
      </c>
      <c r="F266" s="237">
        <f t="shared" si="31"/>
        <v>20000</v>
      </c>
      <c r="G266" s="237">
        <f>+E266</f>
        <v>20000</v>
      </c>
      <c r="H266" s="238"/>
      <c r="I266" s="238"/>
      <c r="J266" s="238"/>
      <c r="K266" s="238">
        <f t="shared" si="32"/>
        <v>20000</v>
      </c>
    </row>
    <row r="267" spans="1:35" s="143" customFormat="1" ht="20.45" customHeight="1">
      <c r="A267" s="224" t="s">
        <v>1298</v>
      </c>
      <c r="B267" s="239" t="s">
        <v>1427</v>
      </c>
      <c r="C267" s="234"/>
      <c r="D267" s="235"/>
      <c r="E267" s="234"/>
      <c r="F267" s="237"/>
      <c r="G267" s="229">
        <v>6150</v>
      </c>
      <c r="H267" s="238"/>
      <c r="I267" s="238"/>
      <c r="J267" s="238"/>
      <c r="K267" s="240">
        <f t="shared" si="32"/>
        <v>6150</v>
      </c>
    </row>
    <row r="268" spans="1:35" s="143" customFormat="1" ht="20.45" customHeight="1">
      <c r="A268" s="224" t="s">
        <v>1299</v>
      </c>
      <c r="B268" s="239" t="s">
        <v>1428</v>
      </c>
      <c r="C268" s="234"/>
      <c r="D268" s="235"/>
      <c r="E268" s="234"/>
      <c r="F268" s="237"/>
      <c r="G268" s="229">
        <v>8400</v>
      </c>
      <c r="H268" s="238"/>
      <c r="I268" s="238"/>
      <c r="J268" s="238"/>
      <c r="K268" s="240">
        <f t="shared" si="32"/>
        <v>8400</v>
      </c>
    </row>
    <row r="269" spans="1:35" s="143" customFormat="1" ht="20.45" customHeight="1">
      <c r="A269" s="224" t="s">
        <v>1300</v>
      </c>
      <c r="B269" s="239" t="s">
        <v>1429</v>
      </c>
      <c r="C269" s="234"/>
      <c r="D269" s="235"/>
      <c r="E269" s="234"/>
      <c r="F269" s="237"/>
      <c r="G269" s="229">
        <v>7350</v>
      </c>
      <c r="H269" s="238"/>
      <c r="I269" s="238"/>
      <c r="J269" s="238"/>
      <c r="K269" s="240">
        <f t="shared" si="32"/>
        <v>7350</v>
      </c>
    </row>
    <row r="270" spans="1:35" s="143" customFormat="1" ht="20.45" customHeight="1">
      <c r="A270" s="224" t="s">
        <v>1434</v>
      </c>
      <c r="B270" s="225" t="s">
        <v>1542</v>
      </c>
      <c r="C270" s="234"/>
      <c r="D270" s="235"/>
      <c r="E270" s="234"/>
      <c r="F270" s="237"/>
      <c r="G270" s="229">
        <v>20050</v>
      </c>
      <c r="H270" s="238"/>
      <c r="I270" s="238"/>
      <c r="J270" s="238"/>
      <c r="K270" s="240">
        <f t="shared" si="32"/>
        <v>20050</v>
      </c>
    </row>
    <row r="271" spans="1:35" s="231" customFormat="1" ht="20.45" customHeight="1">
      <c r="A271" s="224">
        <v>4</v>
      </c>
      <c r="B271" s="554" t="s">
        <v>513</v>
      </c>
      <c r="C271" s="555">
        <f>C273+C312</f>
        <v>942</v>
      </c>
      <c r="D271" s="555">
        <f>D273+D312</f>
        <v>869</v>
      </c>
      <c r="E271" s="555">
        <f>E273+E312</f>
        <v>0</v>
      </c>
      <c r="F271" s="229">
        <f t="shared" si="31"/>
        <v>313382899.80000001</v>
      </c>
      <c r="G271" s="229">
        <f>+G272+G312</f>
        <v>311216999.80000001</v>
      </c>
      <c r="H271" s="230">
        <f>+H272+H312</f>
        <v>2165900</v>
      </c>
      <c r="I271" s="230">
        <f>+I272+I312</f>
        <v>0</v>
      </c>
      <c r="J271" s="230">
        <f>+J272+J312</f>
        <v>0</v>
      </c>
      <c r="K271" s="240">
        <f>+G271-I271-J271</f>
        <v>311216999.80000001</v>
      </c>
      <c r="O271" s="249"/>
      <c r="P271" s="249"/>
      <c r="AH271" s="249">
        <f>302019000+9198000</f>
        <v>311217000</v>
      </c>
      <c r="AI271" s="254">
        <f>+AH271-G271</f>
        <v>0.19999998807907104</v>
      </c>
    </row>
    <row r="272" spans="1:35" s="231" customFormat="1" ht="20.45" customHeight="1">
      <c r="A272" s="224" t="s">
        <v>137</v>
      </c>
      <c r="B272" s="225" t="s">
        <v>514</v>
      </c>
      <c r="C272" s="555"/>
      <c r="D272" s="555"/>
      <c r="E272" s="555"/>
      <c r="F272" s="229">
        <f t="shared" ref="F272:K272" si="34">+F273+F308+F310</f>
        <v>300722663.29640001</v>
      </c>
      <c r="G272" s="229">
        <f t="shared" si="34"/>
        <v>307875763.29640001</v>
      </c>
      <c r="H272" s="230">
        <f t="shared" si="34"/>
        <v>2137900</v>
      </c>
      <c r="I272" s="230">
        <f t="shared" si="34"/>
        <v>0</v>
      </c>
      <c r="J272" s="230">
        <f t="shared" si="34"/>
        <v>0</v>
      </c>
      <c r="K272" s="230">
        <f t="shared" si="34"/>
        <v>307875763.29640001</v>
      </c>
      <c r="O272" s="254"/>
      <c r="P272" s="254"/>
      <c r="AH272" s="254">
        <f>+G273-G272</f>
        <v>-2719000</v>
      </c>
    </row>
    <row r="273" spans="1:34" s="231" customFormat="1" ht="20.45" customHeight="1">
      <c r="A273" s="224" t="s">
        <v>297</v>
      </c>
      <c r="B273" s="225" t="s">
        <v>298</v>
      </c>
      <c r="C273" s="256">
        <f>+C274+C282</f>
        <v>911</v>
      </c>
      <c r="D273" s="256">
        <f>+D274+D282</f>
        <v>857</v>
      </c>
      <c r="E273" s="228"/>
      <c r="F273" s="229">
        <f>+F274+F282+F287+F294+F300</f>
        <v>298003663.29640001</v>
      </c>
      <c r="G273" s="229">
        <f>+G274+G282+G287+G294+G300+G303</f>
        <v>305156763.29640001</v>
      </c>
      <c r="H273" s="229">
        <f t="shared" ref="H273:AF273" si="35">+H274+H282+H287+H294+H300+H303</f>
        <v>2137900</v>
      </c>
      <c r="I273" s="229">
        <f t="shared" si="35"/>
        <v>0</v>
      </c>
      <c r="J273" s="229">
        <f t="shared" si="35"/>
        <v>0</v>
      </c>
      <c r="K273" s="229">
        <f t="shared" si="35"/>
        <v>305156763.29640001</v>
      </c>
      <c r="L273" s="229">
        <f t="shared" si="35"/>
        <v>0</v>
      </c>
      <c r="M273" s="229">
        <f t="shared" si="35"/>
        <v>46954.718525000004</v>
      </c>
      <c r="N273" s="229">
        <f t="shared" si="35"/>
        <v>0</v>
      </c>
      <c r="O273" s="229">
        <f t="shared" si="35"/>
        <v>38585.014999999999</v>
      </c>
      <c r="P273" s="229">
        <f t="shared" si="35"/>
        <v>0</v>
      </c>
      <c r="Q273" s="229">
        <f t="shared" si="35"/>
        <v>0</v>
      </c>
      <c r="R273" s="229">
        <f t="shared" si="35"/>
        <v>0</v>
      </c>
      <c r="S273" s="229">
        <f t="shared" si="35"/>
        <v>0</v>
      </c>
      <c r="T273" s="229">
        <f t="shared" si="35"/>
        <v>0</v>
      </c>
      <c r="U273" s="229">
        <f t="shared" si="35"/>
        <v>0</v>
      </c>
      <c r="V273" s="229">
        <f t="shared" si="35"/>
        <v>0</v>
      </c>
      <c r="W273" s="229">
        <f t="shared" si="35"/>
        <v>0</v>
      </c>
      <c r="X273" s="229">
        <f t="shared" si="35"/>
        <v>0</v>
      </c>
      <c r="Y273" s="229">
        <f t="shared" si="35"/>
        <v>0</v>
      </c>
      <c r="Z273" s="229">
        <f t="shared" si="35"/>
        <v>0</v>
      </c>
      <c r="AA273" s="229">
        <f t="shared" si="35"/>
        <v>0</v>
      </c>
      <c r="AB273" s="229">
        <f t="shared" si="35"/>
        <v>0</v>
      </c>
      <c r="AC273" s="229">
        <f t="shared" si="35"/>
        <v>0</v>
      </c>
      <c r="AD273" s="229">
        <f t="shared" si="35"/>
        <v>0</v>
      </c>
      <c r="AE273" s="229">
        <f t="shared" si="35"/>
        <v>0</v>
      </c>
      <c r="AF273" s="229">
        <f t="shared" si="35"/>
        <v>0</v>
      </c>
      <c r="AG273" s="778"/>
    </row>
    <row r="274" spans="1:34" s="231" customFormat="1" ht="20.45" customHeight="1">
      <c r="A274" s="224"/>
      <c r="B274" s="225" t="s">
        <v>353</v>
      </c>
      <c r="C274" s="226">
        <v>900</v>
      </c>
      <c r="D274" s="226">
        <v>847</v>
      </c>
      <c r="E274" s="228"/>
      <c r="F274" s="229">
        <f t="shared" si="31"/>
        <v>251655245.29640001</v>
      </c>
      <c r="G274" s="229">
        <f>+G275+G276+G281</f>
        <v>249525045.29640001</v>
      </c>
      <c r="H274" s="229">
        <f>+H275+H276+H281</f>
        <v>2130200</v>
      </c>
      <c r="I274" s="229">
        <f>+I275+I276+I281</f>
        <v>0</v>
      </c>
      <c r="J274" s="229">
        <f>+J275+J276+J281</f>
        <v>0</v>
      </c>
      <c r="K274" s="229">
        <f>+K275+K276+K281</f>
        <v>249525045.29640001</v>
      </c>
      <c r="O274" s="231">
        <f>SUM(O275:O276)</f>
        <v>565</v>
      </c>
      <c r="AH274" s="254">
        <f>+C274</f>
        <v>900</v>
      </c>
    </row>
    <row r="275" spans="1:34" s="143" customFormat="1" ht="20.45" customHeight="1">
      <c r="A275" s="232"/>
      <c r="B275" s="233" t="s">
        <v>133</v>
      </c>
      <c r="C275" s="234"/>
      <c r="D275" s="234"/>
      <c r="E275" s="242"/>
      <c r="F275" s="237">
        <f t="shared" si="31"/>
        <v>147875645.29640001</v>
      </c>
      <c r="G275" s="237">
        <f>147861882.2964+4+13759</f>
        <v>147875645.29640001</v>
      </c>
      <c r="H275" s="556"/>
      <c r="I275" s="556"/>
      <c r="J275" s="557"/>
      <c r="K275" s="238">
        <f>+G275-I275-J275</f>
        <v>147875645.29640001</v>
      </c>
      <c r="O275" s="143">
        <v>293</v>
      </c>
      <c r="AH275" s="558">
        <f>+G275+G281</f>
        <v>230353245.29640001</v>
      </c>
    </row>
    <row r="276" spans="1:34" s="143" customFormat="1" ht="20.45" customHeight="1">
      <c r="A276" s="232"/>
      <c r="B276" s="239" t="s">
        <v>5</v>
      </c>
      <c r="C276" s="234"/>
      <c r="D276" s="559"/>
      <c r="E276" s="234"/>
      <c r="F276" s="237">
        <f>SUM(G276:H276)</f>
        <v>21302000</v>
      </c>
      <c r="G276" s="237">
        <f>SUM(G277:G280)</f>
        <v>19171800</v>
      </c>
      <c r="H276" s="425">
        <f>SUM(H277:H280)</f>
        <v>2130200</v>
      </c>
      <c r="I276" s="425"/>
      <c r="J276" s="425"/>
      <c r="K276" s="238">
        <f>+G276-I276-J276</f>
        <v>19171800</v>
      </c>
      <c r="O276" s="143">
        <v>272</v>
      </c>
      <c r="X276" s="560">
        <f>SUM(X277:X279)</f>
        <v>0</v>
      </c>
    </row>
    <row r="277" spans="1:34" s="143" customFormat="1" ht="20.45" customHeight="1">
      <c r="A277" s="232"/>
      <c r="B277" s="561" t="s">
        <v>863</v>
      </c>
      <c r="C277" s="562">
        <v>298</v>
      </c>
      <c r="D277" s="559"/>
      <c r="E277" s="562">
        <v>23000</v>
      </c>
      <c r="F277" s="237">
        <f>SUM(G277:H277)</f>
        <v>6854000</v>
      </c>
      <c r="G277" s="237">
        <f>+(C277*E277*90%)</f>
        <v>6168600</v>
      </c>
      <c r="H277" s="238">
        <f>+C277*E277*10%</f>
        <v>685400</v>
      </c>
      <c r="I277" s="556"/>
      <c r="J277" s="238"/>
      <c r="K277" s="238">
        <f t="shared" ref="K277:K349" si="36">+G277-I277-J277</f>
        <v>6168600</v>
      </c>
      <c r="O277" s="562"/>
      <c r="P277" s="562"/>
      <c r="Q277" s="563"/>
      <c r="R277" s="562"/>
      <c r="S277" s="564">
        <f>SUM(T277:U277)</f>
        <v>0</v>
      </c>
      <c r="T277" s="564">
        <f>+(O277*R277*90%)-V277</f>
        <v>0</v>
      </c>
      <c r="U277" s="565"/>
      <c r="V277" s="566"/>
      <c r="W277" s="565"/>
      <c r="X277" s="565"/>
    </row>
    <row r="278" spans="1:34" s="143" customFormat="1" ht="20.45" customHeight="1">
      <c r="A278" s="232"/>
      <c r="B278" s="561" t="s">
        <v>864</v>
      </c>
      <c r="C278" s="562">
        <v>294</v>
      </c>
      <c r="D278" s="559"/>
      <c r="E278" s="562">
        <v>24000</v>
      </c>
      <c r="F278" s="237">
        <f t="shared" ref="F278:F356" si="37">SUM(G278:H278)</f>
        <v>7056000</v>
      </c>
      <c r="G278" s="237">
        <f>+(C278*E278*90%)</f>
        <v>6350400</v>
      </c>
      <c r="H278" s="238">
        <f>+C278*E278*10%</f>
        <v>705600</v>
      </c>
      <c r="I278" s="556"/>
      <c r="J278" s="238"/>
      <c r="K278" s="238">
        <f t="shared" si="36"/>
        <v>6350400</v>
      </c>
      <c r="O278" s="562"/>
      <c r="P278" s="562"/>
      <c r="Q278" s="563"/>
      <c r="R278" s="562"/>
      <c r="S278" s="564">
        <f>SUM(T278:U278)</f>
        <v>0</v>
      </c>
      <c r="T278" s="564">
        <f>+(O278*R278*90%)-V278</f>
        <v>0</v>
      </c>
      <c r="U278" s="565"/>
      <c r="V278" s="566"/>
      <c r="W278" s="565"/>
      <c r="X278" s="565"/>
    </row>
    <row r="279" spans="1:34" s="143" customFormat="1" ht="20.45" customHeight="1">
      <c r="A279" s="232"/>
      <c r="B279" s="567" t="s">
        <v>865</v>
      </c>
      <c r="C279" s="562">
        <f>308-C280</f>
        <v>278</v>
      </c>
      <c r="D279" s="559"/>
      <c r="E279" s="562">
        <v>24000</v>
      </c>
      <c r="F279" s="237">
        <f t="shared" si="37"/>
        <v>6672000</v>
      </c>
      <c r="G279" s="237">
        <f>+(C279*E279*90%)</f>
        <v>6004800</v>
      </c>
      <c r="H279" s="238">
        <f>+C279*E279*10%</f>
        <v>667200</v>
      </c>
      <c r="I279" s="556"/>
      <c r="J279" s="238"/>
      <c r="K279" s="238">
        <f>+G279-I279-J279</f>
        <v>6004800</v>
      </c>
      <c r="O279" s="562"/>
      <c r="P279" s="562"/>
      <c r="Q279" s="563"/>
      <c r="R279" s="562"/>
      <c r="S279" s="564">
        <f>SUM(T279:U279)</f>
        <v>0</v>
      </c>
      <c r="T279" s="564">
        <f>+(O279*R279*90%)-V279</f>
        <v>0</v>
      </c>
      <c r="U279" s="565"/>
      <c r="V279" s="566"/>
      <c r="W279" s="565"/>
      <c r="X279" s="565"/>
    </row>
    <row r="280" spans="1:34" s="143" customFormat="1" ht="20.45" customHeight="1">
      <c r="A280" s="232"/>
      <c r="B280" s="561" t="s">
        <v>867</v>
      </c>
      <c r="C280" s="562">
        <v>30</v>
      </c>
      <c r="D280" s="559"/>
      <c r="E280" s="562">
        <v>24000</v>
      </c>
      <c r="F280" s="237">
        <f t="shared" si="37"/>
        <v>720000</v>
      </c>
      <c r="G280" s="237">
        <f>+(C280*E280*90%)</f>
        <v>648000</v>
      </c>
      <c r="H280" s="238">
        <f>+C280*E280*10%</f>
        <v>72000</v>
      </c>
      <c r="I280" s="556"/>
      <c r="J280" s="238"/>
      <c r="K280" s="238">
        <f>+G280-I280-J280</f>
        <v>648000</v>
      </c>
      <c r="O280" s="562" t="s">
        <v>653</v>
      </c>
      <c r="P280" s="562" t="s">
        <v>769</v>
      </c>
      <c r="Q280" s="563"/>
      <c r="R280" s="562"/>
      <c r="S280" s="564" t="e">
        <f>SUM(T280:U280)</f>
        <v>#VALUE!</v>
      </c>
      <c r="T280" s="564" t="e">
        <f>+(O280*R280*90%)-V280</f>
        <v>#VALUE!</v>
      </c>
      <c r="U280" s="565"/>
      <c r="V280" s="566"/>
      <c r="W280" s="565"/>
      <c r="X280" s="565"/>
    </row>
    <row r="281" spans="1:34" s="143" customFormat="1" ht="20.45" customHeight="1">
      <c r="A281" s="232"/>
      <c r="B281" s="233" t="s">
        <v>1305</v>
      </c>
      <c r="C281" s="562"/>
      <c r="D281" s="559"/>
      <c r="E281" s="562"/>
      <c r="F281" s="237"/>
      <c r="G281" s="237">
        <v>82477600</v>
      </c>
      <c r="H281" s="238"/>
      <c r="I281" s="556"/>
      <c r="J281" s="238"/>
      <c r="K281" s="238">
        <f>+G281</f>
        <v>82477600</v>
      </c>
      <c r="O281" s="568"/>
      <c r="P281" s="568"/>
      <c r="Q281" s="569"/>
      <c r="R281" s="568"/>
      <c r="S281" s="570"/>
      <c r="T281" s="570"/>
      <c r="U281" s="571"/>
      <c r="V281" s="572"/>
      <c r="W281" s="571"/>
      <c r="X281" s="571"/>
    </row>
    <row r="282" spans="1:34" s="231" customFormat="1" ht="20.45" customHeight="1">
      <c r="A282" s="224"/>
      <c r="B282" s="225" t="s">
        <v>836</v>
      </c>
      <c r="C282" s="226">
        <f>+C283</f>
        <v>11</v>
      </c>
      <c r="D282" s="226">
        <f>+D283</f>
        <v>10</v>
      </c>
      <c r="E282" s="228"/>
      <c r="F282" s="229">
        <f t="shared" si="37"/>
        <v>803018</v>
      </c>
      <c r="G282" s="229">
        <f>SUM(G283:G285)</f>
        <v>795318</v>
      </c>
      <c r="H282" s="230">
        <f>SUM(H283:H285)</f>
        <v>7700</v>
      </c>
      <c r="I282" s="230"/>
      <c r="J282" s="230">
        <f>SUM(J283:J285)</f>
        <v>0</v>
      </c>
      <c r="K282" s="240">
        <f t="shared" si="36"/>
        <v>795318</v>
      </c>
      <c r="M282" s="254">
        <f>SUM(M283:M285)</f>
        <v>46954.718525000004</v>
      </c>
      <c r="N282" s="254"/>
      <c r="O282" s="254">
        <f>SUM(O283:O285)</f>
        <v>38020.014999999999</v>
      </c>
      <c r="P282" s="254"/>
      <c r="AH282" s="231">
        <f>159-111</f>
        <v>48</v>
      </c>
    </row>
    <row r="283" spans="1:34" s="143" customFormat="1" ht="20.45" customHeight="1">
      <c r="A283" s="232"/>
      <c r="B283" s="233" t="s">
        <v>637</v>
      </c>
      <c r="C283" s="234">
        <v>11</v>
      </c>
      <c r="D283" s="234">
        <v>10</v>
      </c>
      <c r="E283" s="234">
        <f>57775+(3895*0.7)</f>
        <v>60501.5</v>
      </c>
      <c r="F283" s="237">
        <f t="shared" si="37"/>
        <v>726018</v>
      </c>
      <c r="G283" s="237">
        <f>+E283*12</f>
        <v>726018</v>
      </c>
      <c r="H283" s="556"/>
      <c r="I283" s="556"/>
      <c r="J283" s="556"/>
      <c r="K283" s="238">
        <f t="shared" si="36"/>
        <v>726018</v>
      </c>
      <c r="M283" s="558">
        <f>+O283+P283</f>
        <v>6803.1197650000004</v>
      </c>
      <c r="N283" s="558"/>
      <c r="O283" s="558">
        <v>5508.5990000000002</v>
      </c>
      <c r="P283" s="558">
        <f>+O283*0.235</f>
        <v>1294.520765</v>
      </c>
      <c r="Q283" s="452" t="s">
        <v>28</v>
      </c>
      <c r="R283" s="231"/>
    </row>
    <row r="284" spans="1:34" s="143" customFormat="1" ht="20.45" customHeight="1">
      <c r="A284" s="232"/>
      <c r="B284" s="239" t="s">
        <v>5</v>
      </c>
      <c r="C284" s="234"/>
      <c r="D284" s="559"/>
      <c r="E284" s="234">
        <v>7000</v>
      </c>
      <c r="F284" s="237">
        <f t="shared" si="37"/>
        <v>77000</v>
      </c>
      <c r="G284" s="237">
        <f>+C283*E284*0.9</f>
        <v>69300</v>
      </c>
      <c r="H284" s="238">
        <f>+E284*C282*0.1</f>
        <v>7700</v>
      </c>
      <c r="I284" s="556"/>
      <c r="J284" s="556"/>
      <c r="K284" s="238">
        <f t="shared" si="36"/>
        <v>69300</v>
      </c>
      <c r="M284" s="558">
        <f>+O284+P284</f>
        <v>4810.0780000000004</v>
      </c>
      <c r="N284" s="558"/>
      <c r="O284" s="255">
        <v>3894.8</v>
      </c>
      <c r="P284" s="558">
        <f>+O284*0.235</f>
        <v>915.27800000000002</v>
      </c>
      <c r="Q284" s="452" t="s">
        <v>29</v>
      </c>
    </row>
    <row r="285" spans="1:34" s="143" customFormat="1" ht="20.45" customHeight="1">
      <c r="A285" s="232"/>
      <c r="B285" s="233" t="s">
        <v>14</v>
      </c>
      <c r="C285" s="234"/>
      <c r="D285" s="559"/>
      <c r="E285" s="241"/>
      <c r="F285" s="237">
        <f t="shared" si="37"/>
        <v>0</v>
      </c>
      <c r="G285" s="237"/>
      <c r="H285" s="238"/>
      <c r="I285" s="556"/>
      <c r="J285" s="556"/>
      <c r="K285" s="238">
        <f t="shared" si="36"/>
        <v>0</v>
      </c>
      <c r="M285" s="558">
        <f>+O285+P285</f>
        <v>35341.520759999999</v>
      </c>
      <c r="N285" s="558"/>
      <c r="O285" s="255">
        <v>28616.616000000002</v>
      </c>
      <c r="P285" s="558">
        <f>+O285*0.235</f>
        <v>6724.9047600000004</v>
      </c>
      <c r="Q285" s="987" t="s">
        <v>768</v>
      </c>
    </row>
    <row r="286" spans="1:34" s="143" customFormat="1" ht="38.25" customHeight="1">
      <c r="A286" s="232"/>
      <c r="B286" s="251" t="s">
        <v>1173</v>
      </c>
      <c r="C286" s="234"/>
      <c r="D286" s="559"/>
      <c r="E286" s="241"/>
      <c r="F286" s="237"/>
      <c r="G286" s="237">
        <f>7913000-G317-G323</f>
        <v>7800600</v>
      </c>
      <c r="H286" s="238"/>
      <c r="I286" s="556"/>
      <c r="J286" s="556"/>
      <c r="K286" s="238">
        <f>+G286</f>
        <v>7800600</v>
      </c>
      <c r="M286" s="558"/>
      <c r="N286" s="558"/>
      <c r="O286" s="255"/>
      <c r="P286" s="558"/>
      <c r="Q286" s="987"/>
    </row>
    <row r="287" spans="1:34" s="231" customFormat="1" ht="20.45" customHeight="1">
      <c r="A287" s="224"/>
      <c r="B287" s="225" t="s">
        <v>310</v>
      </c>
      <c r="C287" s="226"/>
      <c r="D287" s="573"/>
      <c r="E287" s="574"/>
      <c r="F287" s="229">
        <f t="shared" si="37"/>
        <v>34949000</v>
      </c>
      <c r="G287" s="229">
        <f>SUM(G288:G293)</f>
        <v>34949000</v>
      </c>
      <c r="H287" s="230">
        <f>SUM(H288:H292)</f>
        <v>0</v>
      </c>
      <c r="I287" s="230"/>
      <c r="J287" s="230">
        <f>SUM(J288:J292)</f>
        <v>0</v>
      </c>
      <c r="K287" s="240">
        <f t="shared" si="36"/>
        <v>34949000</v>
      </c>
      <c r="O287" s="255"/>
      <c r="P287" s="255"/>
      <c r="Q287" s="987"/>
      <c r="R287" s="143"/>
    </row>
    <row r="288" spans="1:34" s="143" customFormat="1" ht="36" customHeight="1">
      <c r="A288" s="232"/>
      <c r="B288" s="283" t="s">
        <v>422</v>
      </c>
      <c r="C288" s="234"/>
      <c r="D288" s="559"/>
      <c r="E288" s="575"/>
      <c r="F288" s="237">
        <f t="shared" si="37"/>
        <v>10091000</v>
      </c>
      <c r="G288" s="237">
        <v>10091000</v>
      </c>
      <c r="H288" s="556"/>
      <c r="I288" s="556"/>
      <c r="J288" s="556"/>
      <c r="K288" s="238">
        <f t="shared" si="36"/>
        <v>10091000</v>
      </c>
      <c r="O288" s="255"/>
      <c r="P288" s="255"/>
      <c r="Q288" s="987"/>
      <c r="R288" s="231"/>
    </row>
    <row r="289" spans="1:35" s="143" customFormat="1" ht="39" customHeight="1">
      <c r="A289" s="232"/>
      <c r="B289" s="576" t="s">
        <v>12</v>
      </c>
      <c r="C289" s="234"/>
      <c r="D289" s="559"/>
      <c r="E289" s="575"/>
      <c r="F289" s="237">
        <f t="shared" si="37"/>
        <v>16655000</v>
      </c>
      <c r="G289" s="237">
        <v>16655000</v>
      </c>
      <c r="H289" s="556"/>
      <c r="I289" s="556"/>
      <c r="J289" s="556"/>
      <c r="K289" s="238">
        <f t="shared" si="36"/>
        <v>16655000</v>
      </c>
      <c r="O289" s="255"/>
      <c r="P289" s="255"/>
      <c r="Q289" s="987"/>
    </row>
    <row r="290" spans="1:35" s="143" customFormat="1" ht="36" customHeight="1">
      <c r="A290" s="232"/>
      <c r="B290" s="576" t="s">
        <v>444</v>
      </c>
      <c r="C290" s="234"/>
      <c r="D290" s="559"/>
      <c r="E290" s="575"/>
      <c r="F290" s="237">
        <f t="shared" si="37"/>
        <v>3587000</v>
      </c>
      <c r="G290" s="237">
        <v>3587000</v>
      </c>
      <c r="H290" s="556"/>
      <c r="I290" s="556"/>
      <c r="J290" s="556"/>
      <c r="K290" s="238">
        <f t="shared" si="36"/>
        <v>3587000</v>
      </c>
      <c r="O290" s="249"/>
      <c r="P290" s="249"/>
      <c r="Q290" s="987"/>
    </row>
    <row r="291" spans="1:35" s="143" customFormat="1" ht="36" customHeight="1">
      <c r="A291" s="232"/>
      <c r="B291" s="576" t="s">
        <v>40</v>
      </c>
      <c r="C291" s="234"/>
      <c r="D291" s="559"/>
      <c r="E291" s="575"/>
      <c r="F291" s="237">
        <f t="shared" si="37"/>
        <v>2993000</v>
      </c>
      <c r="G291" s="237">
        <v>2993000</v>
      </c>
      <c r="H291" s="556"/>
      <c r="I291" s="556"/>
      <c r="J291" s="556"/>
      <c r="K291" s="238">
        <f>+G291-I291-J291</f>
        <v>2993000</v>
      </c>
    </row>
    <row r="292" spans="1:35" s="143" customFormat="1" ht="22.35" customHeight="1">
      <c r="A292" s="232"/>
      <c r="B292" s="283" t="s">
        <v>13</v>
      </c>
      <c r="C292" s="234"/>
      <c r="D292" s="559"/>
      <c r="E292" s="575"/>
      <c r="F292" s="237">
        <f t="shared" si="37"/>
        <v>183000</v>
      </c>
      <c r="G292" s="237">
        <v>183000</v>
      </c>
      <c r="H292" s="556"/>
      <c r="I292" s="556"/>
      <c r="J292" s="556"/>
      <c r="K292" s="238">
        <f t="shared" si="36"/>
        <v>183000</v>
      </c>
    </row>
    <row r="293" spans="1:35" s="143" customFormat="1" ht="36" customHeight="1">
      <c r="A293" s="232"/>
      <c r="B293" s="283" t="s">
        <v>1288</v>
      </c>
      <c r="C293" s="234"/>
      <c r="D293" s="559"/>
      <c r="E293" s="575"/>
      <c r="F293" s="237">
        <f t="shared" si="37"/>
        <v>1440000</v>
      </c>
      <c r="G293" s="577">
        <v>1440000</v>
      </c>
      <c r="H293" s="556"/>
      <c r="I293" s="556"/>
      <c r="J293" s="556"/>
      <c r="K293" s="238">
        <f t="shared" si="36"/>
        <v>1440000</v>
      </c>
    </row>
    <row r="294" spans="1:35" s="231" customFormat="1" ht="23.25" customHeight="1">
      <c r="A294" s="224"/>
      <c r="B294" s="434" t="s">
        <v>866</v>
      </c>
      <c r="C294" s="226"/>
      <c r="D294" s="573"/>
      <c r="E294" s="574"/>
      <c r="F294" s="229">
        <f t="shared" si="37"/>
        <v>7610000</v>
      </c>
      <c r="G294" s="229">
        <f>SUM(G295:G299)</f>
        <v>7610000</v>
      </c>
      <c r="H294" s="229">
        <f t="shared" ref="H294:AF294" si="38">SUM(H295:H299)</f>
        <v>0</v>
      </c>
      <c r="I294" s="229">
        <f t="shared" si="38"/>
        <v>0</v>
      </c>
      <c r="J294" s="229">
        <f t="shared" si="38"/>
        <v>0</v>
      </c>
      <c r="K294" s="229">
        <f t="shared" si="38"/>
        <v>7610000</v>
      </c>
      <c r="L294" s="229">
        <f t="shared" si="38"/>
        <v>0</v>
      </c>
      <c r="M294" s="229">
        <f t="shared" si="38"/>
        <v>0</v>
      </c>
      <c r="N294" s="229">
        <f t="shared" si="38"/>
        <v>0</v>
      </c>
      <c r="O294" s="229">
        <f t="shared" si="38"/>
        <v>0</v>
      </c>
      <c r="P294" s="229">
        <f t="shared" si="38"/>
        <v>0</v>
      </c>
      <c r="Q294" s="229">
        <f t="shared" si="38"/>
        <v>0</v>
      </c>
      <c r="R294" s="229">
        <f t="shared" si="38"/>
        <v>0</v>
      </c>
      <c r="S294" s="229">
        <f t="shared" si="38"/>
        <v>0</v>
      </c>
      <c r="T294" s="229">
        <f t="shared" si="38"/>
        <v>0</v>
      </c>
      <c r="U294" s="229">
        <f t="shared" si="38"/>
        <v>0</v>
      </c>
      <c r="V294" s="229">
        <f t="shared" si="38"/>
        <v>0</v>
      </c>
      <c r="W294" s="229">
        <f t="shared" si="38"/>
        <v>0</v>
      </c>
      <c r="X294" s="229">
        <f t="shared" si="38"/>
        <v>0</v>
      </c>
      <c r="Y294" s="229">
        <f t="shared" si="38"/>
        <v>0</v>
      </c>
      <c r="Z294" s="229">
        <f t="shared" si="38"/>
        <v>0</v>
      </c>
      <c r="AA294" s="229">
        <f t="shared" si="38"/>
        <v>0</v>
      </c>
      <c r="AB294" s="229">
        <f t="shared" si="38"/>
        <v>0</v>
      </c>
      <c r="AC294" s="229">
        <f t="shared" si="38"/>
        <v>0</v>
      </c>
      <c r="AD294" s="229">
        <f t="shared" si="38"/>
        <v>0</v>
      </c>
      <c r="AE294" s="229">
        <f t="shared" si="38"/>
        <v>0</v>
      </c>
      <c r="AF294" s="229">
        <f t="shared" si="38"/>
        <v>0</v>
      </c>
      <c r="AG294" s="778"/>
    </row>
    <row r="295" spans="1:35" s="143" customFormat="1" ht="36" customHeight="1">
      <c r="A295" s="232"/>
      <c r="B295" s="283" t="s">
        <v>309</v>
      </c>
      <c r="C295" s="234"/>
      <c r="D295" s="559"/>
      <c r="E295" s="575"/>
      <c r="F295" s="237">
        <f t="shared" si="37"/>
        <v>6290000</v>
      </c>
      <c r="G295" s="237">
        <v>6290000</v>
      </c>
      <c r="H295" s="556"/>
      <c r="I295" s="556"/>
      <c r="J295" s="556"/>
      <c r="K295" s="238">
        <f t="shared" si="36"/>
        <v>6290000</v>
      </c>
    </row>
    <row r="296" spans="1:35" s="143" customFormat="1" ht="36" customHeight="1">
      <c r="A296" s="232"/>
      <c r="B296" s="561" t="s">
        <v>311</v>
      </c>
      <c r="C296" s="234"/>
      <c r="D296" s="559"/>
      <c r="E296" s="575"/>
      <c r="F296" s="237">
        <f t="shared" si="37"/>
        <v>1169000</v>
      </c>
      <c r="G296" s="237">
        <v>1169000</v>
      </c>
      <c r="H296" s="556"/>
      <c r="I296" s="556"/>
      <c r="J296" s="556"/>
      <c r="K296" s="238">
        <f t="shared" si="36"/>
        <v>1169000</v>
      </c>
    </row>
    <row r="297" spans="1:35" s="143" customFormat="1" ht="23.25" customHeight="1">
      <c r="A297" s="232"/>
      <c r="B297" s="561" t="s">
        <v>546</v>
      </c>
      <c r="C297" s="234"/>
      <c r="D297" s="559"/>
      <c r="E297" s="575"/>
      <c r="F297" s="237">
        <f t="shared" si="37"/>
        <v>42000</v>
      </c>
      <c r="G297" s="237">
        <v>42000</v>
      </c>
      <c r="H297" s="556"/>
      <c r="I297" s="556"/>
      <c r="J297" s="556"/>
      <c r="K297" s="238">
        <f t="shared" si="36"/>
        <v>42000</v>
      </c>
    </row>
    <row r="298" spans="1:35" s="143" customFormat="1" ht="21.6" customHeight="1">
      <c r="A298" s="232"/>
      <c r="B298" s="561" t="s">
        <v>312</v>
      </c>
      <c r="C298" s="234"/>
      <c r="D298" s="559"/>
      <c r="E298" s="575"/>
      <c r="F298" s="237">
        <f t="shared" si="37"/>
        <v>100000</v>
      </c>
      <c r="G298" s="237">
        <v>100000</v>
      </c>
      <c r="H298" s="556"/>
      <c r="I298" s="556"/>
      <c r="J298" s="556"/>
      <c r="K298" s="238">
        <f t="shared" si="36"/>
        <v>100000</v>
      </c>
    </row>
    <row r="299" spans="1:35" s="143" customFormat="1" ht="21.6" customHeight="1">
      <c r="A299" s="232"/>
      <c r="B299" s="561" t="s">
        <v>1370</v>
      </c>
      <c r="C299" s="234"/>
      <c r="D299" s="559"/>
      <c r="E299" s="575"/>
      <c r="F299" s="237">
        <f t="shared" si="37"/>
        <v>9000</v>
      </c>
      <c r="G299" s="237">
        <v>9000</v>
      </c>
      <c r="H299" s="556"/>
      <c r="I299" s="556"/>
      <c r="J299" s="556"/>
      <c r="K299" s="238">
        <f t="shared" si="36"/>
        <v>9000</v>
      </c>
    </row>
    <row r="300" spans="1:35" s="231" customFormat="1" ht="24" customHeight="1">
      <c r="A300" s="224"/>
      <c r="B300" s="250" t="s">
        <v>313</v>
      </c>
      <c r="C300" s="226"/>
      <c r="D300" s="573"/>
      <c r="E300" s="574"/>
      <c r="F300" s="229">
        <f t="shared" si="37"/>
        <v>2986400</v>
      </c>
      <c r="G300" s="229">
        <f>SUM(G301:G302)</f>
        <v>2986400</v>
      </c>
      <c r="H300" s="230">
        <f>SUM(H301:H302)</f>
        <v>0</v>
      </c>
      <c r="I300" s="230"/>
      <c r="J300" s="230">
        <f>SUM(J301:J302)</f>
        <v>0</v>
      </c>
      <c r="K300" s="240">
        <f t="shared" si="36"/>
        <v>2986400</v>
      </c>
    </row>
    <row r="301" spans="1:35" s="143" customFormat="1" ht="36" customHeight="1">
      <c r="A301" s="232"/>
      <c r="B301" s="561" t="s">
        <v>314</v>
      </c>
      <c r="C301" s="234"/>
      <c r="D301" s="559"/>
      <c r="E301" s="575"/>
      <c r="F301" s="237">
        <f t="shared" si="37"/>
        <v>1300000</v>
      </c>
      <c r="G301" s="237">
        <v>1300000</v>
      </c>
      <c r="H301" s="556"/>
      <c r="I301" s="556"/>
      <c r="J301" s="556"/>
      <c r="K301" s="238">
        <f t="shared" si="36"/>
        <v>1300000</v>
      </c>
      <c r="AI301" s="143">
        <v>323</v>
      </c>
    </row>
    <row r="302" spans="1:35" s="143" customFormat="1" ht="38.1" customHeight="1">
      <c r="A302" s="232"/>
      <c r="B302" s="561" t="s">
        <v>354</v>
      </c>
      <c r="C302" s="234">
        <v>8432</v>
      </c>
      <c r="D302" s="559"/>
      <c r="E302" s="578">
        <v>200</v>
      </c>
      <c r="F302" s="237">
        <f t="shared" si="37"/>
        <v>1686400</v>
      </c>
      <c r="G302" s="237">
        <f>+C302*E302</f>
        <v>1686400</v>
      </c>
      <c r="H302" s="556"/>
      <c r="I302" s="556"/>
      <c r="J302" s="556"/>
      <c r="K302" s="238">
        <f t="shared" si="36"/>
        <v>1686400</v>
      </c>
    </row>
    <row r="303" spans="1:35" s="143" customFormat="1" ht="18.75" customHeight="1">
      <c r="A303" s="232"/>
      <c r="B303" s="250" t="s">
        <v>745</v>
      </c>
      <c r="C303" s="234"/>
      <c r="D303" s="559"/>
      <c r="E303" s="575"/>
      <c r="F303" s="237">
        <f t="shared" si="37"/>
        <v>9291000</v>
      </c>
      <c r="G303" s="229">
        <f>SUM(G304:G307)</f>
        <v>9291000</v>
      </c>
      <c r="H303" s="229">
        <f>SUM(H304:H307)</f>
        <v>0</v>
      </c>
      <c r="I303" s="229">
        <f>SUM(I304:I307)</f>
        <v>0</v>
      </c>
      <c r="J303" s="229">
        <f>SUM(J304:J307)</f>
        <v>0</v>
      </c>
      <c r="K303" s="229">
        <f>SUM(K304:K307)</f>
        <v>9291000</v>
      </c>
      <c r="L303" s="579">
        <f>SUM(L304:L306)</f>
        <v>0</v>
      </c>
      <c r="M303" s="580"/>
      <c r="N303" s="580"/>
    </row>
    <row r="304" spans="1:35" s="143" customFormat="1" ht="35.450000000000003" customHeight="1">
      <c r="A304" s="232"/>
      <c r="B304" s="393" t="s">
        <v>742</v>
      </c>
      <c r="C304" s="234"/>
      <c r="D304" s="235"/>
      <c r="E304" s="234"/>
      <c r="F304" s="237"/>
      <c r="G304" s="237">
        <v>148000</v>
      </c>
      <c r="H304" s="238"/>
      <c r="I304" s="238"/>
      <c r="J304" s="238"/>
      <c r="K304" s="238">
        <f>+G304</f>
        <v>148000</v>
      </c>
      <c r="O304" s="1195"/>
      <c r="P304" s="986"/>
      <c r="AI304" s="560"/>
    </row>
    <row r="305" spans="1:35" s="143" customFormat="1" ht="35.450000000000003" customHeight="1">
      <c r="A305" s="232"/>
      <c r="B305" s="393" t="s">
        <v>743</v>
      </c>
      <c r="C305" s="234"/>
      <c r="D305" s="235"/>
      <c r="E305" s="234"/>
      <c r="F305" s="237"/>
      <c r="G305" s="237">
        <v>250000</v>
      </c>
      <c r="H305" s="238"/>
      <c r="I305" s="238"/>
      <c r="J305" s="238"/>
      <c r="K305" s="238">
        <f>+G305</f>
        <v>250000</v>
      </c>
      <c r="O305" s="1195"/>
      <c r="P305" s="986"/>
    </row>
    <row r="306" spans="1:35" s="143" customFormat="1" ht="21" customHeight="1">
      <c r="A306" s="232"/>
      <c r="B306" s="393" t="s">
        <v>744</v>
      </c>
      <c r="C306" s="234"/>
      <c r="D306" s="235"/>
      <c r="E306" s="234"/>
      <c r="F306" s="237"/>
      <c r="G306" s="237">
        <v>8800000</v>
      </c>
      <c r="H306" s="238"/>
      <c r="I306" s="238"/>
      <c r="J306" s="238"/>
      <c r="K306" s="238">
        <f>+G306</f>
        <v>8800000</v>
      </c>
      <c r="O306" s="1195"/>
      <c r="P306" s="986"/>
    </row>
    <row r="307" spans="1:35" s="143" customFormat="1" ht="34.5" customHeight="1">
      <c r="A307" s="232"/>
      <c r="B307" s="393" t="s">
        <v>1301</v>
      </c>
      <c r="C307" s="234"/>
      <c r="D307" s="235"/>
      <c r="E307" s="234"/>
      <c r="F307" s="237"/>
      <c r="G307" s="237">
        <v>93000</v>
      </c>
      <c r="H307" s="238"/>
      <c r="I307" s="238"/>
      <c r="J307" s="238"/>
      <c r="K307" s="238">
        <f>+G307</f>
        <v>93000</v>
      </c>
      <c r="O307" s="986"/>
      <c r="P307" s="986"/>
    </row>
    <row r="308" spans="1:35" s="231" customFormat="1" ht="21" customHeight="1">
      <c r="A308" s="224" t="s">
        <v>299</v>
      </c>
      <c r="B308" s="434" t="s">
        <v>547</v>
      </c>
      <c r="C308" s="226"/>
      <c r="D308" s="573"/>
      <c r="E308" s="226"/>
      <c r="F308" s="229">
        <f t="shared" si="37"/>
        <v>2500000</v>
      </c>
      <c r="G308" s="229">
        <f t="shared" ref="G308:J310" si="39">+G309</f>
        <v>2500000</v>
      </c>
      <c r="H308" s="230">
        <f t="shared" si="39"/>
        <v>0</v>
      </c>
      <c r="I308" s="230"/>
      <c r="J308" s="230">
        <f t="shared" si="39"/>
        <v>0</v>
      </c>
      <c r="K308" s="240">
        <f t="shared" si="36"/>
        <v>2500000</v>
      </c>
    </row>
    <row r="309" spans="1:35" s="143" customFormat="1" ht="35.1" customHeight="1">
      <c r="A309" s="232"/>
      <c r="B309" s="283" t="s">
        <v>421</v>
      </c>
      <c r="C309" s="234"/>
      <c r="D309" s="559"/>
      <c r="E309" s="234"/>
      <c r="F309" s="237">
        <f t="shared" si="37"/>
        <v>2500000</v>
      </c>
      <c r="G309" s="237">
        <v>2500000</v>
      </c>
      <c r="H309" s="556"/>
      <c r="I309" s="556"/>
      <c r="J309" s="556"/>
      <c r="K309" s="238">
        <f t="shared" si="36"/>
        <v>2500000</v>
      </c>
    </row>
    <row r="310" spans="1:35" s="231" customFormat="1" ht="22.5" customHeight="1">
      <c r="A310" s="224" t="s">
        <v>419</v>
      </c>
      <c r="B310" s="434" t="s">
        <v>420</v>
      </c>
      <c r="C310" s="226"/>
      <c r="D310" s="573"/>
      <c r="E310" s="226"/>
      <c r="F310" s="229">
        <f t="shared" si="37"/>
        <v>219000</v>
      </c>
      <c r="G310" s="229">
        <f t="shared" si="39"/>
        <v>219000</v>
      </c>
      <c r="H310" s="230">
        <f t="shared" si="39"/>
        <v>0</v>
      </c>
      <c r="I310" s="230"/>
      <c r="J310" s="230">
        <f t="shared" si="39"/>
        <v>0</v>
      </c>
      <c r="K310" s="240">
        <f t="shared" si="36"/>
        <v>219000</v>
      </c>
    </row>
    <row r="311" spans="1:35" s="143" customFormat="1" ht="39" customHeight="1">
      <c r="A311" s="232"/>
      <c r="B311" s="283" t="s">
        <v>421</v>
      </c>
      <c r="C311" s="234"/>
      <c r="D311" s="559"/>
      <c r="E311" s="234"/>
      <c r="F311" s="237">
        <f t="shared" si="37"/>
        <v>219000</v>
      </c>
      <c r="G311" s="237">
        <v>219000</v>
      </c>
      <c r="H311" s="556"/>
      <c r="I311" s="556"/>
      <c r="J311" s="556"/>
      <c r="K311" s="238">
        <f>+G311-I311-J311</f>
        <v>219000</v>
      </c>
    </row>
    <row r="312" spans="1:35" s="231" customFormat="1" ht="18" customHeight="1">
      <c r="A312" s="224" t="s">
        <v>138</v>
      </c>
      <c r="B312" s="225" t="s">
        <v>515</v>
      </c>
      <c r="C312" s="256">
        <f>C313+C318+C324</f>
        <v>31</v>
      </c>
      <c r="D312" s="256">
        <f t="shared" ref="D312:L312" si="40">D313+D318+D324</f>
        <v>12</v>
      </c>
      <c r="E312" s="256"/>
      <c r="F312" s="256">
        <f t="shared" si="40"/>
        <v>3369236.5036000004</v>
      </c>
      <c r="G312" s="256">
        <f>G313+G318+G324</f>
        <v>3341236.5036000004</v>
      </c>
      <c r="H312" s="256">
        <f t="shared" si="40"/>
        <v>28000</v>
      </c>
      <c r="I312" s="256">
        <f t="shared" si="40"/>
        <v>0</v>
      </c>
      <c r="J312" s="256">
        <f t="shared" si="40"/>
        <v>0</v>
      </c>
      <c r="K312" s="256">
        <f t="shared" si="40"/>
        <v>3341236.5036000004</v>
      </c>
      <c r="L312" s="581">
        <f t="shared" si="40"/>
        <v>0</v>
      </c>
      <c r="M312" s="582"/>
      <c r="N312" s="582"/>
    </row>
    <row r="313" spans="1:35" s="231" customFormat="1" ht="18.75" customHeight="1">
      <c r="A313" s="224"/>
      <c r="B313" s="225" t="s">
        <v>355</v>
      </c>
      <c r="C313" s="226">
        <v>2</v>
      </c>
      <c r="D313" s="227">
        <v>2</v>
      </c>
      <c r="E313" s="228"/>
      <c r="F313" s="229">
        <f t="shared" si="37"/>
        <v>828840.8</v>
      </c>
      <c r="G313" s="230">
        <f>SUM(G314:G317)</f>
        <v>824840.8</v>
      </c>
      <c r="H313" s="230">
        <f>SUM(H314:H317)</f>
        <v>4000</v>
      </c>
      <c r="I313" s="230">
        <f>SUM(I314:I317)</f>
        <v>0</v>
      </c>
      <c r="J313" s="230">
        <f>SUM(J314:J317)</f>
        <v>0</v>
      </c>
      <c r="K313" s="230">
        <f>SUM(K314:K317)</f>
        <v>824840.8</v>
      </c>
    </row>
    <row r="314" spans="1:35" s="143" customFormat="1" ht="18.75" customHeight="1">
      <c r="A314" s="232"/>
      <c r="B314" s="233" t="s">
        <v>133</v>
      </c>
      <c r="C314" s="234"/>
      <c r="D314" s="235"/>
      <c r="E314" s="236">
        <v>18.260000000000002</v>
      </c>
      <c r="F314" s="237">
        <f t="shared" si="37"/>
        <v>512740.80000000005</v>
      </c>
      <c r="G314" s="237">
        <f>+E314*2340*12</f>
        <v>512740.80000000005</v>
      </c>
      <c r="H314" s="238"/>
      <c r="I314" s="238"/>
      <c r="J314" s="238"/>
      <c r="K314" s="238">
        <f t="shared" si="36"/>
        <v>512740.80000000005</v>
      </c>
      <c r="AH314" s="255">
        <f>+E314*310*12</f>
        <v>67927.200000000012</v>
      </c>
      <c r="AI314" s="558">
        <f>+AH314+AH315+AH319</f>
        <v>749399.55900000001</v>
      </c>
    </row>
    <row r="315" spans="1:35" s="143" customFormat="1" ht="18.75" customHeight="1">
      <c r="A315" s="232"/>
      <c r="B315" s="239" t="s">
        <v>5</v>
      </c>
      <c r="C315" s="234"/>
      <c r="D315" s="235"/>
      <c r="E315" s="234">
        <v>20000</v>
      </c>
      <c r="F315" s="237">
        <f t="shared" si="37"/>
        <v>40000</v>
      </c>
      <c r="G315" s="237">
        <f>+C313*E315-(C313*E315*10%)</f>
        <v>36000</v>
      </c>
      <c r="H315" s="238">
        <f>+C313*E315*10%</f>
        <v>4000</v>
      </c>
      <c r="I315" s="238"/>
      <c r="J315" s="238"/>
      <c r="K315" s="238">
        <f t="shared" si="36"/>
        <v>36000</v>
      </c>
      <c r="AH315" s="255">
        <f>+E314*540*12</f>
        <v>118324.80000000002</v>
      </c>
    </row>
    <row r="316" spans="1:35" s="143" customFormat="1" ht="21.6" customHeight="1">
      <c r="A316" s="232"/>
      <c r="B316" s="239" t="s">
        <v>337</v>
      </c>
      <c r="C316" s="234"/>
      <c r="D316" s="235"/>
      <c r="E316" s="234"/>
      <c r="F316" s="237">
        <f t="shared" si="37"/>
        <v>250000</v>
      </c>
      <c r="G316" s="237">
        <v>250000</v>
      </c>
      <c r="H316" s="238"/>
      <c r="I316" s="238"/>
      <c r="J316" s="238"/>
      <c r="K316" s="238">
        <f t="shared" si="36"/>
        <v>250000</v>
      </c>
    </row>
    <row r="317" spans="1:35" s="143" customFormat="1" ht="35.25" customHeight="1">
      <c r="A317" s="232"/>
      <c r="B317" s="251" t="s">
        <v>1173</v>
      </c>
      <c r="C317" s="234"/>
      <c r="D317" s="235"/>
      <c r="E317" s="234"/>
      <c r="F317" s="237"/>
      <c r="G317" s="237">
        <v>26100</v>
      </c>
      <c r="H317" s="238"/>
      <c r="I317" s="238"/>
      <c r="J317" s="238"/>
      <c r="K317" s="238">
        <f t="shared" si="36"/>
        <v>26100</v>
      </c>
    </row>
    <row r="318" spans="1:35" s="231" customFormat="1" ht="21.6" customHeight="1">
      <c r="A318" s="224"/>
      <c r="B318" s="225" t="s">
        <v>15</v>
      </c>
      <c r="C318" s="226">
        <v>12</v>
      </c>
      <c r="D318" s="227">
        <v>10</v>
      </c>
      <c r="E318" s="228">
        <v>0</v>
      </c>
      <c r="F318" s="229">
        <f t="shared" si="37"/>
        <v>1991431.7036000001</v>
      </c>
      <c r="G318" s="229">
        <f>SUM(G319:G323)</f>
        <v>1967431.7036000001</v>
      </c>
      <c r="H318" s="229">
        <f>SUM(H319:H323)</f>
        <v>24000</v>
      </c>
      <c r="I318" s="229">
        <f>SUM(I319:I323)</f>
        <v>0</v>
      </c>
      <c r="J318" s="229">
        <f>SUM(J319:J323)</f>
        <v>0</v>
      </c>
      <c r="K318" s="229">
        <f>SUM(K319:K323)</f>
        <v>1967431.7036000001</v>
      </c>
    </row>
    <row r="319" spans="1:35" s="143" customFormat="1" ht="21.6" customHeight="1">
      <c r="A319" s="232"/>
      <c r="B319" s="233" t="s">
        <v>1476</v>
      </c>
      <c r="C319" s="234"/>
      <c r="D319" s="235"/>
      <c r="E319" s="583">
        <v>55.210545000000003</v>
      </c>
      <c r="F319" s="237">
        <f t="shared" si="37"/>
        <v>1550312.1036</v>
      </c>
      <c r="G319" s="237">
        <f>+E319*2340*12</f>
        <v>1550312.1036</v>
      </c>
      <c r="H319" s="238"/>
      <c r="I319" s="238"/>
      <c r="J319" s="238"/>
      <c r="K319" s="238">
        <f t="shared" si="36"/>
        <v>1550312.1036</v>
      </c>
      <c r="AH319" s="255">
        <f>+E319*850*12</f>
        <v>563147.55900000001</v>
      </c>
    </row>
    <row r="320" spans="1:35" s="143" customFormat="1" ht="21.6" customHeight="1">
      <c r="A320" s="232"/>
      <c r="B320" s="233" t="s">
        <v>1475</v>
      </c>
      <c r="C320" s="234"/>
      <c r="D320" s="235">
        <f>C318-D318</f>
        <v>2</v>
      </c>
      <c r="E320" s="583">
        <v>3.87</v>
      </c>
      <c r="F320" s="237">
        <f t="shared" si="37"/>
        <v>108669.6</v>
      </c>
      <c r="G320" s="237">
        <f>+E320*2340*12</f>
        <v>108669.6</v>
      </c>
      <c r="H320" s="238"/>
      <c r="I320" s="238"/>
      <c r="J320" s="238"/>
      <c r="K320" s="238">
        <f t="shared" si="36"/>
        <v>108669.6</v>
      </c>
    </row>
    <row r="321" spans="1:38" s="143" customFormat="1" ht="21.6" customHeight="1">
      <c r="A321" s="232"/>
      <c r="B321" s="239" t="s">
        <v>1474</v>
      </c>
      <c r="C321" s="234"/>
      <c r="D321" s="235"/>
      <c r="E321" s="234">
        <v>20000</v>
      </c>
      <c r="F321" s="237">
        <f t="shared" si="37"/>
        <v>240000</v>
      </c>
      <c r="G321" s="237">
        <f>+C318*E321-(C318*E321*10%)</f>
        <v>216000</v>
      </c>
      <c r="H321" s="238">
        <f>+C318*E321*10%</f>
        <v>24000</v>
      </c>
      <c r="I321" s="238"/>
      <c r="J321" s="238"/>
      <c r="K321" s="238">
        <f t="shared" si="36"/>
        <v>216000</v>
      </c>
    </row>
    <row r="322" spans="1:38" s="143" customFormat="1" ht="21.6" customHeight="1">
      <c r="A322" s="232"/>
      <c r="B322" s="561" t="s">
        <v>1370</v>
      </c>
      <c r="C322" s="234"/>
      <c r="D322" s="235"/>
      <c r="E322" s="234"/>
      <c r="F322" s="237"/>
      <c r="G322" s="237">
        <v>6150</v>
      </c>
      <c r="H322" s="238"/>
      <c r="I322" s="238"/>
      <c r="J322" s="238"/>
      <c r="K322" s="238">
        <f t="shared" si="36"/>
        <v>6150</v>
      </c>
    </row>
    <row r="323" spans="1:38" s="143" customFormat="1" ht="31.5" customHeight="1">
      <c r="A323" s="232"/>
      <c r="B323" s="239" t="s">
        <v>1473</v>
      </c>
      <c r="C323" s="234"/>
      <c r="D323" s="235"/>
      <c r="E323" s="234"/>
      <c r="F323" s="237"/>
      <c r="G323" s="237">
        <v>86300</v>
      </c>
      <c r="H323" s="238"/>
      <c r="I323" s="238"/>
      <c r="J323" s="238"/>
      <c r="K323" s="238">
        <f t="shared" si="36"/>
        <v>86300</v>
      </c>
      <c r="AH323" s="558">
        <f>23000*17</f>
        <v>391000</v>
      </c>
      <c r="AI323" s="558">
        <f>+AH323-G324</f>
        <v>-157964</v>
      </c>
    </row>
    <row r="324" spans="1:38" s="231" customFormat="1" ht="21.6" customHeight="1">
      <c r="A324" s="224"/>
      <c r="B324" s="225" t="s">
        <v>16</v>
      </c>
      <c r="C324" s="226">
        <v>17</v>
      </c>
      <c r="D324" s="227"/>
      <c r="E324" s="226"/>
      <c r="F324" s="229">
        <f t="shared" si="37"/>
        <v>548964</v>
      </c>
      <c r="G324" s="229">
        <f t="shared" ref="G324:AF324" si="41">SUM(G325:G341)</f>
        <v>548964</v>
      </c>
      <c r="H324" s="229">
        <f t="shared" si="41"/>
        <v>0</v>
      </c>
      <c r="I324" s="229">
        <f t="shared" si="41"/>
        <v>0</v>
      </c>
      <c r="J324" s="229">
        <f t="shared" si="41"/>
        <v>0</v>
      </c>
      <c r="K324" s="229">
        <f t="shared" si="41"/>
        <v>548964</v>
      </c>
      <c r="L324" s="229">
        <f t="shared" si="41"/>
        <v>0</v>
      </c>
      <c r="M324" s="229">
        <f t="shared" si="41"/>
        <v>0</v>
      </c>
      <c r="N324" s="229">
        <f t="shared" si="41"/>
        <v>0</v>
      </c>
      <c r="O324" s="229">
        <f t="shared" si="41"/>
        <v>0</v>
      </c>
      <c r="P324" s="229">
        <f t="shared" si="41"/>
        <v>0</v>
      </c>
      <c r="Q324" s="229">
        <f t="shared" si="41"/>
        <v>0</v>
      </c>
      <c r="R324" s="229">
        <f t="shared" si="41"/>
        <v>0</v>
      </c>
      <c r="S324" s="229">
        <f t="shared" si="41"/>
        <v>0</v>
      </c>
      <c r="T324" s="229">
        <f t="shared" si="41"/>
        <v>0</v>
      </c>
      <c r="U324" s="229">
        <f t="shared" si="41"/>
        <v>0</v>
      </c>
      <c r="V324" s="229">
        <f t="shared" si="41"/>
        <v>0</v>
      </c>
      <c r="W324" s="229">
        <f t="shared" si="41"/>
        <v>0</v>
      </c>
      <c r="X324" s="229">
        <f t="shared" si="41"/>
        <v>0</v>
      </c>
      <c r="Y324" s="229">
        <f t="shared" si="41"/>
        <v>0</v>
      </c>
      <c r="Z324" s="229">
        <f t="shared" si="41"/>
        <v>0</v>
      </c>
      <c r="AA324" s="229">
        <f t="shared" si="41"/>
        <v>0</v>
      </c>
      <c r="AB324" s="229">
        <f t="shared" si="41"/>
        <v>0</v>
      </c>
      <c r="AC324" s="229">
        <f t="shared" si="41"/>
        <v>0</v>
      </c>
      <c r="AD324" s="229">
        <f t="shared" si="41"/>
        <v>0</v>
      </c>
      <c r="AE324" s="229">
        <f t="shared" si="41"/>
        <v>0</v>
      </c>
      <c r="AF324" s="229">
        <f t="shared" si="41"/>
        <v>0</v>
      </c>
      <c r="AG324" s="229"/>
      <c r="AH324" s="584">
        <f>SUM(AH325:AH341)</f>
        <v>19.549999999999997</v>
      </c>
      <c r="AI324" s="229">
        <f>SUM(AI325:AI341)</f>
        <v>39780</v>
      </c>
      <c r="AJ324" s="229">
        <f>SUM(AJ325:AJ341)</f>
        <v>45747</v>
      </c>
      <c r="AK324" s="229">
        <f>SUM(AK325:AK341)</f>
        <v>548964</v>
      </c>
      <c r="AL324" s="229">
        <f>SUM(AL325:AL341)</f>
        <v>0</v>
      </c>
    </row>
    <row r="325" spans="1:38" s="143" customFormat="1" ht="21.6" customHeight="1">
      <c r="A325" s="232"/>
      <c r="B325" s="446" t="s">
        <v>750</v>
      </c>
      <c r="C325" s="234"/>
      <c r="D325" s="235">
        <v>3</v>
      </c>
      <c r="E325" s="241">
        <v>1.1499999999999999</v>
      </c>
      <c r="F325" s="237">
        <f t="shared" si="37"/>
        <v>32292</v>
      </c>
      <c r="G325" s="237">
        <f>+E325*2340*12</f>
        <v>32292</v>
      </c>
      <c r="H325" s="238"/>
      <c r="I325" s="238"/>
      <c r="J325" s="238"/>
      <c r="K325" s="238">
        <f t="shared" si="36"/>
        <v>32292</v>
      </c>
      <c r="AH325" s="143">
        <v>1.1499999999999999</v>
      </c>
      <c r="AI325" s="255">
        <v>2340</v>
      </c>
      <c r="AJ325" s="255">
        <f>+AH325*AI325</f>
        <v>2691</v>
      </c>
      <c r="AK325" s="255">
        <f>+AJ325*12</f>
        <v>32292</v>
      </c>
      <c r="AL325" s="560">
        <f t="shared" ref="AL325:AL341" si="42">+AK325-K325</f>
        <v>0</v>
      </c>
    </row>
    <row r="326" spans="1:38" s="143" customFormat="1" ht="21.6" customHeight="1">
      <c r="A326" s="232"/>
      <c r="B326" s="446" t="s">
        <v>751</v>
      </c>
      <c r="C326" s="234"/>
      <c r="D326" s="235">
        <v>3</v>
      </c>
      <c r="E326" s="241">
        <v>1.1499999999999999</v>
      </c>
      <c r="F326" s="237">
        <f t="shared" si="37"/>
        <v>32292</v>
      </c>
      <c r="G326" s="237">
        <f t="shared" ref="G326:G341" si="43">+E326*2340*12</f>
        <v>32292</v>
      </c>
      <c r="H326" s="238"/>
      <c r="I326" s="238"/>
      <c r="J326" s="238"/>
      <c r="K326" s="238">
        <f t="shared" si="36"/>
        <v>32292</v>
      </c>
      <c r="AH326" s="143">
        <v>1.1499999999999999</v>
      </c>
      <c r="AI326" s="255">
        <v>2340</v>
      </c>
      <c r="AJ326" s="255">
        <f t="shared" ref="AJ326:AJ341" si="44">+AH326*AI326</f>
        <v>2691</v>
      </c>
      <c r="AK326" s="255">
        <f t="shared" ref="AK326:AK341" si="45">+AJ326*12</f>
        <v>32292</v>
      </c>
      <c r="AL326" s="560">
        <f t="shared" si="42"/>
        <v>0</v>
      </c>
    </row>
    <row r="327" spans="1:38" s="143" customFormat="1" ht="21.6" customHeight="1">
      <c r="A327" s="232"/>
      <c r="B327" s="446" t="s">
        <v>752</v>
      </c>
      <c r="C327" s="234"/>
      <c r="D327" s="235">
        <v>3</v>
      </c>
      <c r="E327" s="241">
        <v>1.1499999999999999</v>
      </c>
      <c r="F327" s="237">
        <f t="shared" si="37"/>
        <v>32292</v>
      </c>
      <c r="G327" s="237">
        <f t="shared" si="43"/>
        <v>32292</v>
      </c>
      <c r="H327" s="238"/>
      <c r="I327" s="238"/>
      <c r="J327" s="238"/>
      <c r="K327" s="238">
        <f t="shared" si="36"/>
        <v>32292</v>
      </c>
      <c r="AH327" s="143">
        <v>1.1499999999999999</v>
      </c>
      <c r="AI327" s="255">
        <v>2340</v>
      </c>
      <c r="AJ327" s="255">
        <f t="shared" si="44"/>
        <v>2691</v>
      </c>
      <c r="AK327" s="255">
        <f t="shared" si="45"/>
        <v>32292</v>
      </c>
      <c r="AL327" s="560">
        <f t="shared" si="42"/>
        <v>0</v>
      </c>
    </row>
    <row r="328" spans="1:38" s="143" customFormat="1" ht="21.6" customHeight="1">
      <c r="A328" s="232"/>
      <c r="B328" s="446" t="s">
        <v>753</v>
      </c>
      <c r="C328" s="234"/>
      <c r="D328" s="235">
        <v>3</v>
      </c>
      <c r="E328" s="241">
        <v>1.1499999999999999</v>
      </c>
      <c r="F328" s="237">
        <f t="shared" si="37"/>
        <v>32292</v>
      </c>
      <c r="G328" s="237">
        <f t="shared" si="43"/>
        <v>32292</v>
      </c>
      <c r="H328" s="238"/>
      <c r="I328" s="238"/>
      <c r="J328" s="238"/>
      <c r="K328" s="238">
        <f t="shared" si="36"/>
        <v>32292</v>
      </c>
      <c r="AH328" s="143">
        <v>1.1499999999999999</v>
      </c>
      <c r="AI328" s="255">
        <v>2340</v>
      </c>
      <c r="AJ328" s="255">
        <f t="shared" si="44"/>
        <v>2691</v>
      </c>
      <c r="AK328" s="255">
        <f t="shared" si="45"/>
        <v>32292</v>
      </c>
      <c r="AL328" s="560">
        <f t="shared" si="42"/>
        <v>0</v>
      </c>
    </row>
    <row r="329" spans="1:38" s="143" customFormat="1" ht="21.6" customHeight="1">
      <c r="A329" s="232"/>
      <c r="B329" s="446" t="s">
        <v>754</v>
      </c>
      <c r="C329" s="234"/>
      <c r="D329" s="235">
        <v>3</v>
      </c>
      <c r="E329" s="241">
        <v>1.1499999999999999</v>
      </c>
      <c r="F329" s="237">
        <f t="shared" si="37"/>
        <v>32292</v>
      </c>
      <c r="G329" s="237">
        <f t="shared" si="43"/>
        <v>32292</v>
      </c>
      <c r="H329" s="238"/>
      <c r="I329" s="238"/>
      <c r="J329" s="238"/>
      <c r="K329" s="238">
        <f t="shared" si="36"/>
        <v>32292</v>
      </c>
      <c r="AH329" s="143">
        <v>1.1499999999999999</v>
      </c>
      <c r="AI329" s="255">
        <v>2340</v>
      </c>
      <c r="AJ329" s="255">
        <f t="shared" si="44"/>
        <v>2691</v>
      </c>
      <c r="AK329" s="255">
        <f t="shared" si="45"/>
        <v>32292</v>
      </c>
      <c r="AL329" s="560">
        <f t="shared" si="42"/>
        <v>0</v>
      </c>
    </row>
    <row r="330" spans="1:38" s="143" customFormat="1" ht="21.6" customHeight="1">
      <c r="A330" s="232"/>
      <c r="B330" s="446" t="s">
        <v>755</v>
      </c>
      <c r="C330" s="234"/>
      <c r="D330" s="235">
        <v>3</v>
      </c>
      <c r="E330" s="241">
        <v>1.1499999999999999</v>
      </c>
      <c r="F330" s="237">
        <f t="shared" si="37"/>
        <v>32292</v>
      </c>
      <c r="G330" s="237">
        <f t="shared" si="43"/>
        <v>32292</v>
      </c>
      <c r="H330" s="238"/>
      <c r="I330" s="238"/>
      <c r="J330" s="238"/>
      <c r="K330" s="238">
        <f t="shared" si="36"/>
        <v>32292</v>
      </c>
      <c r="AH330" s="143">
        <v>1.1499999999999999</v>
      </c>
      <c r="AI330" s="255">
        <v>2340</v>
      </c>
      <c r="AJ330" s="255">
        <f t="shared" si="44"/>
        <v>2691</v>
      </c>
      <c r="AK330" s="255">
        <f t="shared" si="45"/>
        <v>32292</v>
      </c>
      <c r="AL330" s="560">
        <f t="shared" si="42"/>
        <v>0</v>
      </c>
    </row>
    <row r="331" spans="1:38" s="143" customFormat="1" ht="21.6" customHeight="1">
      <c r="A331" s="232"/>
      <c r="B331" s="446" t="s">
        <v>756</v>
      </c>
      <c r="C331" s="234"/>
      <c r="D331" s="235">
        <v>3</v>
      </c>
      <c r="E331" s="241">
        <v>1.1499999999999999</v>
      </c>
      <c r="F331" s="237">
        <f t="shared" si="37"/>
        <v>32292</v>
      </c>
      <c r="G331" s="237">
        <f t="shared" si="43"/>
        <v>32292</v>
      </c>
      <c r="H331" s="238"/>
      <c r="I331" s="238"/>
      <c r="J331" s="238"/>
      <c r="K331" s="238">
        <f t="shared" si="36"/>
        <v>32292</v>
      </c>
      <c r="AH331" s="143">
        <v>1.1499999999999999</v>
      </c>
      <c r="AI331" s="255">
        <v>2340</v>
      </c>
      <c r="AJ331" s="255">
        <f t="shared" si="44"/>
        <v>2691</v>
      </c>
      <c r="AK331" s="255">
        <f t="shared" si="45"/>
        <v>32292</v>
      </c>
      <c r="AL331" s="560">
        <f t="shared" si="42"/>
        <v>0</v>
      </c>
    </row>
    <row r="332" spans="1:38" s="143" customFormat="1" ht="21.6" customHeight="1">
      <c r="A332" s="232"/>
      <c r="B332" s="446" t="s">
        <v>757</v>
      </c>
      <c r="C332" s="234"/>
      <c r="D332" s="235">
        <v>3</v>
      </c>
      <c r="E332" s="241">
        <v>1.1499999999999999</v>
      </c>
      <c r="F332" s="237">
        <f t="shared" si="37"/>
        <v>32292</v>
      </c>
      <c r="G332" s="237">
        <f t="shared" si="43"/>
        <v>32292</v>
      </c>
      <c r="H332" s="238"/>
      <c r="I332" s="238"/>
      <c r="J332" s="238"/>
      <c r="K332" s="238">
        <f t="shared" si="36"/>
        <v>32292</v>
      </c>
      <c r="AH332" s="143">
        <v>1.1499999999999999</v>
      </c>
      <c r="AI332" s="255">
        <v>2340</v>
      </c>
      <c r="AJ332" s="255">
        <f t="shared" si="44"/>
        <v>2691</v>
      </c>
      <c r="AK332" s="255">
        <f t="shared" si="45"/>
        <v>32292</v>
      </c>
      <c r="AL332" s="560">
        <f t="shared" si="42"/>
        <v>0</v>
      </c>
    </row>
    <row r="333" spans="1:38" s="143" customFormat="1" ht="21.6" customHeight="1">
      <c r="A333" s="232"/>
      <c r="B333" s="446" t="s">
        <v>758</v>
      </c>
      <c r="C333" s="234"/>
      <c r="D333" s="235">
        <v>3</v>
      </c>
      <c r="E333" s="241">
        <v>1.1499999999999999</v>
      </c>
      <c r="F333" s="237">
        <f t="shared" si="37"/>
        <v>32292</v>
      </c>
      <c r="G333" s="237">
        <f t="shared" si="43"/>
        <v>32292</v>
      </c>
      <c r="H333" s="238"/>
      <c r="I333" s="238"/>
      <c r="J333" s="238"/>
      <c r="K333" s="238">
        <f t="shared" si="36"/>
        <v>32292</v>
      </c>
      <c r="AH333" s="143">
        <v>1.1499999999999999</v>
      </c>
      <c r="AI333" s="255">
        <v>2340</v>
      </c>
      <c r="AJ333" s="255">
        <f t="shared" si="44"/>
        <v>2691</v>
      </c>
      <c r="AK333" s="255">
        <f t="shared" si="45"/>
        <v>32292</v>
      </c>
      <c r="AL333" s="560">
        <f t="shared" si="42"/>
        <v>0</v>
      </c>
    </row>
    <row r="334" spans="1:38" s="143" customFormat="1" ht="21.6" customHeight="1">
      <c r="A334" s="232"/>
      <c r="B334" s="446" t="s">
        <v>759</v>
      </c>
      <c r="C334" s="234"/>
      <c r="D334" s="235">
        <v>3</v>
      </c>
      <c r="E334" s="241">
        <v>1.1499999999999999</v>
      </c>
      <c r="F334" s="237">
        <f t="shared" si="37"/>
        <v>32292</v>
      </c>
      <c r="G334" s="237">
        <f t="shared" si="43"/>
        <v>32292</v>
      </c>
      <c r="H334" s="238"/>
      <c r="I334" s="238"/>
      <c r="J334" s="238"/>
      <c r="K334" s="238">
        <f t="shared" si="36"/>
        <v>32292</v>
      </c>
      <c r="AH334" s="143">
        <v>1.1499999999999999</v>
      </c>
      <c r="AI334" s="255">
        <v>2340</v>
      </c>
      <c r="AJ334" s="255">
        <f t="shared" si="44"/>
        <v>2691</v>
      </c>
      <c r="AK334" s="255">
        <f t="shared" si="45"/>
        <v>32292</v>
      </c>
      <c r="AL334" s="560">
        <f t="shared" si="42"/>
        <v>0</v>
      </c>
    </row>
    <row r="335" spans="1:38" s="143" customFormat="1" ht="21.6" customHeight="1">
      <c r="A335" s="232"/>
      <c r="B335" s="446" t="s">
        <v>760</v>
      </c>
      <c r="C335" s="234"/>
      <c r="D335" s="235">
        <v>3</v>
      </c>
      <c r="E335" s="241">
        <v>1.1499999999999999</v>
      </c>
      <c r="F335" s="237">
        <f t="shared" si="37"/>
        <v>32292</v>
      </c>
      <c r="G335" s="237">
        <f t="shared" si="43"/>
        <v>32292</v>
      </c>
      <c r="H335" s="238"/>
      <c r="I335" s="238"/>
      <c r="J335" s="238"/>
      <c r="K335" s="238">
        <f t="shared" si="36"/>
        <v>32292</v>
      </c>
      <c r="AH335" s="143">
        <v>1.1499999999999999</v>
      </c>
      <c r="AI335" s="255">
        <v>2340</v>
      </c>
      <c r="AJ335" s="255">
        <f t="shared" si="44"/>
        <v>2691</v>
      </c>
      <c r="AK335" s="255">
        <f t="shared" si="45"/>
        <v>32292</v>
      </c>
      <c r="AL335" s="560">
        <f t="shared" si="42"/>
        <v>0</v>
      </c>
    </row>
    <row r="336" spans="1:38" s="143" customFormat="1" ht="21.6" customHeight="1">
      <c r="A336" s="232"/>
      <c r="B336" s="446" t="s">
        <v>761</v>
      </c>
      <c r="C336" s="234"/>
      <c r="D336" s="235">
        <v>3</v>
      </c>
      <c r="E336" s="241">
        <v>1.1499999999999999</v>
      </c>
      <c r="F336" s="237">
        <f t="shared" si="37"/>
        <v>32292</v>
      </c>
      <c r="G336" s="237">
        <f t="shared" si="43"/>
        <v>32292</v>
      </c>
      <c r="H336" s="238"/>
      <c r="I336" s="238"/>
      <c r="J336" s="238"/>
      <c r="K336" s="238">
        <f t="shared" si="36"/>
        <v>32292</v>
      </c>
      <c r="AH336" s="143">
        <v>1.1499999999999999</v>
      </c>
      <c r="AI336" s="255">
        <v>2340</v>
      </c>
      <c r="AJ336" s="255">
        <f t="shared" si="44"/>
        <v>2691</v>
      </c>
      <c r="AK336" s="255">
        <f t="shared" si="45"/>
        <v>32292</v>
      </c>
      <c r="AL336" s="560">
        <f t="shared" si="42"/>
        <v>0</v>
      </c>
    </row>
    <row r="337" spans="1:38" s="143" customFormat="1" ht="21.6" customHeight="1">
      <c r="A337" s="232"/>
      <c r="B337" s="446" t="s">
        <v>766</v>
      </c>
      <c r="C337" s="234"/>
      <c r="D337" s="235">
        <v>3</v>
      </c>
      <c r="E337" s="241">
        <v>1.1499999999999999</v>
      </c>
      <c r="F337" s="237">
        <f t="shared" si="37"/>
        <v>32292</v>
      </c>
      <c r="G337" s="237">
        <f t="shared" si="43"/>
        <v>32292</v>
      </c>
      <c r="H337" s="238"/>
      <c r="I337" s="238"/>
      <c r="J337" s="238"/>
      <c r="K337" s="238">
        <f t="shared" si="36"/>
        <v>32292</v>
      </c>
      <c r="AH337" s="143">
        <v>1.1499999999999999</v>
      </c>
      <c r="AI337" s="255">
        <v>2340</v>
      </c>
      <c r="AJ337" s="255">
        <f t="shared" si="44"/>
        <v>2691</v>
      </c>
      <c r="AK337" s="255">
        <f t="shared" si="45"/>
        <v>32292</v>
      </c>
      <c r="AL337" s="560">
        <f t="shared" si="42"/>
        <v>0</v>
      </c>
    </row>
    <row r="338" spans="1:38" s="143" customFormat="1" ht="21.6" customHeight="1">
      <c r="A338" s="232"/>
      <c r="B338" s="446" t="s">
        <v>765</v>
      </c>
      <c r="C338" s="234"/>
      <c r="D338" s="235">
        <v>3</v>
      </c>
      <c r="E338" s="241">
        <v>1.1499999999999999</v>
      </c>
      <c r="F338" s="237">
        <f t="shared" si="37"/>
        <v>32292</v>
      </c>
      <c r="G338" s="237">
        <f t="shared" si="43"/>
        <v>32292</v>
      </c>
      <c r="H338" s="238"/>
      <c r="I338" s="238"/>
      <c r="J338" s="238"/>
      <c r="K338" s="238">
        <f t="shared" si="36"/>
        <v>32292</v>
      </c>
      <c r="AH338" s="143">
        <v>1.1499999999999999</v>
      </c>
      <c r="AI338" s="255">
        <v>2340</v>
      </c>
      <c r="AJ338" s="255">
        <f t="shared" si="44"/>
        <v>2691</v>
      </c>
      <c r="AK338" s="255">
        <f t="shared" si="45"/>
        <v>32292</v>
      </c>
      <c r="AL338" s="560">
        <f t="shared" si="42"/>
        <v>0</v>
      </c>
    </row>
    <row r="339" spans="1:38" s="143" customFormat="1" ht="21.6" customHeight="1">
      <c r="A339" s="232"/>
      <c r="B339" s="446" t="s">
        <v>764</v>
      </c>
      <c r="C339" s="234"/>
      <c r="D339" s="235">
        <v>3</v>
      </c>
      <c r="E339" s="241">
        <v>1.1499999999999999</v>
      </c>
      <c r="F339" s="237">
        <f t="shared" si="37"/>
        <v>32292</v>
      </c>
      <c r="G339" s="237">
        <f t="shared" si="43"/>
        <v>32292</v>
      </c>
      <c r="H339" s="238"/>
      <c r="I339" s="238"/>
      <c r="J339" s="238"/>
      <c r="K339" s="238">
        <f t="shared" si="36"/>
        <v>32292</v>
      </c>
      <c r="AH339" s="143">
        <v>1.1499999999999999</v>
      </c>
      <c r="AI339" s="255">
        <v>2340</v>
      </c>
      <c r="AJ339" s="255">
        <f t="shared" si="44"/>
        <v>2691</v>
      </c>
      <c r="AK339" s="255">
        <f t="shared" si="45"/>
        <v>32292</v>
      </c>
      <c r="AL339" s="560">
        <f t="shared" si="42"/>
        <v>0</v>
      </c>
    </row>
    <row r="340" spans="1:38" s="143" customFormat="1" ht="21.6" customHeight="1">
      <c r="A340" s="232"/>
      <c r="B340" s="446" t="s">
        <v>763</v>
      </c>
      <c r="C340" s="234"/>
      <c r="D340" s="235">
        <v>3</v>
      </c>
      <c r="E340" s="241">
        <v>1.1499999999999999</v>
      </c>
      <c r="F340" s="237">
        <f t="shared" si="37"/>
        <v>32292</v>
      </c>
      <c r="G340" s="237">
        <f t="shared" si="43"/>
        <v>32292</v>
      </c>
      <c r="H340" s="238"/>
      <c r="I340" s="238"/>
      <c r="J340" s="238"/>
      <c r="K340" s="238">
        <f t="shared" si="36"/>
        <v>32292</v>
      </c>
      <c r="AH340" s="143">
        <v>1.1499999999999999</v>
      </c>
      <c r="AI340" s="255">
        <v>2340</v>
      </c>
      <c r="AJ340" s="255">
        <f t="shared" si="44"/>
        <v>2691</v>
      </c>
      <c r="AK340" s="255">
        <f t="shared" si="45"/>
        <v>32292</v>
      </c>
      <c r="AL340" s="560">
        <f t="shared" si="42"/>
        <v>0</v>
      </c>
    </row>
    <row r="341" spans="1:38" s="143" customFormat="1" ht="21.6" customHeight="1">
      <c r="A341" s="232"/>
      <c r="B341" s="446" t="s">
        <v>762</v>
      </c>
      <c r="C341" s="234"/>
      <c r="D341" s="235">
        <v>3</v>
      </c>
      <c r="E341" s="241">
        <v>1.1499999999999999</v>
      </c>
      <c r="F341" s="237">
        <f t="shared" si="37"/>
        <v>32292</v>
      </c>
      <c r="G341" s="237">
        <f t="shared" si="43"/>
        <v>32292</v>
      </c>
      <c r="H341" s="238"/>
      <c r="I341" s="238"/>
      <c r="J341" s="238"/>
      <c r="K341" s="238">
        <f t="shared" si="36"/>
        <v>32292</v>
      </c>
      <c r="AH341" s="143">
        <v>1.1499999999999999</v>
      </c>
      <c r="AI341" s="255">
        <v>2340</v>
      </c>
      <c r="AJ341" s="255">
        <f t="shared" si="44"/>
        <v>2691</v>
      </c>
      <c r="AK341" s="255">
        <f t="shared" si="45"/>
        <v>32292</v>
      </c>
      <c r="AL341" s="560">
        <f t="shared" si="42"/>
        <v>0</v>
      </c>
    </row>
    <row r="342" spans="1:38" s="231" customFormat="1" ht="21.6" customHeight="1">
      <c r="A342" s="224">
        <v>5</v>
      </c>
      <c r="B342" s="225" t="s">
        <v>518</v>
      </c>
      <c r="C342" s="256">
        <f t="shared" ref="C342:J342" si="46">C343+C355</f>
        <v>14</v>
      </c>
      <c r="D342" s="256">
        <f t="shared" si="46"/>
        <v>12</v>
      </c>
      <c r="E342" s="256">
        <f t="shared" si="46"/>
        <v>0</v>
      </c>
      <c r="F342" s="585">
        <f t="shared" si="46"/>
        <v>3522418.8041599998</v>
      </c>
      <c r="G342" s="585">
        <f t="shared" si="46"/>
        <v>3495718.8041599998</v>
      </c>
      <c r="H342" s="585">
        <f t="shared" si="46"/>
        <v>26700</v>
      </c>
      <c r="I342" s="585">
        <f t="shared" si="46"/>
        <v>84900</v>
      </c>
      <c r="J342" s="585">
        <f t="shared" si="46"/>
        <v>0</v>
      </c>
      <c r="K342" s="240">
        <f t="shared" si="36"/>
        <v>3410818.8041599998</v>
      </c>
    </row>
    <row r="343" spans="1:38" s="231" customFormat="1" ht="21.6" customHeight="1">
      <c r="A343" s="224" t="s">
        <v>68</v>
      </c>
      <c r="B343" s="225" t="s">
        <v>548</v>
      </c>
      <c r="C343" s="240">
        <v>5</v>
      </c>
      <c r="D343" s="240">
        <f>+D344</f>
        <v>5</v>
      </c>
      <c r="E343" s="240">
        <f>+E344</f>
        <v>0</v>
      </c>
      <c r="F343" s="229">
        <f t="shared" si="37"/>
        <v>2116929.04</v>
      </c>
      <c r="G343" s="229">
        <f>+G344</f>
        <v>2106929.04</v>
      </c>
      <c r="H343" s="229">
        <f>+H344</f>
        <v>10000</v>
      </c>
      <c r="I343" s="229">
        <f>+I344</f>
        <v>84900</v>
      </c>
      <c r="J343" s="229">
        <f>+J344</f>
        <v>0</v>
      </c>
      <c r="K343" s="240">
        <f t="shared" si="36"/>
        <v>2022029.04</v>
      </c>
    </row>
    <row r="344" spans="1:38" s="231" customFormat="1" ht="21.6" customHeight="1">
      <c r="A344" s="224"/>
      <c r="B344" s="225" t="s">
        <v>241</v>
      </c>
      <c r="C344" s="256">
        <v>5</v>
      </c>
      <c r="D344" s="227">
        <v>5</v>
      </c>
      <c r="E344" s="228"/>
      <c r="F344" s="229">
        <f t="shared" si="37"/>
        <v>2116929.04</v>
      </c>
      <c r="G344" s="229">
        <f>SUM(G345:G354)</f>
        <v>2106929.04</v>
      </c>
      <c r="H344" s="229">
        <f t="shared" ref="H344:AF344" si="47">SUM(H345:H354)</f>
        <v>10000</v>
      </c>
      <c r="I344" s="229">
        <f t="shared" si="47"/>
        <v>84900</v>
      </c>
      <c r="J344" s="229">
        <f t="shared" si="47"/>
        <v>0</v>
      </c>
      <c r="K344" s="229">
        <f t="shared" si="47"/>
        <v>2022029.04</v>
      </c>
      <c r="L344" s="229">
        <f t="shared" si="47"/>
        <v>0</v>
      </c>
      <c r="M344" s="229">
        <f t="shared" si="47"/>
        <v>0</v>
      </c>
      <c r="N344" s="229">
        <f t="shared" si="47"/>
        <v>0</v>
      </c>
      <c r="O344" s="229">
        <f t="shared" si="47"/>
        <v>0</v>
      </c>
      <c r="P344" s="229">
        <f t="shared" si="47"/>
        <v>0</v>
      </c>
      <c r="Q344" s="229">
        <f t="shared" si="47"/>
        <v>0</v>
      </c>
      <c r="R344" s="229">
        <f t="shared" si="47"/>
        <v>0</v>
      </c>
      <c r="S344" s="229">
        <f t="shared" si="47"/>
        <v>0</v>
      </c>
      <c r="T344" s="229">
        <f t="shared" si="47"/>
        <v>0</v>
      </c>
      <c r="U344" s="229">
        <f t="shared" si="47"/>
        <v>0</v>
      </c>
      <c r="V344" s="229">
        <f t="shared" si="47"/>
        <v>0</v>
      </c>
      <c r="W344" s="229">
        <f t="shared" si="47"/>
        <v>0</v>
      </c>
      <c r="X344" s="229">
        <f t="shared" si="47"/>
        <v>0</v>
      </c>
      <c r="Y344" s="229">
        <f t="shared" si="47"/>
        <v>0</v>
      </c>
      <c r="Z344" s="229">
        <f t="shared" si="47"/>
        <v>0</v>
      </c>
      <c r="AA344" s="229">
        <f t="shared" si="47"/>
        <v>0</v>
      </c>
      <c r="AB344" s="229">
        <f t="shared" si="47"/>
        <v>0</v>
      </c>
      <c r="AC344" s="229">
        <f t="shared" si="47"/>
        <v>0</v>
      </c>
      <c r="AD344" s="229">
        <f t="shared" si="47"/>
        <v>0</v>
      </c>
      <c r="AE344" s="229">
        <f t="shared" si="47"/>
        <v>0</v>
      </c>
      <c r="AF344" s="229">
        <f t="shared" si="47"/>
        <v>0</v>
      </c>
      <c r="AG344" s="778"/>
    </row>
    <row r="345" spans="1:38" s="143" customFormat="1" ht="21.6" customHeight="1">
      <c r="A345" s="232"/>
      <c r="B345" s="239" t="s">
        <v>133</v>
      </c>
      <c r="C345" s="234"/>
      <c r="D345" s="235"/>
      <c r="E345" s="241">
        <v>21.143000000000001</v>
      </c>
      <c r="F345" s="237">
        <f t="shared" si="37"/>
        <v>593695.44000000006</v>
      </c>
      <c r="G345" s="237">
        <f>+E345*2340*12</f>
        <v>593695.44000000006</v>
      </c>
      <c r="H345" s="238"/>
      <c r="I345" s="238"/>
      <c r="J345" s="238"/>
      <c r="K345" s="238">
        <f t="shared" si="36"/>
        <v>593695.44000000006</v>
      </c>
    </row>
    <row r="346" spans="1:38" s="143" customFormat="1" ht="21.6" customHeight="1">
      <c r="A346" s="232"/>
      <c r="B346" s="239" t="s">
        <v>5</v>
      </c>
      <c r="C346" s="234"/>
      <c r="D346" s="235"/>
      <c r="E346" s="234">
        <v>20000</v>
      </c>
      <c r="F346" s="237">
        <f t="shared" si="37"/>
        <v>100000</v>
      </c>
      <c r="G346" s="237">
        <f>+(C344*E346)-(C344*E346*10%)</f>
        <v>90000</v>
      </c>
      <c r="H346" s="238">
        <f>+C344*E346*10%</f>
        <v>10000</v>
      </c>
      <c r="I346" s="238"/>
      <c r="J346" s="238"/>
      <c r="K346" s="238">
        <f t="shared" si="36"/>
        <v>90000</v>
      </c>
    </row>
    <row r="347" spans="1:38" s="143" customFormat="1" ht="21.6" hidden="1" customHeight="1">
      <c r="A347" s="232"/>
      <c r="B347" s="233" t="s">
        <v>14</v>
      </c>
      <c r="C347" s="234"/>
      <c r="D347" s="235"/>
      <c r="E347" s="236"/>
      <c r="F347" s="237">
        <f>SUM(G347:H347)</f>
        <v>0</v>
      </c>
      <c r="G347" s="237">
        <f>+D347*E347*1800*12</f>
        <v>0</v>
      </c>
      <c r="H347" s="238"/>
      <c r="I347" s="238"/>
      <c r="J347" s="238"/>
      <c r="K347" s="238">
        <f>+G347-I347-J347</f>
        <v>0</v>
      </c>
    </row>
    <row r="348" spans="1:38" s="143" customFormat="1" ht="21.6" customHeight="1">
      <c r="A348" s="232"/>
      <c r="B348" s="233" t="s">
        <v>634</v>
      </c>
      <c r="C348" s="234"/>
      <c r="D348" s="235"/>
      <c r="E348" s="241">
        <v>0.22</v>
      </c>
      <c r="F348" s="237"/>
      <c r="G348" s="237">
        <f>E348*1490*12</f>
        <v>3933.6000000000004</v>
      </c>
      <c r="H348" s="238"/>
      <c r="I348" s="238"/>
      <c r="J348" s="238"/>
      <c r="K348" s="238">
        <f t="shared" si="36"/>
        <v>3933.6000000000004</v>
      </c>
    </row>
    <row r="349" spans="1:38" s="143" customFormat="1" ht="21.6" customHeight="1">
      <c r="A349" s="232"/>
      <c r="B349" s="283" t="s">
        <v>1286</v>
      </c>
      <c r="C349" s="234"/>
      <c r="D349" s="235"/>
      <c r="E349" s="241"/>
      <c r="F349" s="237"/>
      <c r="G349" s="696">
        <v>650000</v>
      </c>
      <c r="H349" s="238"/>
      <c r="I349" s="238">
        <f>+G349*0.1</f>
        <v>65000</v>
      </c>
      <c r="J349" s="238"/>
      <c r="K349" s="238">
        <f t="shared" si="36"/>
        <v>585000</v>
      </c>
    </row>
    <row r="350" spans="1:38" s="143" customFormat="1" ht="21.6" customHeight="1">
      <c r="A350" s="232"/>
      <c r="B350" s="233" t="s">
        <v>846</v>
      </c>
      <c r="C350" s="234"/>
      <c r="D350" s="235"/>
      <c r="E350" s="241"/>
      <c r="F350" s="237"/>
      <c r="G350" s="696">
        <v>230400</v>
      </c>
      <c r="H350" s="238"/>
      <c r="I350" s="238">
        <f>+(G350-136000)*0.1-40</f>
        <v>9400</v>
      </c>
      <c r="J350" s="238"/>
      <c r="K350" s="238">
        <f>+G350-I350-J350</f>
        <v>221000</v>
      </c>
    </row>
    <row r="351" spans="1:38" s="143" customFormat="1" ht="21.6" customHeight="1">
      <c r="A351" s="232"/>
      <c r="B351" s="283" t="s">
        <v>1287</v>
      </c>
      <c r="C351" s="234"/>
      <c r="D351" s="235"/>
      <c r="E351" s="241"/>
      <c r="F351" s="237"/>
      <c r="G351" s="697">
        <f>20000+85000</f>
        <v>105000</v>
      </c>
      <c r="H351" s="238"/>
      <c r="I351" s="238">
        <f>+G351*0.1</f>
        <v>10500</v>
      </c>
      <c r="J351" s="238"/>
      <c r="K351" s="238">
        <f>+G351-I351-J351</f>
        <v>94500</v>
      </c>
    </row>
    <row r="352" spans="1:38" s="143" customFormat="1" ht="21.6" customHeight="1">
      <c r="A352" s="232"/>
      <c r="B352" s="283" t="s">
        <v>1472</v>
      </c>
      <c r="C352" s="234"/>
      <c r="D352" s="235"/>
      <c r="E352" s="241"/>
      <c r="F352" s="237"/>
      <c r="G352" s="237">
        <v>141000</v>
      </c>
      <c r="H352" s="238"/>
      <c r="I352" s="238"/>
      <c r="J352" s="238"/>
      <c r="K352" s="238">
        <f>+G352-I352-J352</f>
        <v>141000</v>
      </c>
    </row>
    <row r="353" spans="1:34" s="143" customFormat="1" ht="21.6" customHeight="1">
      <c r="A353" s="232"/>
      <c r="B353" s="239" t="s">
        <v>7</v>
      </c>
      <c r="C353" s="234"/>
      <c r="D353" s="235"/>
      <c r="E353" s="242"/>
      <c r="F353" s="237">
        <f t="shared" si="37"/>
        <v>250000</v>
      </c>
      <c r="G353" s="237">
        <v>250000</v>
      </c>
      <c r="H353" s="238"/>
      <c r="I353" s="238"/>
      <c r="J353" s="238"/>
      <c r="K353" s="238">
        <f t="shared" ref="K353:K407" si="48">+G353-I353-J353</f>
        <v>250000</v>
      </c>
    </row>
    <row r="354" spans="1:34" s="143" customFormat="1" ht="36.75" customHeight="1">
      <c r="A354" s="232"/>
      <c r="B354" s="239" t="s">
        <v>1250</v>
      </c>
      <c r="C354" s="234"/>
      <c r="D354" s="235"/>
      <c r="E354" s="242"/>
      <c r="F354" s="237"/>
      <c r="G354" s="237">
        <v>42900</v>
      </c>
      <c r="H354" s="238"/>
      <c r="I354" s="238"/>
      <c r="J354" s="238"/>
      <c r="K354" s="238">
        <f t="shared" si="48"/>
        <v>42900</v>
      </c>
      <c r="AH354" s="143">
        <v>29000</v>
      </c>
    </row>
    <row r="355" spans="1:34" s="231" customFormat="1" ht="21.6" customHeight="1">
      <c r="A355" s="224" t="s">
        <v>69</v>
      </c>
      <c r="B355" s="225" t="s">
        <v>549</v>
      </c>
      <c r="C355" s="240">
        <f>C356+C361</f>
        <v>9</v>
      </c>
      <c r="D355" s="240">
        <f>D356+D361</f>
        <v>7</v>
      </c>
      <c r="E355" s="240"/>
      <c r="F355" s="229">
        <f t="shared" si="37"/>
        <v>1405489.76416</v>
      </c>
      <c r="G355" s="229">
        <f>G356+G361+G364</f>
        <v>1388789.76416</v>
      </c>
      <c r="H355" s="229">
        <f>H356+H361+H364</f>
        <v>16700</v>
      </c>
      <c r="I355" s="229">
        <f>I356+I361+I364</f>
        <v>0</v>
      </c>
      <c r="J355" s="229">
        <f>J356+J361+J364</f>
        <v>0</v>
      </c>
      <c r="K355" s="229">
        <f>K356+K361+K364</f>
        <v>1388789.76416</v>
      </c>
    </row>
    <row r="356" spans="1:34" s="231" customFormat="1" ht="21.6" customHeight="1">
      <c r="A356" s="224"/>
      <c r="B356" s="225" t="s">
        <v>241</v>
      </c>
      <c r="C356" s="226">
        <v>8</v>
      </c>
      <c r="D356" s="227">
        <v>6</v>
      </c>
      <c r="E356" s="228"/>
      <c r="F356" s="229">
        <f t="shared" si="37"/>
        <v>1210262.4041599999</v>
      </c>
      <c r="G356" s="229">
        <f>SUM(G357:G360)</f>
        <v>1194262.4041599999</v>
      </c>
      <c r="H356" s="229">
        <f>SUM(H357:H360)</f>
        <v>16000</v>
      </c>
      <c r="I356" s="229">
        <f>SUM(I357:I360)</f>
        <v>0</v>
      </c>
      <c r="J356" s="229">
        <f>SUM(J357:J360)</f>
        <v>0</v>
      </c>
      <c r="K356" s="229">
        <f>SUM(K357:K360)</f>
        <v>1194262.4041599999</v>
      </c>
    </row>
    <row r="357" spans="1:34" s="143" customFormat="1" ht="21.6" customHeight="1">
      <c r="A357" s="232"/>
      <c r="B357" s="233" t="s">
        <v>133</v>
      </c>
      <c r="C357" s="234"/>
      <c r="D357" s="235"/>
      <c r="E357" s="241">
        <v>30.04</v>
      </c>
      <c r="F357" s="237">
        <f>SUM(G357:H357)</f>
        <v>843523.2</v>
      </c>
      <c r="G357" s="237">
        <f>+E357*2340*12</f>
        <v>843523.2</v>
      </c>
      <c r="H357" s="238"/>
      <c r="I357" s="238"/>
      <c r="J357" s="238"/>
      <c r="K357" s="238">
        <f t="shared" si="48"/>
        <v>843523.2</v>
      </c>
    </row>
    <row r="358" spans="1:34" s="143" customFormat="1" ht="21.6" customHeight="1">
      <c r="A358" s="232"/>
      <c r="B358" s="239" t="s">
        <v>5</v>
      </c>
      <c r="C358" s="234"/>
      <c r="D358" s="235"/>
      <c r="E358" s="234">
        <v>20000</v>
      </c>
      <c r="F358" s="237">
        <f>SUM(G358:H358)</f>
        <v>160000</v>
      </c>
      <c r="G358" s="237">
        <f>+(C356*E358)-(C356*E358*10%)</f>
        <v>144000</v>
      </c>
      <c r="H358" s="238">
        <f>+C356*E358*10%</f>
        <v>16000</v>
      </c>
      <c r="I358" s="238"/>
      <c r="J358" s="238"/>
      <c r="K358" s="238">
        <f t="shared" si="48"/>
        <v>144000</v>
      </c>
    </row>
    <row r="359" spans="1:34" s="143" customFormat="1" ht="21.6" customHeight="1">
      <c r="A359" s="232"/>
      <c r="B359" s="233" t="s">
        <v>14</v>
      </c>
      <c r="C359" s="234"/>
      <c r="D359" s="235">
        <f>C356-D356</f>
        <v>2</v>
      </c>
      <c r="E359" s="236">
        <f>2.34+0.4+(2.34*0.235)+(0.4*0.235*7.77%)</f>
        <v>3.2972037999999997</v>
      </c>
      <c r="F359" s="237">
        <f>SUM(G359:H359)</f>
        <v>142439.20415999996</v>
      </c>
      <c r="G359" s="237">
        <f>+E359*1800*12*D359</f>
        <v>142439.20415999996</v>
      </c>
      <c r="H359" s="238"/>
      <c r="I359" s="238"/>
      <c r="J359" s="238"/>
      <c r="K359" s="238">
        <f t="shared" si="48"/>
        <v>142439.20415999996</v>
      </c>
    </row>
    <row r="360" spans="1:34" s="143" customFormat="1" ht="39" customHeight="1">
      <c r="A360" s="232"/>
      <c r="B360" s="239" t="s">
        <v>1250</v>
      </c>
      <c r="C360" s="234"/>
      <c r="D360" s="235"/>
      <c r="E360" s="236"/>
      <c r="F360" s="237"/>
      <c r="G360" s="237">
        <v>64300</v>
      </c>
      <c r="H360" s="238"/>
      <c r="I360" s="238"/>
      <c r="J360" s="238"/>
      <c r="K360" s="238">
        <f t="shared" si="48"/>
        <v>64300</v>
      </c>
    </row>
    <row r="361" spans="1:34" s="231" customFormat="1" ht="21.6" customHeight="1">
      <c r="A361" s="224"/>
      <c r="B361" s="225" t="s">
        <v>836</v>
      </c>
      <c r="C361" s="226">
        <v>1</v>
      </c>
      <c r="D361" s="227">
        <v>1</v>
      </c>
      <c r="E361" s="228"/>
      <c r="F361" s="229">
        <f t="shared" ref="F361:F375" si="49">SUM(G361:H361)</f>
        <v>95227.36</v>
      </c>
      <c r="G361" s="229">
        <f>SUM(G362:G363)</f>
        <v>94527.360000000001</v>
      </c>
      <c r="H361" s="230">
        <f>SUM(H362:H363)</f>
        <v>700</v>
      </c>
      <c r="I361" s="230"/>
      <c r="J361" s="230">
        <f>SUM(J362:J363)</f>
        <v>0</v>
      </c>
      <c r="K361" s="240">
        <f t="shared" si="48"/>
        <v>94527.360000000001</v>
      </c>
    </row>
    <row r="362" spans="1:34" s="143" customFormat="1" ht="21.6" customHeight="1">
      <c r="A362" s="232"/>
      <c r="B362" s="233" t="s">
        <v>133</v>
      </c>
      <c r="C362" s="234"/>
      <c r="D362" s="235"/>
      <c r="E362" s="241">
        <v>3.1419999999999999</v>
      </c>
      <c r="F362" s="237">
        <f t="shared" si="49"/>
        <v>88227.36</v>
      </c>
      <c r="G362" s="237">
        <f>+E362*2340*12</f>
        <v>88227.36</v>
      </c>
      <c r="H362" s="238"/>
      <c r="I362" s="238"/>
      <c r="J362" s="238"/>
      <c r="K362" s="238">
        <f>+G362-I362-J362</f>
        <v>88227.36</v>
      </c>
      <c r="AH362" s="143">
        <v>2.2200000000000002</v>
      </c>
    </row>
    <row r="363" spans="1:34" s="143" customFormat="1" ht="21.6" customHeight="1">
      <c r="A363" s="232"/>
      <c r="B363" s="239" t="s">
        <v>5</v>
      </c>
      <c r="C363" s="234"/>
      <c r="D363" s="235"/>
      <c r="E363" s="234">
        <v>7000</v>
      </c>
      <c r="F363" s="237">
        <f t="shared" si="49"/>
        <v>7000</v>
      </c>
      <c r="G363" s="237">
        <f>+(C361*E363)-(C361*E363*10%)</f>
        <v>6300</v>
      </c>
      <c r="H363" s="238">
        <f>+E363*10%</f>
        <v>700</v>
      </c>
      <c r="I363" s="238"/>
      <c r="J363" s="238"/>
      <c r="K363" s="238">
        <f t="shared" si="48"/>
        <v>6300</v>
      </c>
      <c r="AH363" s="143">
        <v>0.4</v>
      </c>
    </row>
    <row r="364" spans="1:34" s="231" customFormat="1" ht="21.6" customHeight="1">
      <c r="A364" s="224"/>
      <c r="B364" s="225" t="s">
        <v>858</v>
      </c>
      <c r="C364" s="226"/>
      <c r="D364" s="227"/>
      <c r="E364" s="228"/>
      <c r="F364" s="229">
        <f t="shared" si="49"/>
        <v>100000</v>
      </c>
      <c r="G364" s="229">
        <v>100000</v>
      </c>
      <c r="H364" s="240"/>
      <c r="I364" s="240"/>
      <c r="J364" s="240"/>
      <c r="K364" s="240">
        <f t="shared" si="48"/>
        <v>100000</v>
      </c>
      <c r="AH364" s="231">
        <f>+AH362*0.235</f>
        <v>0.52170000000000005</v>
      </c>
    </row>
    <row r="365" spans="1:34" s="231" customFormat="1" ht="21.6" customHeight="1">
      <c r="A365" s="224">
        <v>6</v>
      </c>
      <c r="B365" s="225" t="s">
        <v>854</v>
      </c>
      <c r="C365" s="226"/>
      <c r="D365" s="227"/>
      <c r="E365" s="228"/>
      <c r="F365" s="229">
        <f t="shared" si="49"/>
        <v>1527000</v>
      </c>
      <c r="G365" s="229">
        <f>SUM(G366:G367)</f>
        <v>1527000</v>
      </c>
      <c r="H365" s="230">
        <f>SUM(H366:H367)</f>
        <v>0</v>
      </c>
      <c r="I365" s="230"/>
      <c r="J365" s="230">
        <f>SUM(J366:J367)</f>
        <v>0</v>
      </c>
      <c r="K365" s="240">
        <f t="shared" si="48"/>
        <v>1527000</v>
      </c>
      <c r="AH365" s="231">
        <f>SUM(AH362:AH364)</f>
        <v>3.1417000000000002</v>
      </c>
    </row>
    <row r="366" spans="1:34" s="231" customFormat="1" ht="21.6" customHeight="1">
      <c r="A366" s="224"/>
      <c r="B366" s="561" t="s">
        <v>327</v>
      </c>
      <c r="C366" s="226"/>
      <c r="D366" s="227"/>
      <c r="E366" s="228"/>
      <c r="F366" s="237">
        <f t="shared" si="49"/>
        <v>1327000</v>
      </c>
      <c r="G366" s="237">
        <v>1327000</v>
      </c>
      <c r="H366" s="240"/>
      <c r="I366" s="240"/>
      <c r="J366" s="240"/>
      <c r="K366" s="238">
        <f t="shared" si="48"/>
        <v>1327000</v>
      </c>
    </row>
    <row r="367" spans="1:34" s="231" customFormat="1" ht="39" customHeight="1">
      <c r="A367" s="224"/>
      <c r="B367" s="576" t="s">
        <v>217</v>
      </c>
      <c r="C367" s="226"/>
      <c r="D367" s="227"/>
      <c r="E367" s="228"/>
      <c r="F367" s="237">
        <f t="shared" si="49"/>
        <v>200000</v>
      </c>
      <c r="G367" s="237">
        <v>200000</v>
      </c>
      <c r="H367" s="240"/>
      <c r="I367" s="240"/>
      <c r="J367" s="240"/>
      <c r="K367" s="238">
        <f t="shared" si="48"/>
        <v>200000</v>
      </c>
    </row>
    <row r="368" spans="1:34" s="231" customFormat="1" ht="24" customHeight="1">
      <c r="A368" s="224">
        <v>7</v>
      </c>
      <c r="B368" s="225" t="s">
        <v>855</v>
      </c>
      <c r="C368" s="226"/>
      <c r="D368" s="227"/>
      <c r="E368" s="228"/>
      <c r="F368" s="229">
        <f t="shared" si="49"/>
        <v>34255400</v>
      </c>
      <c r="G368" s="229">
        <f>SUM(G369:G373)</f>
        <v>34255400</v>
      </c>
      <c r="H368" s="230">
        <f>SUM(H369:H373)</f>
        <v>0</v>
      </c>
      <c r="I368" s="230">
        <f>SUM(I369:I373)</f>
        <v>0</v>
      </c>
      <c r="J368" s="230">
        <f>SUM(J369:J373)</f>
        <v>0</v>
      </c>
      <c r="K368" s="240">
        <f t="shared" si="48"/>
        <v>34255400</v>
      </c>
    </row>
    <row r="369" spans="1:11" s="143" customFormat="1" ht="24" customHeight="1">
      <c r="A369" s="232" t="s">
        <v>72</v>
      </c>
      <c r="B369" s="239" t="s">
        <v>550</v>
      </c>
      <c r="C369" s="234"/>
      <c r="D369" s="234"/>
      <c r="E369" s="234"/>
      <c r="F369" s="237">
        <f t="shared" si="49"/>
        <v>1800000</v>
      </c>
      <c r="G369" s="237">
        <v>1800000</v>
      </c>
      <c r="H369" s="238"/>
      <c r="I369" s="238"/>
      <c r="J369" s="238"/>
      <c r="K369" s="238">
        <f t="shared" si="48"/>
        <v>1800000</v>
      </c>
    </row>
    <row r="370" spans="1:11" s="143" customFormat="1" ht="24" customHeight="1">
      <c r="A370" s="232" t="s">
        <v>72</v>
      </c>
      <c r="B370" s="239" t="s">
        <v>837</v>
      </c>
      <c r="C370" s="234"/>
      <c r="D370" s="235"/>
      <c r="E370" s="242"/>
      <c r="F370" s="237">
        <f t="shared" si="49"/>
        <v>29766000</v>
      </c>
      <c r="G370" s="237">
        <v>29766000</v>
      </c>
      <c r="H370" s="238"/>
      <c r="I370" s="238"/>
      <c r="J370" s="238"/>
      <c r="K370" s="238">
        <f t="shared" si="48"/>
        <v>29766000</v>
      </c>
    </row>
    <row r="371" spans="1:11" s="143" customFormat="1" ht="38.1" customHeight="1">
      <c r="A371" s="232" t="s">
        <v>72</v>
      </c>
      <c r="B371" s="239" t="s">
        <v>635</v>
      </c>
      <c r="C371" s="234"/>
      <c r="D371" s="235"/>
      <c r="E371" s="242"/>
      <c r="F371" s="237">
        <f t="shared" si="49"/>
        <v>362000</v>
      </c>
      <c r="G371" s="237">
        <v>362000</v>
      </c>
      <c r="H371" s="238"/>
      <c r="I371" s="238"/>
      <c r="J371" s="238"/>
      <c r="K371" s="238">
        <f t="shared" si="48"/>
        <v>362000</v>
      </c>
    </row>
    <row r="372" spans="1:11" s="143" customFormat="1" ht="38.1" customHeight="1">
      <c r="A372" s="232" t="s">
        <v>72</v>
      </c>
      <c r="B372" s="239" t="s">
        <v>1392</v>
      </c>
      <c r="C372" s="234"/>
      <c r="D372" s="235"/>
      <c r="E372" s="242"/>
      <c r="F372" s="237">
        <f t="shared" si="49"/>
        <v>80400</v>
      </c>
      <c r="G372" s="237">
        <v>80400</v>
      </c>
      <c r="H372" s="238"/>
      <c r="I372" s="238"/>
      <c r="J372" s="238"/>
      <c r="K372" s="238">
        <f t="shared" si="48"/>
        <v>80400</v>
      </c>
    </row>
    <row r="373" spans="1:11" s="143" customFormat="1" ht="21" customHeight="1">
      <c r="A373" s="232" t="s">
        <v>72</v>
      </c>
      <c r="B373" s="283" t="s">
        <v>336</v>
      </c>
      <c r="C373" s="392"/>
      <c r="D373" s="235"/>
      <c r="E373" s="242"/>
      <c r="F373" s="237">
        <f t="shared" si="49"/>
        <v>2247000</v>
      </c>
      <c r="G373" s="237">
        <v>2247000</v>
      </c>
      <c r="H373" s="238"/>
      <c r="I373" s="238"/>
      <c r="J373" s="238"/>
      <c r="K373" s="238">
        <f t="shared" si="48"/>
        <v>2247000</v>
      </c>
    </row>
    <row r="374" spans="1:11" s="231" customFormat="1" ht="21" customHeight="1">
      <c r="A374" s="224">
        <v>8</v>
      </c>
      <c r="B374" s="225" t="s">
        <v>857</v>
      </c>
      <c r="C374" s="226"/>
      <c r="D374" s="227"/>
      <c r="E374" s="228">
        <v>0</v>
      </c>
      <c r="F374" s="229">
        <f t="shared" si="49"/>
        <v>1260500</v>
      </c>
      <c r="G374" s="229">
        <f>SUM(G375:G385)</f>
        <v>1260500</v>
      </c>
      <c r="H374" s="229">
        <f>SUM(H375:H385)</f>
        <v>0</v>
      </c>
      <c r="I374" s="229">
        <f>SUM(I375:I385)</f>
        <v>0</v>
      </c>
      <c r="J374" s="229">
        <f>SUM(J375:J385)</f>
        <v>0</v>
      </c>
      <c r="K374" s="229">
        <f>SUM(K375:K385)</f>
        <v>1260500</v>
      </c>
    </row>
    <row r="375" spans="1:11" s="143" customFormat="1" ht="51" customHeight="1">
      <c r="A375" s="232" t="s">
        <v>72</v>
      </c>
      <c r="B375" s="239" t="s">
        <v>1398</v>
      </c>
      <c r="C375" s="234"/>
      <c r="D375" s="235"/>
      <c r="E375" s="242"/>
      <c r="F375" s="237">
        <f t="shared" si="49"/>
        <v>650000</v>
      </c>
      <c r="G375" s="237">
        <f>650000</f>
        <v>650000</v>
      </c>
      <c r="H375" s="238"/>
      <c r="I375" s="238"/>
      <c r="J375" s="238"/>
      <c r="K375" s="238">
        <f t="shared" si="48"/>
        <v>650000</v>
      </c>
    </row>
    <row r="376" spans="1:11" s="143" customFormat="1" ht="24.6" customHeight="1">
      <c r="A376" s="232" t="s">
        <v>72</v>
      </c>
      <c r="B376" s="239" t="s">
        <v>649</v>
      </c>
      <c r="C376" s="234"/>
      <c r="D376" s="235"/>
      <c r="E376" s="242"/>
      <c r="F376" s="237"/>
      <c r="G376" s="237">
        <v>22000</v>
      </c>
      <c r="H376" s="238"/>
      <c r="I376" s="238"/>
      <c r="J376" s="238"/>
      <c r="K376" s="238">
        <f t="shared" si="48"/>
        <v>22000</v>
      </c>
    </row>
    <row r="377" spans="1:11" s="143" customFormat="1" ht="35.25" customHeight="1">
      <c r="A377" s="232" t="s">
        <v>72</v>
      </c>
      <c r="B377" s="239" t="s">
        <v>1395</v>
      </c>
      <c r="C377" s="234"/>
      <c r="D377" s="235"/>
      <c r="E377" s="242"/>
      <c r="F377" s="237"/>
      <c r="G377" s="237">
        <v>16500</v>
      </c>
      <c r="H377" s="238"/>
      <c r="I377" s="238"/>
      <c r="J377" s="238"/>
      <c r="K377" s="238">
        <f t="shared" si="48"/>
        <v>16500</v>
      </c>
    </row>
    <row r="378" spans="1:11" s="143" customFormat="1" ht="24.6" customHeight="1">
      <c r="A378" s="232" t="s">
        <v>72</v>
      </c>
      <c r="B378" s="283" t="s">
        <v>651</v>
      </c>
      <c r="C378" s="234"/>
      <c r="D378" s="235"/>
      <c r="E378" s="242"/>
      <c r="F378" s="237"/>
      <c r="G378" s="237">
        <v>15000</v>
      </c>
      <c r="H378" s="238"/>
      <c r="I378" s="238"/>
      <c r="J378" s="238"/>
      <c r="K378" s="238">
        <f t="shared" si="48"/>
        <v>15000</v>
      </c>
    </row>
    <row r="379" spans="1:11" s="143" customFormat="1" ht="24.6" customHeight="1">
      <c r="A379" s="232" t="s">
        <v>72</v>
      </c>
      <c r="B379" s="283" t="s">
        <v>1393</v>
      </c>
      <c r="C379" s="234"/>
      <c r="D379" s="235"/>
      <c r="E379" s="242"/>
      <c r="F379" s="237"/>
      <c r="G379" s="237">
        <v>10000</v>
      </c>
      <c r="H379" s="238"/>
      <c r="I379" s="238"/>
      <c r="J379" s="238"/>
      <c r="K379" s="238">
        <f t="shared" si="48"/>
        <v>10000</v>
      </c>
    </row>
    <row r="380" spans="1:11" s="143" customFormat="1" ht="24.6" customHeight="1">
      <c r="A380" s="232" t="s">
        <v>72</v>
      </c>
      <c r="B380" s="283" t="s">
        <v>652</v>
      </c>
      <c r="C380" s="234"/>
      <c r="D380" s="235"/>
      <c r="E380" s="242"/>
      <c r="F380" s="237"/>
      <c r="G380" s="237">
        <v>180000</v>
      </c>
      <c r="H380" s="238"/>
      <c r="I380" s="238"/>
      <c r="J380" s="238"/>
      <c r="K380" s="238">
        <f t="shared" si="48"/>
        <v>180000</v>
      </c>
    </row>
    <row r="381" spans="1:11" s="143" customFormat="1" ht="24.6" customHeight="1">
      <c r="A381" s="232" t="s">
        <v>72</v>
      </c>
      <c r="B381" s="283" t="s">
        <v>1396</v>
      </c>
      <c r="C381" s="234"/>
      <c r="D381" s="235"/>
      <c r="E381" s="242"/>
      <c r="F381" s="237"/>
      <c r="G381" s="237">
        <v>30000</v>
      </c>
      <c r="H381" s="238"/>
      <c r="I381" s="238"/>
      <c r="J381" s="238"/>
      <c r="K381" s="238">
        <f t="shared" si="48"/>
        <v>30000</v>
      </c>
    </row>
    <row r="382" spans="1:11" s="143" customFormat="1" ht="24.6" customHeight="1">
      <c r="A382" s="232" t="s">
        <v>72</v>
      </c>
      <c r="B382" s="239" t="s">
        <v>821</v>
      </c>
      <c r="C382" s="234"/>
      <c r="D382" s="235"/>
      <c r="E382" s="242"/>
      <c r="F382" s="237">
        <f>SUM(G382:H382)</f>
        <v>50000</v>
      </c>
      <c r="G382" s="237">
        <v>50000</v>
      </c>
      <c r="H382" s="238"/>
      <c r="I382" s="238"/>
      <c r="J382" s="238"/>
      <c r="K382" s="238">
        <f t="shared" si="48"/>
        <v>50000</v>
      </c>
    </row>
    <row r="383" spans="1:11" s="143" customFormat="1" ht="24.6" customHeight="1">
      <c r="A383" s="232" t="s">
        <v>72</v>
      </c>
      <c r="B383" s="283" t="s">
        <v>1394</v>
      </c>
      <c r="C383" s="234"/>
      <c r="D383" s="235"/>
      <c r="E383" s="242"/>
      <c r="F383" s="237"/>
      <c r="G383" s="237">
        <v>56000</v>
      </c>
      <c r="H383" s="238"/>
      <c r="I383" s="238"/>
      <c r="J383" s="238"/>
      <c r="K383" s="238">
        <f>+G383-I383-J383</f>
        <v>56000</v>
      </c>
    </row>
    <row r="384" spans="1:11" s="143" customFormat="1" ht="33" customHeight="1">
      <c r="A384" s="232" t="s">
        <v>72</v>
      </c>
      <c r="B384" s="283" t="s">
        <v>1397</v>
      </c>
      <c r="C384" s="234"/>
      <c r="D384" s="235"/>
      <c r="E384" s="242"/>
      <c r="F384" s="237"/>
      <c r="G384" s="237">
        <v>161000</v>
      </c>
      <c r="H384" s="238"/>
      <c r="I384" s="238"/>
      <c r="J384" s="238"/>
      <c r="K384" s="238">
        <f>+G384-I384-J384</f>
        <v>161000</v>
      </c>
    </row>
    <row r="385" spans="1:16" s="143" customFormat="1" ht="24.6" customHeight="1">
      <c r="A385" s="232" t="s">
        <v>72</v>
      </c>
      <c r="B385" s="239" t="s">
        <v>328</v>
      </c>
      <c r="C385" s="234"/>
      <c r="D385" s="235"/>
      <c r="E385" s="242"/>
      <c r="F385" s="237">
        <f>SUM(G385:H385)</f>
        <v>70000</v>
      </c>
      <c r="G385" s="237">
        <v>70000</v>
      </c>
      <c r="H385" s="238"/>
      <c r="I385" s="238"/>
      <c r="J385" s="238"/>
      <c r="K385" s="238">
        <f t="shared" si="48"/>
        <v>70000</v>
      </c>
    </row>
    <row r="386" spans="1:16" s="231" customFormat="1" ht="24.6" customHeight="1">
      <c r="A386" s="224">
        <v>9</v>
      </c>
      <c r="B386" s="225" t="s">
        <v>856</v>
      </c>
      <c r="C386" s="226">
        <v>0</v>
      </c>
      <c r="D386" s="227"/>
      <c r="E386" s="228">
        <v>0</v>
      </c>
      <c r="F386" s="229">
        <f>+F387+F406</f>
        <v>3248200</v>
      </c>
      <c r="G386" s="229">
        <f>+G387+G406</f>
        <v>3248200</v>
      </c>
      <c r="H386" s="230">
        <f>+H387+H406</f>
        <v>0</v>
      </c>
      <c r="I386" s="230"/>
      <c r="J386" s="230">
        <f>+J387+J406</f>
        <v>0</v>
      </c>
      <c r="K386" s="240">
        <f t="shared" si="48"/>
        <v>3248200</v>
      </c>
      <c r="O386" s="249"/>
      <c r="P386" s="249"/>
    </row>
    <row r="387" spans="1:16" s="143" customFormat="1" ht="36" customHeight="1">
      <c r="A387" s="232" t="s">
        <v>72</v>
      </c>
      <c r="B387" s="239" t="s">
        <v>650</v>
      </c>
      <c r="C387" s="234"/>
      <c r="D387" s="235"/>
      <c r="E387" s="242"/>
      <c r="F387" s="237">
        <f>SUM(G387:H387)</f>
        <v>1650000</v>
      </c>
      <c r="G387" s="237">
        <v>1650000</v>
      </c>
      <c r="H387" s="425"/>
      <c r="I387" s="425"/>
      <c r="J387" s="425"/>
      <c r="K387" s="238">
        <f t="shared" si="48"/>
        <v>1650000</v>
      </c>
      <c r="O387" s="558"/>
      <c r="P387" s="558"/>
    </row>
    <row r="388" spans="1:16" s="143" customFormat="1" ht="18.75" hidden="1" customHeight="1">
      <c r="A388" s="232"/>
      <c r="B388" s="239" t="s">
        <v>1399</v>
      </c>
      <c r="C388" s="234"/>
      <c r="D388" s="235"/>
      <c r="E388" s="242"/>
      <c r="F388" s="237"/>
      <c r="G388" s="237">
        <v>313225</v>
      </c>
      <c r="H388" s="425"/>
      <c r="I388" s="425"/>
      <c r="J388" s="425"/>
      <c r="K388" s="238">
        <f t="shared" si="48"/>
        <v>313225</v>
      </c>
      <c r="O388" s="558"/>
      <c r="P388" s="558"/>
    </row>
    <row r="389" spans="1:16" s="143" customFormat="1" ht="18.75" hidden="1" customHeight="1">
      <c r="A389" s="232"/>
      <c r="B389" s="239" t="s">
        <v>1400</v>
      </c>
      <c r="C389" s="234"/>
      <c r="D389" s="235"/>
      <c r="E389" s="242"/>
      <c r="F389" s="237"/>
      <c r="G389" s="237">
        <v>31005</v>
      </c>
      <c r="H389" s="425"/>
      <c r="I389" s="425"/>
      <c r="J389" s="425"/>
      <c r="K389" s="238">
        <f t="shared" si="48"/>
        <v>31005</v>
      </c>
      <c r="O389" s="558"/>
      <c r="P389" s="558"/>
    </row>
    <row r="390" spans="1:16" s="143" customFormat="1" ht="18.75" hidden="1" customHeight="1">
      <c r="A390" s="232"/>
      <c r="B390" s="239" t="s">
        <v>1401</v>
      </c>
      <c r="C390" s="234"/>
      <c r="D390" s="235"/>
      <c r="E390" s="242"/>
      <c r="F390" s="237"/>
      <c r="G390" s="237">
        <v>137200</v>
      </c>
      <c r="H390" s="425"/>
      <c r="I390" s="425"/>
      <c r="J390" s="425"/>
      <c r="K390" s="238">
        <f t="shared" si="48"/>
        <v>137200</v>
      </c>
      <c r="O390" s="558"/>
      <c r="P390" s="558"/>
    </row>
    <row r="391" spans="1:16" s="143" customFormat="1" ht="18.75" hidden="1" customHeight="1">
      <c r="A391" s="232"/>
      <c r="B391" s="239" t="s">
        <v>1402</v>
      </c>
      <c r="C391" s="234"/>
      <c r="D391" s="235"/>
      <c r="E391" s="242"/>
      <c r="F391" s="237"/>
      <c r="G391" s="237">
        <v>140000</v>
      </c>
      <c r="H391" s="425"/>
      <c r="I391" s="425"/>
      <c r="J391" s="425"/>
      <c r="K391" s="238">
        <f t="shared" si="48"/>
        <v>140000</v>
      </c>
      <c r="O391" s="558"/>
      <c r="P391" s="558"/>
    </row>
    <row r="392" spans="1:16" s="143" customFormat="1" ht="18.75" hidden="1" customHeight="1">
      <c r="A392" s="232"/>
      <c r="B392" s="239" t="s">
        <v>1410</v>
      </c>
      <c r="C392" s="234"/>
      <c r="D392" s="235"/>
      <c r="E392" s="242"/>
      <c r="F392" s="237"/>
      <c r="G392" s="237">
        <v>23500</v>
      </c>
      <c r="H392" s="425"/>
      <c r="I392" s="425"/>
      <c r="J392" s="425"/>
      <c r="K392" s="238">
        <f t="shared" si="48"/>
        <v>23500</v>
      </c>
      <c r="O392" s="558"/>
      <c r="P392" s="558"/>
    </row>
    <row r="393" spans="1:16" s="143" customFormat="1" ht="18.75" hidden="1" customHeight="1">
      <c r="A393" s="232"/>
      <c r="B393" s="239" t="s">
        <v>1409</v>
      </c>
      <c r="C393" s="234"/>
      <c r="D393" s="235"/>
      <c r="E393" s="242"/>
      <c r="F393" s="237"/>
      <c r="G393" s="237">
        <v>21200</v>
      </c>
      <c r="H393" s="425"/>
      <c r="I393" s="425"/>
      <c r="J393" s="425"/>
      <c r="K393" s="238">
        <f t="shared" si="48"/>
        <v>21200</v>
      </c>
      <c r="O393" s="558"/>
      <c r="P393" s="558"/>
    </row>
    <row r="394" spans="1:16" s="143" customFormat="1" ht="18.75" hidden="1" customHeight="1">
      <c r="A394" s="232"/>
      <c r="B394" s="239" t="s">
        <v>1403</v>
      </c>
      <c r="C394" s="234"/>
      <c r="D394" s="235"/>
      <c r="E394" s="242"/>
      <c r="F394" s="237"/>
      <c r="G394" s="237">
        <v>39000</v>
      </c>
      <c r="H394" s="425"/>
      <c r="I394" s="425"/>
      <c r="J394" s="425"/>
      <c r="K394" s="238">
        <f t="shared" si="48"/>
        <v>39000</v>
      </c>
      <c r="O394" s="558"/>
      <c r="P394" s="558"/>
    </row>
    <row r="395" spans="1:16" s="143" customFormat="1" ht="18.75" hidden="1" customHeight="1">
      <c r="A395" s="232"/>
      <c r="B395" s="239" t="s">
        <v>1404</v>
      </c>
      <c r="C395" s="234"/>
      <c r="D395" s="235"/>
      <c r="E395" s="242"/>
      <c r="F395" s="237"/>
      <c r="G395" s="237">
        <v>8000</v>
      </c>
      <c r="H395" s="425"/>
      <c r="I395" s="425"/>
      <c r="J395" s="425"/>
      <c r="K395" s="238">
        <f t="shared" si="48"/>
        <v>8000</v>
      </c>
      <c r="O395" s="558"/>
      <c r="P395" s="558"/>
    </row>
    <row r="396" spans="1:16" s="143" customFormat="1" ht="18.75" hidden="1" customHeight="1">
      <c r="A396" s="232"/>
      <c r="B396" s="239" t="s">
        <v>1405</v>
      </c>
      <c r="C396" s="234"/>
      <c r="D396" s="235"/>
      <c r="E396" s="242"/>
      <c r="F396" s="237"/>
      <c r="G396" s="237">
        <v>27900</v>
      </c>
      <c r="H396" s="425"/>
      <c r="I396" s="425"/>
      <c r="J396" s="425"/>
      <c r="K396" s="238">
        <f t="shared" si="48"/>
        <v>27900</v>
      </c>
      <c r="O396" s="558"/>
      <c r="P396" s="558"/>
    </row>
    <row r="397" spans="1:16" s="143" customFormat="1" ht="18.75" hidden="1" customHeight="1">
      <c r="A397" s="232"/>
      <c r="B397" s="239" t="s">
        <v>1406</v>
      </c>
      <c r="C397" s="234"/>
      <c r="D397" s="235"/>
      <c r="E397" s="242"/>
      <c r="F397" s="237"/>
      <c r="G397" s="237">
        <v>38000</v>
      </c>
      <c r="H397" s="425"/>
      <c r="I397" s="425"/>
      <c r="J397" s="425"/>
      <c r="K397" s="238">
        <f t="shared" si="48"/>
        <v>38000</v>
      </c>
      <c r="O397" s="558"/>
      <c r="P397" s="558"/>
    </row>
    <row r="398" spans="1:16" s="143" customFormat="1" ht="33.75" hidden="1" customHeight="1">
      <c r="A398" s="232"/>
      <c r="B398" s="239" t="s">
        <v>1407</v>
      </c>
      <c r="C398" s="234"/>
      <c r="D398" s="235"/>
      <c r="E398" s="242"/>
      <c r="F398" s="237"/>
      <c r="G398" s="237">
        <v>31100</v>
      </c>
      <c r="H398" s="425"/>
      <c r="I398" s="425"/>
      <c r="J398" s="425"/>
      <c r="K398" s="238">
        <f t="shared" si="48"/>
        <v>31100</v>
      </c>
      <c r="O398" s="558"/>
      <c r="P398" s="558"/>
    </row>
    <row r="399" spans="1:16" s="143" customFormat="1" ht="19.5" hidden="1" customHeight="1">
      <c r="A399" s="232"/>
      <c r="B399" s="239" t="s">
        <v>1408</v>
      </c>
      <c r="C399" s="234"/>
      <c r="D399" s="235"/>
      <c r="E399" s="242"/>
      <c r="F399" s="237"/>
      <c r="G399" s="237">
        <v>7100</v>
      </c>
      <c r="H399" s="425"/>
      <c r="I399" s="425"/>
      <c r="J399" s="425"/>
      <c r="K399" s="238">
        <f t="shared" si="48"/>
        <v>7100</v>
      </c>
      <c r="O399" s="558"/>
      <c r="P399" s="558"/>
    </row>
    <row r="400" spans="1:16" s="143" customFormat="1" ht="19.5" hidden="1" customHeight="1">
      <c r="A400" s="232"/>
      <c r="B400" s="239" t="s">
        <v>1411</v>
      </c>
      <c r="C400" s="234"/>
      <c r="D400" s="235"/>
      <c r="E400" s="242"/>
      <c r="F400" s="237"/>
      <c r="G400" s="237">
        <f>83900+87600+83500</f>
        <v>255000</v>
      </c>
      <c r="H400" s="425"/>
      <c r="I400" s="425"/>
      <c r="J400" s="425"/>
      <c r="K400" s="238">
        <f t="shared" si="48"/>
        <v>255000</v>
      </c>
      <c r="O400" s="558"/>
      <c r="P400" s="558"/>
    </row>
    <row r="401" spans="1:34" s="143" customFormat="1" ht="19.5" hidden="1" customHeight="1">
      <c r="A401" s="232"/>
      <c r="B401" s="239" t="s">
        <v>1412</v>
      </c>
      <c r="C401" s="234"/>
      <c r="D401" s="235"/>
      <c r="E401" s="242"/>
      <c r="F401" s="237"/>
      <c r="G401" s="237">
        <v>27800</v>
      </c>
      <c r="H401" s="425"/>
      <c r="I401" s="425"/>
      <c r="J401" s="425"/>
      <c r="K401" s="238">
        <f t="shared" si="48"/>
        <v>27800</v>
      </c>
      <c r="O401" s="558"/>
      <c r="P401" s="558"/>
    </row>
    <row r="402" spans="1:34" s="143" customFormat="1" ht="19.5" hidden="1" customHeight="1">
      <c r="A402" s="232"/>
      <c r="B402" s="239" t="s">
        <v>1413</v>
      </c>
      <c r="C402" s="234"/>
      <c r="D402" s="235"/>
      <c r="E402" s="242"/>
      <c r="F402" s="237"/>
      <c r="G402" s="237">
        <v>21700</v>
      </c>
      <c r="H402" s="425"/>
      <c r="I402" s="425"/>
      <c r="J402" s="425"/>
      <c r="K402" s="238">
        <f t="shared" si="48"/>
        <v>21700</v>
      </c>
      <c r="O402" s="558"/>
      <c r="P402" s="558"/>
    </row>
    <row r="403" spans="1:34" s="143" customFormat="1" ht="19.5" hidden="1" customHeight="1">
      <c r="A403" s="232"/>
      <c r="B403" s="239" t="s">
        <v>1414</v>
      </c>
      <c r="C403" s="234"/>
      <c r="D403" s="235"/>
      <c r="E403" s="242"/>
      <c r="F403" s="237"/>
      <c r="G403" s="237">
        <v>290000</v>
      </c>
      <c r="H403" s="425"/>
      <c r="I403" s="425"/>
      <c r="J403" s="425"/>
      <c r="K403" s="238">
        <f t="shared" si="48"/>
        <v>290000</v>
      </c>
      <c r="O403" s="558"/>
      <c r="P403" s="558"/>
    </row>
    <row r="404" spans="1:34" s="143" customFormat="1" ht="19.5" hidden="1" customHeight="1">
      <c r="A404" s="232"/>
      <c r="B404" s="239" t="s">
        <v>1415</v>
      </c>
      <c r="C404" s="234"/>
      <c r="D404" s="235"/>
      <c r="E404" s="242"/>
      <c r="F404" s="237"/>
      <c r="G404" s="237">
        <v>150000</v>
      </c>
      <c r="H404" s="425"/>
      <c r="I404" s="425"/>
      <c r="J404" s="425"/>
      <c r="K404" s="238">
        <f t="shared" si="48"/>
        <v>150000</v>
      </c>
      <c r="O404" s="558"/>
      <c r="P404" s="558"/>
    </row>
    <row r="405" spans="1:34" s="143" customFormat="1" ht="19.5" hidden="1" customHeight="1">
      <c r="A405" s="232"/>
      <c r="B405" s="239" t="s">
        <v>1416</v>
      </c>
      <c r="C405" s="234"/>
      <c r="D405" s="235"/>
      <c r="E405" s="242"/>
      <c r="F405" s="237"/>
      <c r="G405" s="237">
        <v>29200</v>
      </c>
      <c r="H405" s="425"/>
      <c r="I405" s="425"/>
      <c r="J405" s="425"/>
      <c r="K405" s="238">
        <f t="shared" si="48"/>
        <v>29200</v>
      </c>
      <c r="O405" s="558"/>
      <c r="P405" s="558"/>
    </row>
    <row r="406" spans="1:34" s="143" customFormat="1" ht="22.35" customHeight="1">
      <c r="A406" s="224" t="s">
        <v>72</v>
      </c>
      <c r="B406" s="239" t="s">
        <v>1417</v>
      </c>
      <c r="C406" s="234"/>
      <c r="D406" s="235"/>
      <c r="E406" s="242"/>
      <c r="F406" s="237">
        <f>SUM(G406:H406)</f>
        <v>1598200</v>
      </c>
      <c r="G406" s="237">
        <f>+(72*12*195)+(306*12*195)+(244*15*195)-20</f>
        <v>1598200</v>
      </c>
      <c r="H406" s="238"/>
      <c r="I406" s="238"/>
      <c r="J406" s="238"/>
      <c r="K406" s="238">
        <f t="shared" si="48"/>
        <v>1598200</v>
      </c>
    </row>
    <row r="407" spans="1:34" s="231" customFormat="1" ht="22.35" customHeight="1">
      <c r="A407" s="224">
        <v>10</v>
      </c>
      <c r="B407" s="225" t="s">
        <v>130</v>
      </c>
      <c r="C407" s="226"/>
      <c r="D407" s="227"/>
      <c r="E407" s="574"/>
      <c r="F407" s="229">
        <f>SUM(G407:H407)</f>
        <v>1167500</v>
      </c>
      <c r="G407" s="229">
        <f>'3.TH-HX'!C26-'7. TH chi xa 25'!C41</f>
        <v>1167500</v>
      </c>
      <c r="H407" s="240"/>
      <c r="I407" s="240"/>
      <c r="J407" s="240"/>
      <c r="K407" s="240">
        <f t="shared" si="48"/>
        <v>1167500</v>
      </c>
    </row>
    <row r="408" spans="1:34" s="231" customFormat="1" ht="22.35" customHeight="1">
      <c r="A408" s="224">
        <v>11</v>
      </c>
      <c r="B408" s="225" t="s">
        <v>152</v>
      </c>
      <c r="C408" s="256"/>
      <c r="D408" s="227"/>
      <c r="E408" s="228">
        <v>0</v>
      </c>
      <c r="F408" s="229">
        <f>SUM(G408:H408)</f>
        <v>125141749.47199999</v>
      </c>
      <c r="G408" s="229">
        <f>+'7. TH chi xa 25'!C15+'7. TH chi xa 25'!C44</f>
        <v>124357449.47199999</v>
      </c>
      <c r="H408" s="240">
        <f>+'7. TH chi xa 25'!C25</f>
        <v>784300</v>
      </c>
      <c r="I408" s="240"/>
      <c r="J408" s="240"/>
      <c r="K408" s="240">
        <f>+G408+I408</f>
        <v>124357449.47199999</v>
      </c>
      <c r="AH408" s="254">
        <f>+G408+G425+G440+G472+G533</f>
        <v>169923339.472</v>
      </c>
    </row>
    <row r="409" spans="1:34" s="231" customFormat="1" ht="22.35" customHeight="1">
      <c r="A409" s="224" t="s">
        <v>179</v>
      </c>
      <c r="B409" s="225" t="s">
        <v>162</v>
      </c>
      <c r="C409" s="226"/>
      <c r="D409" s="227"/>
      <c r="E409" s="574"/>
      <c r="F409" s="229">
        <f>F410</f>
        <v>9020900</v>
      </c>
      <c r="G409" s="229">
        <f>G410</f>
        <v>9020900</v>
      </c>
      <c r="H409" s="230">
        <f>H410</f>
        <v>0</v>
      </c>
      <c r="I409" s="230"/>
      <c r="J409" s="230">
        <f>J410</f>
        <v>0</v>
      </c>
      <c r="K409" s="230">
        <f>K410</f>
        <v>9020900</v>
      </c>
    </row>
    <row r="410" spans="1:34" s="143" customFormat="1" ht="22.35" customHeight="1">
      <c r="A410" s="232">
        <v>1</v>
      </c>
      <c r="B410" s="366" t="s">
        <v>260</v>
      </c>
      <c r="C410" s="234"/>
      <c r="D410" s="235"/>
      <c r="E410" s="575"/>
      <c r="F410" s="237">
        <f>SUM(G410:H410)</f>
        <v>9020900</v>
      </c>
      <c r="G410" s="381">
        <f>11311000-'7. TH chi xa 25'!C42</f>
        <v>9020900</v>
      </c>
      <c r="H410" s="238"/>
      <c r="I410" s="600"/>
      <c r="J410" s="238"/>
      <c r="K410" s="238">
        <f>+G410-J410</f>
        <v>9020900</v>
      </c>
    </row>
    <row r="411" spans="1:34" s="231" customFormat="1" ht="22.35" customHeight="1">
      <c r="A411" s="224" t="s">
        <v>259</v>
      </c>
      <c r="B411" s="225" t="s">
        <v>281</v>
      </c>
      <c r="C411" s="545"/>
      <c r="D411" s="227"/>
      <c r="E411" s="228"/>
      <c r="F411" s="229">
        <f t="shared" ref="F411:K411" si="50">SUM(F412:F413)</f>
        <v>16971187.750080001</v>
      </c>
      <c r="G411" s="229">
        <f t="shared" si="50"/>
        <v>15919587.750080001</v>
      </c>
      <c r="H411" s="229">
        <f t="shared" si="50"/>
        <v>1051600</v>
      </c>
      <c r="I411" s="229">
        <f t="shared" si="50"/>
        <v>700599.87500799901</v>
      </c>
      <c r="J411" s="229">
        <f t="shared" si="50"/>
        <v>0</v>
      </c>
      <c r="K411" s="229">
        <f t="shared" si="50"/>
        <v>15218987.875072002</v>
      </c>
    </row>
    <row r="412" spans="1:34" s="143" customFormat="1" ht="22.35" customHeight="1">
      <c r="A412" s="232">
        <v>1</v>
      </c>
      <c r="B412" s="239" t="s">
        <v>282</v>
      </c>
      <c r="C412" s="777" t="s">
        <v>347</v>
      </c>
      <c r="D412" s="235"/>
      <c r="E412" s="242"/>
      <c r="F412" s="237">
        <f>SUM(G412:H412)</f>
        <v>4300000</v>
      </c>
      <c r="G412" s="237">
        <f>+'6.Vốn đtư,SNKT25'!D61</f>
        <v>4300000</v>
      </c>
      <c r="H412" s="238"/>
      <c r="I412" s="238"/>
      <c r="J412" s="238"/>
      <c r="K412" s="238">
        <f>+G412-I412-J412</f>
        <v>4300000</v>
      </c>
    </row>
    <row r="413" spans="1:34" s="143" customFormat="1" ht="22.35" customHeight="1">
      <c r="A413" s="232">
        <v>2</v>
      </c>
      <c r="B413" s="239" t="s">
        <v>195</v>
      </c>
      <c r="C413" s="777" t="s">
        <v>346</v>
      </c>
      <c r="D413" s="235"/>
      <c r="E413" s="242"/>
      <c r="F413" s="237">
        <f>SUM(G413:H413)</f>
        <v>12671187.750080001</v>
      </c>
      <c r="G413" s="237">
        <f>25000+11594587.75008</f>
        <v>11619587.750080001</v>
      </c>
      <c r="H413" s="425">
        <v>1051600</v>
      </c>
      <c r="I413" s="425">
        <v>700599.87500799901</v>
      </c>
      <c r="J413" s="238"/>
      <c r="K413" s="238">
        <f>+G413-I413-J413</f>
        <v>10918987.875072002</v>
      </c>
      <c r="L413" s="560">
        <f>+K413+K407</f>
        <v>12086487.875072002</v>
      </c>
      <c r="M413" s="560"/>
      <c r="N413" s="560"/>
      <c r="O413" s="560">
        <f>+'3.TH-HX'!C8</f>
        <v>664800000</v>
      </c>
      <c r="P413" s="560"/>
      <c r="Q413" s="560">
        <f>+O413-G9</f>
        <v>0</v>
      </c>
      <c r="U413" s="560"/>
      <c r="X413" s="560"/>
      <c r="AH413" s="558"/>
    </row>
    <row r="414" spans="1:34" s="231" customFormat="1" ht="22.35" customHeight="1">
      <c r="A414" s="419" t="s">
        <v>348</v>
      </c>
      <c r="B414" s="612" t="s">
        <v>460</v>
      </c>
      <c r="C414" s="605"/>
      <c r="D414" s="438"/>
      <c r="E414" s="613"/>
      <c r="F414" s="229" t="e">
        <f>SUM(F415:F418)</f>
        <v>#REF!</v>
      </c>
      <c r="G414" s="229">
        <f t="shared" ref="G414:L414" si="51">+G415+G418</f>
        <v>65610000</v>
      </c>
      <c r="H414" s="229">
        <f t="shared" si="51"/>
        <v>0</v>
      </c>
      <c r="I414" s="229">
        <f t="shared" si="51"/>
        <v>0</v>
      </c>
      <c r="J414" s="229">
        <f t="shared" si="51"/>
        <v>0</v>
      </c>
      <c r="K414" s="229">
        <f t="shared" si="51"/>
        <v>65610000</v>
      </c>
      <c r="L414" s="579">
        <f t="shared" si="51"/>
        <v>0</v>
      </c>
      <c r="M414" s="580"/>
      <c r="N414" s="580"/>
      <c r="O414" s="249"/>
      <c r="P414" s="249"/>
      <c r="AH414" s="387">
        <v>65611000</v>
      </c>
    </row>
    <row r="415" spans="1:34" s="143" customFormat="1" ht="22.35" customHeight="1">
      <c r="A415" s="419" t="s">
        <v>433</v>
      </c>
      <c r="B415" s="394" t="s">
        <v>461</v>
      </c>
      <c r="C415" s="605"/>
      <c r="D415" s="438"/>
      <c r="E415" s="606"/>
      <c r="F415" s="237" t="e">
        <f>+F422+#REF!+F466+#REF!</f>
        <v>#REF!</v>
      </c>
      <c r="G415" s="237">
        <f>SUM(G416:G417)</f>
        <v>63400000</v>
      </c>
      <c r="H415" s="237">
        <f>SUM(H416:H417)</f>
        <v>0</v>
      </c>
      <c r="I415" s="237">
        <f>SUM(I416:I417)</f>
        <v>0</v>
      </c>
      <c r="J415" s="237">
        <f>SUM(J416:J417)</f>
        <v>0</v>
      </c>
      <c r="K415" s="237">
        <f>SUM(K416:K417)</f>
        <v>63400000</v>
      </c>
      <c r="AH415" s="558">
        <f>+AH414-G414</f>
        <v>1000</v>
      </c>
    </row>
    <row r="416" spans="1:34" s="143" customFormat="1" ht="22.35" customHeight="1">
      <c r="A416" s="419"/>
      <c r="B416" s="604" t="s">
        <v>850</v>
      </c>
      <c r="C416" s="605"/>
      <c r="D416" s="438"/>
      <c r="E416" s="606"/>
      <c r="F416" s="237"/>
      <c r="G416" s="237">
        <f t="shared" ref="G416:K417" si="52">+G423+G467+G523+G527</f>
        <v>60314000</v>
      </c>
      <c r="H416" s="237">
        <f t="shared" si="52"/>
        <v>0</v>
      </c>
      <c r="I416" s="237">
        <f t="shared" si="52"/>
        <v>0</v>
      </c>
      <c r="J416" s="237">
        <f t="shared" si="52"/>
        <v>0</v>
      </c>
      <c r="K416" s="237">
        <f t="shared" si="52"/>
        <v>60314000</v>
      </c>
      <c r="AH416" s="558">
        <f>+G465+G525</f>
        <v>62401000</v>
      </c>
    </row>
    <row r="417" spans="1:34" s="143" customFormat="1" ht="22.35" customHeight="1">
      <c r="A417" s="419"/>
      <c r="B417" s="604" t="s">
        <v>657</v>
      </c>
      <c r="C417" s="605"/>
      <c r="D417" s="438"/>
      <c r="E417" s="606"/>
      <c r="F417" s="237"/>
      <c r="G417" s="237">
        <f t="shared" si="52"/>
        <v>3086000</v>
      </c>
      <c r="H417" s="237">
        <f t="shared" si="52"/>
        <v>0</v>
      </c>
      <c r="I417" s="237">
        <f t="shared" si="52"/>
        <v>0</v>
      </c>
      <c r="J417" s="237">
        <f t="shared" si="52"/>
        <v>0</v>
      </c>
      <c r="K417" s="237">
        <f t="shared" si="52"/>
        <v>3086000</v>
      </c>
    </row>
    <row r="418" spans="1:34" s="143" customFormat="1" ht="22.35" customHeight="1">
      <c r="A418" s="419" t="s">
        <v>433</v>
      </c>
      <c r="B418" s="394" t="s">
        <v>462</v>
      </c>
      <c r="C418" s="605"/>
      <c r="D418" s="438"/>
      <c r="E418" s="606"/>
      <c r="F418" s="237" t="e">
        <f>+F431+F444+#REF!+F529</f>
        <v>#REF!</v>
      </c>
      <c r="G418" s="237">
        <f>SUM(G419:G420)</f>
        <v>2210000</v>
      </c>
      <c r="H418" s="237">
        <f>SUM(H419:H420)</f>
        <v>0</v>
      </c>
      <c r="I418" s="237">
        <f>SUM(I419:I420)</f>
        <v>0</v>
      </c>
      <c r="J418" s="237">
        <f>SUM(J419:J420)</f>
        <v>0</v>
      </c>
      <c r="K418" s="237">
        <f>SUM(K419:K420)</f>
        <v>2210000</v>
      </c>
    </row>
    <row r="419" spans="1:34" s="143" customFormat="1" ht="22.35" customHeight="1">
      <c r="A419" s="419"/>
      <c r="B419" s="604" t="s">
        <v>850</v>
      </c>
      <c r="C419" s="605"/>
      <c r="D419" s="438"/>
      <c r="E419" s="606"/>
      <c r="F419" s="237"/>
      <c r="G419" s="237">
        <f>+G432+G445+G476+G530</f>
        <v>2105000</v>
      </c>
      <c r="H419" s="237">
        <f>+H432+H445+H476+H530</f>
        <v>0</v>
      </c>
      <c r="I419" s="237">
        <f>+I432+I445+I476+I530</f>
        <v>0</v>
      </c>
      <c r="J419" s="237">
        <f>+J432+J445+J476+J530</f>
        <v>0</v>
      </c>
      <c r="K419" s="237">
        <f>+K432+K445+K476+K530</f>
        <v>2105000</v>
      </c>
    </row>
    <row r="420" spans="1:34" s="143" customFormat="1" ht="22.35" customHeight="1">
      <c r="A420" s="419"/>
      <c r="B420" s="604" t="s">
        <v>657</v>
      </c>
      <c r="C420" s="605"/>
      <c r="D420" s="438"/>
      <c r="E420" s="606"/>
      <c r="F420" s="237"/>
      <c r="G420" s="237">
        <f>+G433+G446+G477</f>
        <v>105000</v>
      </c>
      <c r="H420" s="237">
        <f>+H433+H446+H477</f>
        <v>0</v>
      </c>
      <c r="I420" s="237">
        <f>+I433+I446+I477</f>
        <v>0</v>
      </c>
      <c r="J420" s="237">
        <f>+J433+J446+J477</f>
        <v>0</v>
      </c>
      <c r="K420" s="237">
        <f>+K433+K446+K477</f>
        <v>105000</v>
      </c>
    </row>
    <row r="421" spans="1:34" s="231" customFormat="1" ht="22.35" customHeight="1">
      <c r="A421" s="419" t="s">
        <v>212</v>
      </c>
      <c r="B421" s="418" t="s">
        <v>822</v>
      </c>
      <c r="C421" s="598"/>
      <c r="D421" s="598"/>
      <c r="E421" s="598"/>
      <c r="F421" s="599">
        <f>SUM(F422:F431)</f>
        <v>3602880</v>
      </c>
      <c r="G421" s="599">
        <f>+G422+G431</f>
        <v>2933440</v>
      </c>
      <c r="H421" s="599">
        <f t="shared" ref="H421:AF421" si="53">+H422+H431</f>
        <v>0</v>
      </c>
      <c r="I421" s="599">
        <f t="shared" si="53"/>
        <v>0</v>
      </c>
      <c r="J421" s="599">
        <f t="shared" si="53"/>
        <v>0</v>
      </c>
      <c r="K421" s="599">
        <f t="shared" si="53"/>
        <v>2933440</v>
      </c>
      <c r="L421" s="599">
        <f t="shared" si="53"/>
        <v>0</v>
      </c>
      <c r="M421" s="599">
        <f t="shared" si="53"/>
        <v>0</v>
      </c>
      <c r="N421" s="599">
        <f t="shared" si="53"/>
        <v>0</v>
      </c>
      <c r="O421" s="599">
        <f t="shared" si="53"/>
        <v>0</v>
      </c>
      <c r="P421" s="599">
        <f t="shared" si="53"/>
        <v>0</v>
      </c>
      <c r="Q421" s="599">
        <f t="shared" si="53"/>
        <v>0</v>
      </c>
      <c r="R421" s="599">
        <f t="shared" si="53"/>
        <v>0</v>
      </c>
      <c r="S421" s="599">
        <f t="shared" si="53"/>
        <v>0</v>
      </c>
      <c r="T421" s="599">
        <f t="shared" si="53"/>
        <v>0</v>
      </c>
      <c r="U421" s="599">
        <f t="shared" si="53"/>
        <v>0</v>
      </c>
      <c r="V421" s="599">
        <f t="shared" si="53"/>
        <v>0</v>
      </c>
      <c r="W421" s="599">
        <f t="shared" si="53"/>
        <v>0</v>
      </c>
      <c r="X421" s="599">
        <f t="shared" si="53"/>
        <v>0</v>
      </c>
      <c r="Y421" s="599">
        <f t="shared" si="53"/>
        <v>0</v>
      </c>
      <c r="Z421" s="599">
        <f t="shared" si="53"/>
        <v>0</v>
      </c>
      <c r="AA421" s="599">
        <f t="shared" si="53"/>
        <v>0</v>
      </c>
      <c r="AB421" s="599">
        <f t="shared" si="53"/>
        <v>0</v>
      </c>
      <c r="AC421" s="599">
        <f t="shared" si="53"/>
        <v>0</v>
      </c>
      <c r="AD421" s="599">
        <f t="shared" si="53"/>
        <v>0</v>
      </c>
      <c r="AE421" s="599">
        <f t="shared" si="53"/>
        <v>0</v>
      </c>
      <c r="AF421" s="599">
        <f t="shared" si="53"/>
        <v>0</v>
      </c>
      <c r="AG421" s="781"/>
      <c r="AH421" s="254">
        <f>+G421+G521</f>
        <v>3209000</v>
      </c>
    </row>
    <row r="422" spans="1:34" s="143" customFormat="1" ht="22.35" customHeight="1">
      <c r="A422" s="419" t="s">
        <v>823</v>
      </c>
      <c r="B422" s="394" t="s">
        <v>461</v>
      </c>
      <c r="C422" s="600"/>
      <c r="D422" s="600"/>
      <c r="E422" s="600"/>
      <c r="F422" s="601">
        <f>SUM(F425:F425)</f>
        <v>696440</v>
      </c>
      <c r="G422" s="601">
        <f>SUM(G423:G424)</f>
        <v>723440</v>
      </c>
      <c r="H422" s="601">
        <f>SUM(H423:H424)</f>
        <v>0</v>
      </c>
      <c r="I422" s="601">
        <f>SUM(I423:I424)</f>
        <v>0</v>
      </c>
      <c r="J422" s="601">
        <f>SUM(J423:J424)</f>
        <v>0</v>
      </c>
      <c r="K422" s="601">
        <f>SUM(K423:K424)</f>
        <v>723440</v>
      </c>
    </row>
    <row r="423" spans="1:34" s="143" customFormat="1" ht="22.35" customHeight="1">
      <c r="A423" s="602"/>
      <c r="B423" s="604" t="s">
        <v>850</v>
      </c>
      <c r="C423" s="600"/>
      <c r="D423" s="600"/>
      <c r="E423" s="600"/>
      <c r="F423" s="601"/>
      <c r="G423" s="601">
        <f t="shared" ref="G423:K424" si="54">+G426+G429</f>
        <v>683050</v>
      </c>
      <c r="H423" s="601">
        <f t="shared" si="54"/>
        <v>0</v>
      </c>
      <c r="I423" s="601">
        <f t="shared" si="54"/>
        <v>0</v>
      </c>
      <c r="J423" s="601">
        <f t="shared" si="54"/>
        <v>0</v>
      </c>
      <c r="K423" s="601">
        <f t="shared" si="54"/>
        <v>683050</v>
      </c>
    </row>
    <row r="424" spans="1:34" s="143" customFormat="1" ht="22.35" customHeight="1">
      <c r="A424" s="602"/>
      <c r="B424" s="604" t="s">
        <v>657</v>
      </c>
      <c r="C424" s="600"/>
      <c r="D424" s="600"/>
      <c r="E424" s="600"/>
      <c r="F424" s="601"/>
      <c r="G424" s="601">
        <f t="shared" si="54"/>
        <v>40390</v>
      </c>
      <c r="H424" s="601">
        <f t="shared" si="54"/>
        <v>0</v>
      </c>
      <c r="I424" s="601">
        <f t="shared" si="54"/>
        <v>0</v>
      </c>
      <c r="J424" s="601">
        <f t="shared" si="54"/>
        <v>0</v>
      </c>
      <c r="K424" s="601">
        <f t="shared" si="54"/>
        <v>40390</v>
      </c>
    </row>
    <row r="425" spans="1:34" s="143" customFormat="1" ht="22.35" customHeight="1">
      <c r="A425" s="602" t="s">
        <v>72</v>
      </c>
      <c r="B425" s="603" t="s">
        <v>129</v>
      </c>
      <c r="C425" s="600"/>
      <c r="D425" s="600"/>
      <c r="E425" s="600"/>
      <c r="F425" s="601">
        <f>SUM(G425:H425)</f>
        <v>696440</v>
      </c>
      <c r="G425" s="601">
        <f>+G426+G427</f>
        <v>696440</v>
      </c>
      <c r="H425" s="601">
        <f>+H426+H427</f>
        <v>0</v>
      </c>
      <c r="I425" s="601">
        <f>+I426+I427</f>
        <v>0</v>
      </c>
      <c r="J425" s="601">
        <f>+J426+J427</f>
        <v>0</v>
      </c>
      <c r="K425" s="601">
        <f>+K426+K427</f>
        <v>696440</v>
      </c>
    </row>
    <row r="426" spans="1:34" s="248" customFormat="1" ht="22.35" customHeight="1">
      <c r="A426" s="602"/>
      <c r="B426" s="604" t="s">
        <v>850</v>
      </c>
      <c r="C426" s="628"/>
      <c r="D426" s="628"/>
      <c r="E426" s="628"/>
      <c r="F426" s="611"/>
      <c r="G426" s="611">
        <v>656050</v>
      </c>
      <c r="H426" s="611"/>
      <c r="I426" s="611"/>
      <c r="J426" s="611"/>
      <c r="K426" s="611">
        <f>+G426</f>
        <v>656050</v>
      </c>
    </row>
    <row r="427" spans="1:34" s="248" customFormat="1" ht="22.35" customHeight="1">
      <c r="A427" s="602"/>
      <c r="B427" s="604" t="s">
        <v>657</v>
      </c>
      <c r="C427" s="628"/>
      <c r="D427" s="628"/>
      <c r="E427" s="628"/>
      <c r="F427" s="611"/>
      <c r="G427" s="611">
        <v>40390</v>
      </c>
      <c r="H427" s="611"/>
      <c r="I427" s="611"/>
      <c r="J427" s="611"/>
      <c r="K427" s="611">
        <f>+G427</f>
        <v>40390</v>
      </c>
    </row>
    <row r="428" spans="1:34" s="248" customFormat="1" ht="22.35" customHeight="1">
      <c r="A428" s="602" t="s">
        <v>1</v>
      </c>
      <c r="B428" s="603" t="s">
        <v>554</v>
      </c>
      <c r="C428" s="628"/>
      <c r="D428" s="628"/>
      <c r="E428" s="628"/>
      <c r="F428" s="611"/>
      <c r="G428" s="611">
        <f>SUM(G429:G430)</f>
        <v>27000</v>
      </c>
      <c r="H428" s="611">
        <f>SUM(H429:H430)</f>
        <v>0</v>
      </c>
      <c r="I428" s="611">
        <f>SUM(I429:I430)</f>
        <v>0</v>
      </c>
      <c r="J428" s="611">
        <f>SUM(J429:J430)</f>
        <v>0</v>
      </c>
      <c r="K428" s="611">
        <f>+G428</f>
        <v>27000</v>
      </c>
    </row>
    <row r="429" spans="1:34" s="248" customFormat="1" ht="22.35" customHeight="1">
      <c r="A429" s="602"/>
      <c r="B429" s="604" t="s">
        <v>850</v>
      </c>
      <c r="C429" s="628"/>
      <c r="D429" s="628"/>
      <c r="E429" s="628"/>
      <c r="F429" s="611"/>
      <c r="G429" s="611">
        <v>27000</v>
      </c>
      <c r="H429" s="611"/>
      <c r="I429" s="611"/>
      <c r="J429" s="611"/>
      <c r="K429" s="611">
        <f>+G429</f>
        <v>27000</v>
      </c>
    </row>
    <row r="430" spans="1:34" s="248" customFormat="1" ht="22.35" customHeight="1">
      <c r="A430" s="602"/>
      <c r="B430" s="604" t="s">
        <v>657</v>
      </c>
      <c r="C430" s="628"/>
      <c r="D430" s="628"/>
      <c r="E430" s="628"/>
      <c r="F430" s="611"/>
      <c r="G430" s="611"/>
      <c r="H430" s="611"/>
      <c r="I430" s="611"/>
      <c r="J430" s="611"/>
      <c r="K430" s="611">
        <f>+G430</f>
        <v>0</v>
      </c>
    </row>
    <row r="431" spans="1:34" s="143" customFormat="1" ht="22.35" customHeight="1">
      <c r="A431" s="419" t="s">
        <v>824</v>
      </c>
      <c r="B431" s="394" t="s">
        <v>462</v>
      </c>
      <c r="C431" s="605"/>
      <c r="D431" s="438"/>
      <c r="E431" s="606"/>
      <c r="F431" s="237">
        <f>SUM(F434:F440)</f>
        <v>2210000</v>
      </c>
      <c r="G431" s="237">
        <f t="shared" ref="G431:L431" si="55">SUM(G432:G433)</f>
        <v>2210000</v>
      </c>
      <c r="H431" s="237">
        <f t="shared" si="55"/>
        <v>0</v>
      </c>
      <c r="I431" s="237">
        <f t="shared" si="55"/>
        <v>0</v>
      </c>
      <c r="J431" s="237">
        <f t="shared" si="55"/>
        <v>0</v>
      </c>
      <c r="K431" s="237">
        <f t="shared" si="55"/>
        <v>2210000</v>
      </c>
      <c r="L431" s="564">
        <f t="shared" si="55"/>
        <v>0</v>
      </c>
      <c r="M431" s="570"/>
      <c r="N431" s="570"/>
    </row>
    <row r="432" spans="1:34" s="143" customFormat="1" ht="22.35" customHeight="1">
      <c r="A432" s="419"/>
      <c r="B432" s="604" t="s">
        <v>850</v>
      </c>
      <c r="C432" s="605"/>
      <c r="D432" s="438"/>
      <c r="E432" s="606"/>
      <c r="F432" s="237"/>
      <c r="G432" s="237">
        <f t="shared" ref="G432:K433" si="56">+G435+G438+G441</f>
        <v>2105000</v>
      </c>
      <c r="H432" s="237">
        <f t="shared" si="56"/>
        <v>0</v>
      </c>
      <c r="I432" s="237">
        <f t="shared" si="56"/>
        <v>0</v>
      </c>
      <c r="J432" s="237">
        <f t="shared" si="56"/>
        <v>0</v>
      </c>
      <c r="K432" s="237">
        <f t="shared" si="56"/>
        <v>2105000</v>
      </c>
    </row>
    <row r="433" spans="1:16" s="143" customFormat="1" ht="22.35" customHeight="1">
      <c r="A433" s="419"/>
      <c r="B433" s="604" t="s">
        <v>657</v>
      </c>
      <c r="C433" s="605"/>
      <c r="D433" s="438"/>
      <c r="E433" s="606"/>
      <c r="F433" s="237"/>
      <c r="G433" s="237">
        <f t="shared" si="56"/>
        <v>105000</v>
      </c>
      <c r="H433" s="237">
        <f t="shared" si="56"/>
        <v>0</v>
      </c>
      <c r="I433" s="237">
        <f t="shared" si="56"/>
        <v>0</v>
      </c>
      <c r="J433" s="237">
        <f t="shared" si="56"/>
        <v>0</v>
      </c>
      <c r="K433" s="237">
        <f t="shared" si="56"/>
        <v>105000</v>
      </c>
    </row>
    <row r="434" spans="1:16" s="248" customFormat="1" ht="22.35" customHeight="1">
      <c r="A434" s="602" t="s">
        <v>72</v>
      </c>
      <c r="B434" s="607" t="s">
        <v>225</v>
      </c>
      <c r="C434" s="608"/>
      <c r="D434" s="609"/>
      <c r="E434" s="610"/>
      <c r="F434" s="247">
        <f>SUM(G434:H434)</f>
        <v>270000</v>
      </c>
      <c r="G434" s="611">
        <f>+G435+G436</f>
        <v>270000</v>
      </c>
      <c r="H434" s="611">
        <f>+H435+H436</f>
        <v>0</v>
      </c>
      <c r="I434" s="611">
        <f>+I435+I436</f>
        <v>0</v>
      </c>
      <c r="J434" s="611">
        <f>+J435+J436</f>
        <v>0</v>
      </c>
      <c r="K434" s="611">
        <f>+K435+K436</f>
        <v>270000</v>
      </c>
    </row>
    <row r="435" spans="1:16" s="248" customFormat="1" ht="22.35" customHeight="1">
      <c r="A435" s="419"/>
      <c r="B435" s="604" t="s">
        <v>850</v>
      </c>
      <c r="C435" s="608"/>
      <c r="D435" s="609"/>
      <c r="E435" s="610"/>
      <c r="F435" s="247"/>
      <c r="G435" s="611">
        <f>238000+19000</f>
        <v>257000</v>
      </c>
      <c r="H435" s="247"/>
      <c r="I435" s="247"/>
      <c r="J435" s="247"/>
      <c r="K435" s="247">
        <f>+G435</f>
        <v>257000</v>
      </c>
    </row>
    <row r="436" spans="1:16" s="248" customFormat="1" ht="22.35" customHeight="1">
      <c r="A436" s="419"/>
      <c r="B436" s="604" t="s">
        <v>657</v>
      </c>
      <c r="C436" s="608"/>
      <c r="D436" s="609"/>
      <c r="E436" s="610"/>
      <c r="F436" s="247"/>
      <c r="G436" s="611">
        <f>1000+12000</f>
        <v>13000</v>
      </c>
      <c r="H436" s="247"/>
      <c r="I436" s="247"/>
      <c r="J436" s="247"/>
      <c r="K436" s="247">
        <f>+G436</f>
        <v>13000</v>
      </c>
    </row>
    <row r="437" spans="1:16" s="248" customFormat="1" ht="22.35" customHeight="1">
      <c r="A437" s="602" t="s">
        <v>72</v>
      </c>
      <c r="B437" s="607" t="s">
        <v>551</v>
      </c>
      <c r="C437" s="608"/>
      <c r="D437" s="609"/>
      <c r="E437" s="610"/>
      <c r="F437" s="247">
        <f>SUM(G437:H437)</f>
        <v>30000</v>
      </c>
      <c r="G437" s="611">
        <f>SUM(G438:G439)</f>
        <v>30000</v>
      </c>
      <c r="H437" s="611">
        <f>SUM(H438:H439)</f>
        <v>0</v>
      </c>
      <c r="I437" s="611">
        <f>SUM(I438:I439)</f>
        <v>0</v>
      </c>
      <c r="J437" s="611">
        <f>SUM(J438:J439)</f>
        <v>0</v>
      </c>
      <c r="K437" s="611">
        <f>SUM(K438:K439)</f>
        <v>30000</v>
      </c>
    </row>
    <row r="438" spans="1:16" s="248" customFormat="1" ht="22.35" customHeight="1">
      <c r="A438" s="602"/>
      <c r="B438" s="604" t="s">
        <v>850</v>
      </c>
      <c r="C438" s="608"/>
      <c r="D438" s="609"/>
      <c r="E438" s="610"/>
      <c r="F438" s="247"/>
      <c r="G438" s="611">
        <v>29000</v>
      </c>
      <c r="H438" s="247"/>
      <c r="I438" s="247"/>
      <c r="J438" s="247"/>
      <c r="K438" s="247">
        <f>+G438</f>
        <v>29000</v>
      </c>
    </row>
    <row r="439" spans="1:16" s="248" customFormat="1" ht="22.35" customHeight="1">
      <c r="A439" s="602"/>
      <c r="B439" s="604" t="s">
        <v>657</v>
      </c>
      <c r="C439" s="608"/>
      <c r="D439" s="609"/>
      <c r="E439" s="610"/>
      <c r="F439" s="247"/>
      <c r="G439" s="611">
        <v>1000</v>
      </c>
      <c r="H439" s="247"/>
      <c r="I439" s="247"/>
      <c r="J439" s="247"/>
      <c r="K439" s="247">
        <f>+G439</f>
        <v>1000</v>
      </c>
    </row>
    <row r="440" spans="1:16" s="248" customFormat="1" ht="22.35" customHeight="1">
      <c r="A440" s="602" t="s">
        <v>72</v>
      </c>
      <c r="B440" s="603" t="s">
        <v>129</v>
      </c>
      <c r="C440" s="608"/>
      <c r="D440" s="609"/>
      <c r="E440" s="610"/>
      <c r="F440" s="247">
        <f>SUM(G440:H440)</f>
        <v>1910000</v>
      </c>
      <c r="G440" s="611">
        <f>SUM(G441:G442)</f>
        <v>1910000</v>
      </c>
      <c r="H440" s="611">
        <f>SUM(H441:H442)</f>
        <v>0</v>
      </c>
      <c r="I440" s="611">
        <f>SUM(I441:I442)</f>
        <v>0</v>
      </c>
      <c r="J440" s="611">
        <f>SUM(J441:J442)</f>
        <v>0</v>
      </c>
      <c r="K440" s="611">
        <f>SUM(K441:K442)</f>
        <v>1910000</v>
      </c>
    </row>
    <row r="441" spans="1:16" s="248" customFormat="1" ht="22.35" customHeight="1">
      <c r="A441" s="602"/>
      <c r="B441" s="604" t="s">
        <v>850</v>
      </c>
      <c r="C441" s="608"/>
      <c r="D441" s="609"/>
      <c r="E441" s="610"/>
      <c r="F441" s="247"/>
      <c r="G441" s="611">
        <v>1819000</v>
      </c>
      <c r="H441" s="247"/>
      <c r="I441" s="247"/>
      <c r="J441" s="247"/>
      <c r="K441" s="247">
        <f>+G441</f>
        <v>1819000</v>
      </c>
    </row>
    <row r="442" spans="1:16" s="248" customFormat="1" ht="22.35" customHeight="1">
      <c r="A442" s="602"/>
      <c r="B442" s="604" t="s">
        <v>657</v>
      </c>
      <c r="C442" s="608"/>
      <c r="D442" s="609"/>
      <c r="E442" s="610"/>
      <c r="F442" s="247"/>
      <c r="G442" s="611">
        <v>91000</v>
      </c>
      <c r="H442" s="247"/>
      <c r="I442" s="247"/>
      <c r="J442" s="247"/>
      <c r="K442" s="247">
        <f>+G442</f>
        <v>91000</v>
      </c>
    </row>
    <row r="443" spans="1:16" s="231" customFormat="1" ht="22.35" customHeight="1">
      <c r="A443" s="419" t="s">
        <v>213</v>
      </c>
      <c r="B443" s="418" t="s">
        <v>535</v>
      </c>
      <c r="C443" s="605"/>
      <c r="D443" s="438"/>
      <c r="E443" s="613"/>
      <c r="F443" s="229">
        <f t="shared" ref="F443:K443" si="57">SUM(F444:F444)</f>
        <v>0</v>
      </c>
      <c r="G443" s="229">
        <f t="shared" si="57"/>
        <v>0</v>
      </c>
      <c r="H443" s="229">
        <f t="shared" si="57"/>
        <v>0</v>
      </c>
      <c r="I443" s="229">
        <f t="shared" si="57"/>
        <v>0</v>
      </c>
      <c r="J443" s="229">
        <f t="shared" si="57"/>
        <v>0</v>
      </c>
      <c r="K443" s="229">
        <f t="shared" si="57"/>
        <v>0</v>
      </c>
    </row>
    <row r="444" spans="1:16" s="143" customFormat="1" ht="22.35" customHeight="1">
      <c r="A444" s="419" t="s">
        <v>433</v>
      </c>
      <c r="B444" s="394" t="s">
        <v>462</v>
      </c>
      <c r="C444" s="605"/>
      <c r="D444" s="438"/>
      <c r="E444" s="606"/>
      <c r="F444" s="237">
        <f>SUM(F447:F462)</f>
        <v>0</v>
      </c>
      <c r="G444" s="237">
        <f>+G445+G446</f>
        <v>0</v>
      </c>
      <c r="H444" s="237">
        <f>+H445+H446</f>
        <v>0</v>
      </c>
      <c r="I444" s="237">
        <f>+I445+I446</f>
        <v>0</v>
      </c>
      <c r="J444" s="237">
        <f>+J445+J446</f>
        <v>0</v>
      </c>
      <c r="K444" s="237">
        <f>+K445+K446</f>
        <v>0</v>
      </c>
    </row>
    <row r="445" spans="1:16" s="143" customFormat="1" ht="22.35" hidden="1" customHeight="1">
      <c r="A445" s="419"/>
      <c r="B445" s="604" t="s">
        <v>850</v>
      </c>
      <c r="C445" s="605"/>
      <c r="D445" s="438"/>
      <c r="E445" s="606"/>
      <c r="F445" s="237"/>
      <c r="G445" s="237">
        <f t="shared" ref="G445:K446" si="58">+G448+G451+G454+G457+G460+G463</f>
        <v>0</v>
      </c>
      <c r="H445" s="237">
        <f t="shared" si="58"/>
        <v>0</v>
      </c>
      <c r="I445" s="237">
        <f t="shared" si="58"/>
        <v>0</v>
      </c>
      <c r="J445" s="237">
        <f t="shared" si="58"/>
        <v>0</v>
      </c>
      <c r="K445" s="237">
        <f t="shared" si="58"/>
        <v>0</v>
      </c>
    </row>
    <row r="446" spans="1:16" s="143" customFormat="1" ht="22.35" hidden="1" customHeight="1">
      <c r="A446" s="419"/>
      <c r="B446" s="604" t="s">
        <v>657</v>
      </c>
      <c r="C446" s="605"/>
      <c r="D446" s="438"/>
      <c r="E446" s="606"/>
      <c r="F446" s="237"/>
      <c r="G446" s="237">
        <f t="shared" si="58"/>
        <v>0</v>
      </c>
      <c r="H446" s="237">
        <f t="shared" si="58"/>
        <v>0</v>
      </c>
      <c r="I446" s="237">
        <f t="shared" si="58"/>
        <v>0</v>
      </c>
      <c r="J446" s="237">
        <f t="shared" si="58"/>
        <v>0</v>
      </c>
      <c r="K446" s="237">
        <f t="shared" si="58"/>
        <v>0</v>
      </c>
    </row>
    <row r="447" spans="1:16" s="248" customFormat="1" ht="22.35" hidden="1" customHeight="1">
      <c r="A447" s="602" t="s">
        <v>1</v>
      </c>
      <c r="B447" s="603" t="s">
        <v>814</v>
      </c>
      <c r="C447" s="608"/>
      <c r="D447" s="609"/>
      <c r="E447" s="610"/>
      <c r="F447" s="247">
        <f>SUM(G447:H447)</f>
        <v>0</v>
      </c>
      <c r="G447" s="247">
        <f>SUM(G448:G449)</f>
        <v>0</v>
      </c>
      <c r="H447" s="247">
        <f>SUM(H448:H449)</f>
        <v>0</v>
      </c>
      <c r="I447" s="247">
        <f>SUM(I448:I449)</f>
        <v>0</v>
      </c>
      <c r="J447" s="247">
        <f>SUM(J448:J449)</f>
        <v>0</v>
      </c>
      <c r="K447" s="247">
        <f>SUM(K448:K449)</f>
        <v>0</v>
      </c>
      <c r="O447" s="621"/>
      <c r="P447" s="621"/>
    </row>
    <row r="448" spans="1:16" s="248" customFormat="1" ht="22.35" hidden="1" customHeight="1">
      <c r="A448" s="602"/>
      <c r="B448" s="604" t="s">
        <v>850</v>
      </c>
      <c r="C448" s="608"/>
      <c r="D448" s="609"/>
      <c r="E448" s="610"/>
      <c r="F448" s="247"/>
      <c r="G448" s="247"/>
      <c r="H448" s="429"/>
      <c r="I448" s="429"/>
      <c r="J448" s="429"/>
      <c r="K448" s="429">
        <f>+G448</f>
        <v>0</v>
      </c>
    </row>
    <row r="449" spans="1:11" s="248" customFormat="1" ht="22.35" hidden="1" customHeight="1">
      <c r="A449" s="602"/>
      <c r="B449" s="604" t="s">
        <v>657</v>
      </c>
      <c r="C449" s="608"/>
      <c r="D449" s="609"/>
      <c r="E449" s="610"/>
      <c r="F449" s="247"/>
      <c r="G449" s="247"/>
      <c r="H449" s="429"/>
      <c r="I449" s="429"/>
      <c r="J449" s="429"/>
      <c r="K449" s="429">
        <f>+G449</f>
        <v>0</v>
      </c>
    </row>
    <row r="450" spans="1:11" s="248" customFormat="1" ht="22.35" hidden="1" customHeight="1">
      <c r="A450" s="602" t="s">
        <v>1</v>
      </c>
      <c r="B450" s="603" t="s">
        <v>547</v>
      </c>
      <c r="C450" s="608"/>
      <c r="D450" s="609"/>
      <c r="E450" s="610"/>
      <c r="F450" s="247">
        <f>SUM(G450:H450)</f>
        <v>0</v>
      </c>
      <c r="G450" s="247">
        <f>SUM(G451:G452)</f>
        <v>0</v>
      </c>
      <c r="H450" s="247">
        <f>SUM(H451:H452)</f>
        <v>0</v>
      </c>
      <c r="I450" s="247">
        <f>SUM(I451:I452)</f>
        <v>0</v>
      </c>
      <c r="J450" s="247">
        <f>SUM(J451:J452)</f>
        <v>0</v>
      </c>
      <c r="K450" s="247">
        <f>SUM(K451:K452)</f>
        <v>0</v>
      </c>
    </row>
    <row r="451" spans="1:11" s="248" customFormat="1" ht="22.35" hidden="1" customHeight="1">
      <c r="A451" s="602"/>
      <c r="B451" s="604" t="s">
        <v>656</v>
      </c>
      <c r="C451" s="608"/>
      <c r="D451" s="609"/>
      <c r="E451" s="610"/>
      <c r="F451" s="247"/>
      <c r="G451" s="622"/>
      <c r="H451" s="623"/>
      <c r="I451" s="429"/>
      <c r="J451" s="429"/>
      <c r="K451" s="429">
        <f>+G451</f>
        <v>0</v>
      </c>
    </row>
    <row r="452" spans="1:11" s="248" customFormat="1" ht="22.35" hidden="1" customHeight="1">
      <c r="A452" s="602"/>
      <c r="B452" s="604" t="s">
        <v>657</v>
      </c>
      <c r="C452" s="608"/>
      <c r="D452" s="609"/>
      <c r="E452" s="610"/>
      <c r="F452" s="247"/>
      <c r="G452" s="247"/>
      <c r="H452" s="429"/>
      <c r="I452" s="429"/>
      <c r="J452" s="429"/>
      <c r="K452" s="429">
        <f>+G452</f>
        <v>0</v>
      </c>
    </row>
    <row r="453" spans="1:11" s="248" customFormat="1" ht="22.35" hidden="1" customHeight="1">
      <c r="A453" s="602" t="s">
        <v>1</v>
      </c>
      <c r="B453" s="603" t="s">
        <v>552</v>
      </c>
      <c r="C453" s="608"/>
      <c r="D453" s="609"/>
      <c r="E453" s="610"/>
      <c r="F453" s="247">
        <f>SUM(G453:H453)</f>
        <v>0</v>
      </c>
      <c r="G453" s="247">
        <f>SUM(G454:G455)</f>
        <v>0</v>
      </c>
      <c r="H453" s="247">
        <f>SUM(H454:H455)</f>
        <v>0</v>
      </c>
      <c r="I453" s="247">
        <f>SUM(I454:I455)</f>
        <v>0</v>
      </c>
      <c r="J453" s="247">
        <f>SUM(J454:J455)</f>
        <v>0</v>
      </c>
      <c r="K453" s="247">
        <f>SUM(K454:K455)</f>
        <v>0</v>
      </c>
    </row>
    <row r="454" spans="1:11" s="248" customFormat="1" ht="22.35" hidden="1" customHeight="1">
      <c r="A454" s="602"/>
      <c r="B454" s="604" t="s">
        <v>850</v>
      </c>
      <c r="C454" s="608"/>
      <c r="D454" s="609"/>
      <c r="E454" s="610"/>
      <c r="F454" s="247"/>
      <c r="G454" s="247"/>
      <c r="H454" s="429"/>
      <c r="I454" s="429"/>
      <c r="J454" s="429"/>
      <c r="K454" s="429">
        <f>+G454</f>
        <v>0</v>
      </c>
    </row>
    <row r="455" spans="1:11" s="248" customFormat="1" ht="22.35" hidden="1" customHeight="1">
      <c r="A455" s="602"/>
      <c r="B455" s="604" t="s">
        <v>657</v>
      </c>
      <c r="C455" s="608"/>
      <c r="D455" s="609"/>
      <c r="E455" s="610"/>
      <c r="F455" s="247"/>
      <c r="G455" s="247"/>
      <c r="H455" s="429"/>
      <c r="I455" s="429"/>
      <c r="J455" s="429"/>
      <c r="K455" s="429">
        <f>+G455</f>
        <v>0</v>
      </c>
    </row>
    <row r="456" spans="1:11" s="248" customFormat="1" ht="22.35" hidden="1" customHeight="1">
      <c r="A456" s="602" t="s">
        <v>1</v>
      </c>
      <c r="B456" s="603" t="s">
        <v>553</v>
      </c>
      <c r="C456" s="608"/>
      <c r="D456" s="609"/>
      <c r="E456" s="610"/>
      <c r="F456" s="247">
        <f>SUM(G456:H456)</f>
        <v>0</v>
      </c>
      <c r="G456" s="247">
        <f>SUM(G457:G458)</f>
        <v>0</v>
      </c>
      <c r="H456" s="247">
        <f>SUM(H457:H458)</f>
        <v>0</v>
      </c>
      <c r="I456" s="247">
        <f>SUM(I457:I458)</f>
        <v>0</v>
      </c>
      <c r="J456" s="247">
        <f>SUM(J457:J458)</f>
        <v>0</v>
      </c>
      <c r="K456" s="247">
        <f>SUM(K457:K458)</f>
        <v>0</v>
      </c>
    </row>
    <row r="457" spans="1:11" s="248" customFormat="1" ht="22.35" hidden="1" customHeight="1">
      <c r="A457" s="602"/>
      <c r="B457" s="604" t="s">
        <v>850</v>
      </c>
      <c r="C457" s="608"/>
      <c r="D457" s="609"/>
      <c r="E457" s="610"/>
      <c r="F457" s="247"/>
      <c r="G457" s="247"/>
      <c r="H457" s="429"/>
      <c r="I457" s="429"/>
      <c r="J457" s="429"/>
      <c r="K457" s="429">
        <f>+G457</f>
        <v>0</v>
      </c>
    </row>
    <row r="458" spans="1:11" s="248" customFormat="1" ht="22.35" hidden="1" customHeight="1">
      <c r="A458" s="602"/>
      <c r="B458" s="604" t="s">
        <v>657</v>
      </c>
      <c r="C458" s="608"/>
      <c r="D458" s="609"/>
      <c r="E458" s="610"/>
      <c r="F458" s="247"/>
      <c r="G458" s="247"/>
      <c r="H458" s="429"/>
      <c r="I458" s="429"/>
      <c r="J458" s="429"/>
      <c r="K458" s="429">
        <f>+G458</f>
        <v>0</v>
      </c>
    </row>
    <row r="459" spans="1:11" s="248" customFormat="1" ht="22.35" hidden="1" customHeight="1">
      <c r="A459" s="602" t="s">
        <v>1</v>
      </c>
      <c r="B459" s="603" t="s">
        <v>658</v>
      </c>
      <c r="C459" s="608"/>
      <c r="D459" s="609"/>
      <c r="E459" s="610"/>
      <c r="F459" s="247">
        <f>SUM(G459:H459)</f>
        <v>0</v>
      </c>
      <c r="G459" s="247">
        <f>SUM(G460:G461)</f>
        <v>0</v>
      </c>
      <c r="H459" s="247">
        <f>SUM(H460:H461)</f>
        <v>0</v>
      </c>
      <c r="I459" s="247">
        <f>SUM(I460:I461)</f>
        <v>0</v>
      </c>
      <c r="J459" s="247">
        <f>SUM(J460:J461)</f>
        <v>0</v>
      </c>
      <c r="K459" s="247">
        <f>SUM(K460:K461)</f>
        <v>0</v>
      </c>
    </row>
    <row r="460" spans="1:11" s="248" customFormat="1" ht="22.35" hidden="1" customHeight="1">
      <c r="A460" s="602"/>
      <c r="B460" s="604" t="s">
        <v>850</v>
      </c>
      <c r="C460" s="608"/>
      <c r="D460" s="609"/>
      <c r="E460" s="610"/>
      <c r="F460" s="247"/>
      <c r="G460" s="247"/>
      <c r="H460" s="429"/>
      <c r="I460" s="429"/>
      <c r="J460" s="429"/>
      <c r="K460" s="429">
        <f>+G460</f>
        <v>0</v>
      </c>
    </row>
    <row r="461" spans="1:11" s="248" customFormat="1" ht="22.35" hidden="1" customHeight="1">
      <c r="A461" s="602"/>
      <c r="B461" s="604" t="s">
        <v>657</v>
      </c>
      <c r="C461" s="608"/>
      <c r="D461" s="609"/>
      <c r="E461" s="610"/>
      <c r="F461" s="247"/>
      <c r="G461" s="247"/>
      <c r="H461" s="429"/>
      <c r="I461" s="429"/>
      <c r="J461" s="429"/>
      <c r="K461" s="429">
        <f>+G461</f>
        <v>0</v>
      </c>
    </row>
    <row r="462" spans="1:11" s="248" customFormat="1" ht="22.35" hidden="1" customHeight="1">
      <c r="A462" s="602" t="s">
        <v>1</v>
      </c>
      <c r="B462" s="603" t="s">
        <v>129</v>
      </c>
      <c r="C462" s="608"/>
      <c r="D462" s="609"/>
      <c r="E462" s="610"/>
      <c r="F462" s="247">
        <f>SUM(G462:H462)</f>
        <v>0</v>
      </c>
      <c r="G462" s="247">
        <f>SUM(G463:G464)</f>
        <v>0</v>
      </c>
      <c r="H462" s="247">
        <f>SUM(H463:H464)</f>
        <v>0</v>
      </c>
      <c r="I462" s="247">
        <f>SUM(I463:I464)</f>
        <v>0</v>
      </c>
      <c r="J462" s="247">
        <f>SUM(J463:J464)</f>
        <v>0</v>
      </c>
      <c r="K462" s="247">
        <f>SUM(K463:K464)</f>
        <v>0</v>
      </c>
    </row>
    <row r="463" spans="1:11" s="248" customFormat="1" ht="22.35" hidden="1" customHeight="1">
      <c r="A463" s="602"/>
      <c r="B463" s="604" t="s">
        <v>850</v>
      </c>
      <c r="C463" s="608"/>
      <c r="D463" s="609"/>
      <c r="E463" s="610"/>
      <c r="F463" s="247"/>
      <c r="G463" s="247"/>
      <c r="H463" s="429"/>
      <c r="I463" s="429"/>
      <c r="J463" s="429"/>
      <c r="K463" s="429">
        <f>+G463</f>
        <v>0</v>
      </c>
    </row>
    <row r="464" spans="1:11" s="248" customFormat="1" ht="22.35" hidden="1" customHeight="1">
      <c r="A464" s="602"/>
      <c r="B464" s="604" t="s">
        <v>657</v>
      </c>
      <c r="C464" s="608"/>
      <c r="D464" s="609"/>
      <c r="E464" s="610"/>
      <c r="F464" s="247"/>
      <c r="G464" s="247"/>
      <c r="H464" s="429"/>
      <c r="I464" s="429"/>
      <c r="J464" s="429"/>
      <c r="K464" s="429">
        <f>+G464</f>
        <v>0</v>
      </c>
    </row>
    <row r="465" spans="1:47" s="231" customFormat="1" ht="35.450000000000003" customHeight="1">
      <c r="A465" s="419" t="s">
        <v>214</v>
      </c>
      <c r="B465" s="418" t="s">
        <v>595</v>
      </c>
      <c r="C465" s="605"/>
      <c r="D465" s="438"/>
      <c r="E465" s="613"/>
      <c r="F465" s="229" t="e">
        <f>+F466+#REF!</f>
        <v>#REF!</v>
      </c>
      <c r="G465" s="229">
        <f>+G466+G475</f>
        <v>44979550</v>
      </c>
      <c r="H465" s="229">
        <f>+H466+H475</f>
        <v>0</v>
      </c>
      <c r="I465" s="229">
        <f>+I466+I475</f>
        <v>0</v>
      </c>
      <c r="J465" s="229">
        <f>+J466+J475</f>
        <v>0</v>
      </c>
      <c r="K465" s="229">
        <f>+K466+K475</f>
        <v>44979550</v>
      </c>
    </row>
    <row r="466" spans="1:47" s="143" customFormat="1" ht="21.6" customHeight="1">
      <c r="A466" s="386" t="s">
        <v>825</v>
      </c>
      <c r="B466" s="394" t="s">
        <v>461</v>
      </c>
      <c r="C466" s="605"/>
      <c r="D466" s="438"/>
      <c r="E466" s="606"/>
      <c r="F466" s="237">
        <f>SUM(F478:F478)</f>
        <v>0</v>
      </c>
      <c r="G466" s="237">
        <f>SUM(G467:G468)</f>
        <v>44979550</v>
      </c>
      <c r="H466" s="237">
        <f>SUM(H467:H468)</f>
        <v>0</v>
      </c>
      <c r="I466" s="237">
        <f>SUM(I467:I468)</f>
        <v>0</v>
      </c>
      <c r="J466" s="237">
        <f>SUM(J467:J468)</f>
        <v>0</v>
      </c>
      <c r="K466" s="237">
        <f>SUM(K467:K468)</f>
        <v>44979550</v>
      </c>
    </row>
    <row r="467" spans="1:47" s="248" customFormat="1" ht="21.6" customHeight="1">
      <c r="A467" s="602"/>
      <c r="B467" s="604" t="s">
        <v>850</v>
      </c>
      <c r="C467" s="608"/>
      <c r="D467" s="609"/>
      <c r="E467" s="610"/>
      <c r="F467" s="247"/>
      <c r="G467" s="247">
        <f>+G470+G473</f>
        <v>42745890</v>
      </c>
      <c r="H467" s="247"/>
      <c r="I467" s="247"/>
      <c r="J467" s="247"/>
      <c r="K467" s="247">
        <f>+G467</f>
        <v>42745890</v>
      </c>
    </row>
    <row r="468" spans="1:47" s="248" customFormat="1" ht="21.6" customHeight="1">
      <c r="A468" s="602"/>
      <c r="B468" s="604" t="s">
        <v>657</v>
      </c>
      <c r="C468" s="608"/>
      <c r="D468" s="609"/>
      <c r="E468" s="610"/>
      <c r="F468" s="247"/>
      <c r="G468" s="247">
        <f>+G471+G474</f>
        <v>2233660</v>
      </c>
      <c r="H468" s="247"/>
      <c r="I468" s="247"/>
      <c r="J468" s="247"/>
      <c r="K468" s="247">
        <f>+G468</f>
        <v>2233660</v>
      </c>
    </row>
    <row r="469" spans="1:47" s="248" customFormat="1" ht="21.6" customHeight="1">
      <c r="A469" s="602" t="s">
        <v>1</v>
      </c>
      <c r="B469" s="603" t="s">
        <v>554</v>
      </c>
      <c r="C469" s="608"/>
      <c r="D469" s="609"/>
      <c r="E469" s="610"/>
      <c r="F469" s="247">
        <f>SUM(G469:H469)</f>
        <v>2220100</v>
      </c>
      <c r="G469" s="247">
        <f>+G470+G471</f>
        <v>2220100</v>
      </c>
      <c r="H469" s="247">
        <f>+H470+H471</f>
        <v>0</v>
      </c>
      <c r="I469" s="247">
        <f>+I470+I471</f>
        <v>0</v>
      </c>
      <c r="J469" s="247">
        <f>+J470+J471</f>
        <v>0</v>
      </c>
      <c r="K469" s="247">
        <f>+K470+K471</f>
        <v>2220100</v>
      </c>
    </row>
    <row r="470" spans="1:47" s="248" customFormat="1" ht="21.6" customHeight="1">
      <c r="A470" s="602"/>
      <c r="B470" s="604" t="s">
        <v>850</v>
      </c>
      <c r="C470" s="608"/>
      <c r="D470" s="609"/>
      <c r="E470" s="610"/>
      <c r="F470" s="247"/>
      <c r="G470" s="247">
        <v>2194000</v>
      </c>
      <c r="H470" s="247"/>
      <c r="I470" s="247"/>
      <c r="J470" s="247"/>
      <c r="K470" s="247">
        <f>+G470</f>
        <v>2194000</v>
      </c>
      <c r="AT470" s="248">
        <v>2194</v>
      </c>
      <c r="AU470" s="248">
        <v>26.099999999999994</v>
      </c>
    </row>
    <row r="471" spans="1:47" s="248" customFormat="1" ht="21.6" customHeight="1">
      <c r="A471" s="602"/>
      <c r="B471" s="604" t="s">
        <v>657</v>
      </c>
      <c r="C471" s="608"/>
      <c r="D471" s="609"/>
      <c r="E471" s="610"/>
      <c r="F471" s="247"/>
      <c r="G471" s="247">
        <v>26100</v>
      </c>
      <c r="H471" s="247"/>
      <c r="I471" s="247"/>
      <c r="J471" s="247"/>
      <c r="K471" s="247">
        <f>+G471</f>
        <v>26100</v>
      </c>
    </row>
    <row r="472" spans="1:47" s="248" customFormat="1" ht="21.6" customHeight="1">
      <c r="A472" s="602" t="s">
        <v>1</v>
      </c>
      <c r="B472" s="603" t="s">
        <v>129</v>
      </c>
      <c r="C472" s="608"/>
      <c r="D472" s="609"/>
      <c r="E472" s="610"/>
      <c r="F472" s="247"/>
      <c r="G472" s="247">
        <f>SUM(G473:G474)</f>
        <v>42759450</v>
      </c>
      <c r="H472" s="247">
        <f>SUM(H473:H474)</f>
        <v>0</v>
      </c>
      <c r="I472" s="247">
        <f>SUM(I473:I474)</f>
        <v>0</v>
      </c>
      <c r="J472" s="247">
        <f>SUM(J473:J474)</f>
        <v>0</v>
      </c>
      <c r="K472" s="247">
        <f>SUM(K473:K474)</f>
        <v>42759450</v>
      </c>
    </row>
    <row r="473" spans="1:47" s="248" customFormat="1" ht="21.6" customHeight="1">
      <c r="A473" s="602"/>
      <c r="B473" s="604" t="s">
        <v>850</v>
      </c>
      <c r="C473" s="608"/>
      <c r="D473" s="609"/>
      <c r="E473" s="610"/>
      <c r="F473" s="247"/>
      <c r="G473" s="247">
        <f>59373000-G470-G527</f>
        <v>40551890</v>
      </c>
      <c r="H473" s="247"/>
      <c r="I473" s="247"/>
      <c r="J473" s="247"/>
      <c r="K473" s="247">
        <f>+G473</f>
        <v>40551890</v>
      </c>
      <c r="AT473" s="991">
        <v>40551.89</v>
      </c>
      <c r="AU473" s="991">
        <v>2207.56</v>
      </c>
    </row>
    <row r="474" spans="1:47" s="248" customFormat="1" ht="21.6" customHeight="1">
      <c r="A474" s="602"/>
      <c r="B474" s="604" t="s">
        <v>657</v>
      </c>
      <c r="C474" s="608"/>
      <c r="D474" s="609"/>
      <c r="E474" s="610"/>
      <c r="F474" s="247"/>
      <c r="G474" s="247">
        <f>3028000-G471-G528</f>
        <v>2207560</v>
      </c>
      <c r="H474" s="247"/>
      <c r="I474" s="247"/>
      <c r="J474" s="247"/>
      <c r="K474" s="247">
        <f>+G474</f>
        <v>2207560</v>
      </c>
    </row>
    <row r="475" spans="1:47" s="143" customFormat="1" ht="21.6" customHeight="1">
      <c r="A475" s="386" t="s">
        <v>826</v>
      </c>
      <c r="B475" s="394" t="s">
        <v>462</v>
      </c>
      <c r="C475" s="605"/>
      <c r="D475" s="438"/>
      <c r="E475" s="606"/>
      <c r="F475" s="237"/>
      <c r="G475" s="237">
        <f>SUM(G476:G477)</f>
        <v>0</v>
      </c>
      <c r="H475" s="237">
        <f>SUM(H476:H477)</f>
        <v>0</v>
      </c>
      <c r="I475" s="237">
        <f>SUM(I476:I477)</f>
        <v>0</v>
      </c>
      <c r="J475" s="237">
        <f>SUM(J476:J477)</f>
        <v>0</v>
      </c>
      <c r="K475" s="237">
        <f>SUM(K476:K477)</f>
        <v>0</v>
      </c>
      <c r="O475" s="987" t="s">
        <v>747</v>
      </c>
      <c r="P475" s="987"/>
    </row>
    <row r="476" spans="1:47" s="143" customFormat="1" ht="21.6" hidden="1" customHeight="1">
      <c r="A476" s="419"/>
      <c r="B476" s="604" t="s">
        <v>850</v>
      </c>
      <c r="C476" s="605"/>
      <c r="D476" s="438"/>
      <c r="E476" s="606"/>
      <c r="F476" s="237"/>
      <c r="G476" s="237">
        <f t="shared" ref="G476:K477" si="59">+G479+G482+G485+G488+G491+G494+G497+G500+G503+G506+G509+G512+G515+G518</f>
        <v>0</v>
      </c>
      <c r="H476" s="237">
        <f t="shared" si="59"/>
        <v>0</v>
      </c>
      <c r="I476" s="237">
        <f t="shared" si="59"/>
        <v>0</v>
      </c>
      <c r="J476" s="237">
        <f t="shared" si="59"/>
        <v>0</v>
      </c>
      <c r="K476" s="237">
        <f t="shared" si="59"/>
        <v>0</v>
      </c>
      <c r="M476" s="564">
        <v>45427000</v>
      </c>
      <c r="N476" s="570">
        <f>+M476-K476</f>
        <v>45427000</v>
      </c>
    </row>
    <row r="477" spans="1:47" s="143" customFormat="1" ht="21.6" hidden="1" customHeight="1">
      <c r="A477" s="419"/>
      <c r="B477" s="604" t="s">
        <v>657</v>
      </c>
      <c r="C477" s="605"/>
      <c r="D477" s="438"/>
      <c r="E477" s="606"/>
      <c r="F477" s="237"/>
      <c r="G477" s="237">
        <f t="shared" si="59"/>
        <v>0</v>
      </c>
      <c r="H477" s="237">
        <f t="shared" si="59"/>
        <v>0</v>
      </c>
      <c r="I477" s="237">
        <f t="shared" si="59"/>
        <v>0</v>
      </c>
      <c r="J477" s="237">
        <f t="shared" si="59"/>
        <v>0</v>
      </c>
      <c r="K477" s="237">
        <f t="shared" si="59"/>
        <v>0</v>
      </c>
      <c r="M477" s="564">
        <v>2331000</v>
      </c>
      <c r="N477" s="570">
        <f>+M477-K477</f>
        <v>2331000</v>
      </c>
      <c r="O477" s="624"/>
      <c r="P477" s="624"/>
    </row>
    <row r="478" spans="1:47" s="248" customFormat="1" ht="21.6" hidden="1" customHeight="1">
      <c r="A478" s="602" t="s">
        <v>1</v>
      </c>
      <c r="B478" s="625" t="s">
        <v>828</v>
      </c>
      <c r="C478" s="608"/>
      <c r="D478" s="609"/>
      <c r="E478" s="610"/>
      <c r="F478" s="237">
        <f>SUM(G478:H478)</f>
        <v>0</v>
      </c>
      <c r="G478" s="247">
        <f>SUM(G479:G480)</f>
        <v>0</v>
      </c>
      <c r="H478" s="247">
        <f>SUM(H479:H480)</f>
        <v>0</v>
      </c>
      <c r="I478" s="247">
        <f>SUM(I479:I480)</f>
        <v>0</v>
      </c>
      <c r="J478" s="247">
        <f>SUM(J479:J480)</f>
        <v>0</v>
      </c>
      <c r="K478" s="247">
        <f>SUM(K479:K480)</f>
        <v>0</v>
      </c>
      <c r="M478" s="626">
        <f>+G478+G481+G484+G487+G490+G493+G496+G499+G502+G505+G508+G511+G514</f>
        <v>0</v>
      </c>
      <c r="O478" s="627"/>
      <c r="P478" s="627"/>
    </row>
    <row r="479" spans="1:47" s="248" customFormat="1" ht="21.6" hidden="1" customHeight="1">
      <c r="A479" s="602"/>
      <c r="B479" s="604" t="s">
        <v>850</v>
      </c>
      <c r="C479" s="608"/>
      <c r="D479" s="609"/>
      <c r="E479" s="610"/>
      <c r="F479" s="237"/>
      <c r="G479" s="247"/>
      <c r="H479" s="429"/>
      <c r="I479" s="429"/>
      <c r="J479" s="429"/>
      <c r="K479" s="429">
        <f>+G479</f>
        <v>0</v>
      </c>
      <c r="O479" s="627"/>
      <c r="P479" s="627"/>
    </row>
    <row r="480" spans="1:47" s="248" customFormat="1" ht="21.6" hidden="1" customHeight="1">
      <c r="A480" s="602"/>
      <c r="B480" s="604" t="s">
        <v>657</v>
      </c>
      <c r="C480" s="608"/>
      <c r="D480" s="609"/>
      <c r="E480" s="610"/>
      <c r="F480" s="237"/>
      <c r="G480" s="247"/>
      <c r="H480" s="429"/>
      <c r="I480" s="429"/>
      <c r="J480" s="429"/>
      <c r="K480" s="429">
        <f>+G480</f>
        <v>0</v>
      </c>
      <c r="O480" s="627"/>
      <c r="P480" s="627"/>
    </row>
    <row r="481" spans="1:14" s="248" customFormat="1" ht="21.6" hidden="1" customHeight="1">
      <c r="A481" s="602" t="s">
        <v>1</v>
      </c>
      <c r="B481" s="625" t="s">
        <v>827</v>
      </c>
      <c r="C481" s="628"/>
      <c r="D481" s="628"/>
      <c r="E481" s="628"/>
      <c r="F481" s="247">
        <f>SUM(G481:H481)</f>
        <v>0</v>
      </c>
      <c r="G481" s="247">
        <f>SUM(G482:G483)</f>
        <v>0</v>
      </c>
      <c r="H481" s="247">
        <f>SUM(H482:H483)</f>
        <v>0</v>
      </c>
      <c r="I481" s="247">
        <f>SUM(I482:I483)</f>
        <v>0</v>
      </c>
      <c r="J481" s="247">
        <f>SUM(J482:J483)</f>
        <v>0</v>
      </c>
      <c r="K481" s="247">
        <f>SUM(K482:K483)</f>
        <v>0</v>
      </c>
      <c r="L481" s="626" t="e">
        <f>+#REF!-#REF!</f>
        <v>#REF!</v>
      </c>
      <c r="M481" s="626"/>
      <c r="N481" s="626"/>
    </row>
    <row r="482" spans="1:14" s="248" customFormat="1" ht="21.6" hidden="1" customHeight="1">
      <c r="A482" s="602"/>
      <c r="B482" s="604" t="s">
        <v>850</v>
      </c>
      <c r="C482" s="628"/>
      <c r="D482" s="628"/>
      <c r="E482" s="628"/>
      <c r="F482" s="247"/>
      <c r="G482" s="247"/>
      <c r="H482" s="628"/>
      <c r="I482" s="628"/>
      <c r="J482" s="628"/>
      <c r="K482" s="429">
        <f t="shared" ref="K482:K507" si="60">+G482</f>
        <v>0</v>
      </c>
      <c r="L482" s="626"/>
      <c r="M482" s="626"/>
      <c r="N482" s="626"/>
    </row>
    <row r="483" spans="1:14" s="248" customFormat="1" ht="21.6" hidden="1" customHeight="1">
      <c r="A483" s="602"/>
      <c r="B483" s="604" t="s">
        <v>657</v>
      </c>
      <c r="C483" s="628"/>
      <c r="D483" s="628"/>
      <c r="E483" s="628"/>
      <c r="F483" s="247"/>
      <c r="G483" s="247"/>
      <c r="H483" s="628"/>
      <c r="I483" s="628"/>
      <c r="J483" s="628"/>
      <c r="K483" s="429">
        <f t="shared" si="60"/>
        <v>0</v>
      </c>
      <c r="L483" s="626"/>
      <c r="M483" s="626"/>
      <c r="N483" s="626"/>
    </row>
    <row r="484" spans="1:14" s="248" customFormat="1" ht="21.6" hidden="1" customHeight="1">
      <c r="A484" s="602" t="s">
        <v>1</v>
      </c>
      <c r="B484" s="625" t="s">
        <v>829</v>
      </c>
      <c r="C484" s="628"/>
      <c r="D484" s="628"/>
      <c r="E484" s="628"/>
      <c r="F484" s="247">
        <f>SUM(G484:H484)</f>
        <v>0</v>
      </c>
      <c r="G484" s="247">
        <f>SUM(G485:G486)</f>
        <v>0</v>
      </c>
      <c r="H484" s="247">
        <f>SUM(H485:H486)</f>
        <v>0</v>
      </c>
      <c r="I484" s="247">
        <f>SUM(I485:I486)</f>
        <v>0</v>
      </c>
      <c r="J484" s="247">
        <f>SUM(J485:J486)</f>
        <v>0</v>
      </c>
      <c r="K484" s="247">
        <f>SUM(K485:K486)</f>
        <v>0</v>
      </c>
    </row>
    <row r="485" spans="1:14" s="248" customFormat="1" ht="21.6" hidden="1" customHeight="1">
      <c r="A485" s="602"/>
      <c r="B485" s="604" t="s">
        <v>850</v>
      </c>
      <c r="C485" s="628"/>
      <c r="D485" s="628"/>
      <c r="E485" s="628"/>
      <c r="F485" s="247"/>
      <c r="G485" s="247"/>
      <c r="H485" s="628"/>
      <c r="I485" s="628"/>
      <c r="J485" s="628"/>
      <c r="K485" s="429">
        <f t="shared" si="60"/>
        <v>0</v>
      </c>
    </row>
    <row r="486" spans="1:14" s="248" customFormat="1" ht="21.6" hidden="1" customHeight="1">
      <c r="A486" s="602"/>
      <c r="B486" s="604" t="s">
        <v>657</v>
      </c>
      <c r="C486" s="628"/>
      <c r="D486" s="628"/>
      <c r="E486" s="628"/>
      <c r="F486" s="247"/>
      <c r="G486" s="247"/>
      <c r="H486" s="628"/>
      <c r="I486" s="628"/>
      <c r="J486" s="628"/>
      <c r="K486" s="429">
        <f t="shared" si="60"/>
        <v>0</v>
      </c>
    </row>
    <row r="487" spans="1:14" s="248" customFormat="1" ht="21.6" hidden="1" customHeight="1">
      <c r="A487" s="602" t="s">
        <v>1</v>
      </c>
      <c r="B487" s="625" t="s">
        <v>852</v>
      </c>
      <c r="C487" s="628"/>
      <c r="D487" s="628"/>
      <c r="E487" s="628"/>
      <c r="F487" s="247">
        <f>SUM(G487:H487)</f>
        <v>0</v>
      </c>
      <c r="G487" s="247">
        <f>SUM(G488:G489)</f>
        <v>0</v>
      </c>
      <c r="H487" s="247">
        <f>SUM(H488:H489)</f>
        <v>0</v>
      </c>
      <c r="I487" s="247">
        <f>SUM(I488:I489)</f>
        <v>0</v>
      </c>
      <c r="J487" s="247">
        <f>SUM(J488:J489)</f>
        <v>0</v>
      </c>
      <c r="K487" s="247">
        <f>SUM(K488:K489)</f>
        <v>0</v>
      </c>
    </row>
    <row r="488" spans="1:14" s="248" customFormat="1" ht="21.6" hidden="1" customHeight="1">
      <c r="A488" s="602"/>
      <c r="B488" s="604" t="s">
        <v>850</v>
      </c>
      <c r="C488" s="628"/>
      <c r="D488" s="628"/>
      <c r="E488" s="628"/>
      <c r="F488" s="247"/>
      <c r="G488" s="611"/>
      <c r="H488" s="628"/>
      <c r="I488" s="628"/>
      <c r="J488" s="628"/>
      <c r="K488" s="429">
        <f t="shared" si="60"/>
        <v>0</v>
      </c>
    </row>
    <row r="489" spans="1:14" s="248" customFormat="1" ht="21.6" hidden="1" customHeight="1">
      <c r="A489" s="602"/>
      <c r="B489" s="604" t="s">
        <v>657</v>
      </c>
      <c r="C489" s="628"/>
      <c r="D489" s="628"/>
      <c r="E489" s="628"/>
      <c r="F489" s="247"/>
      <c r="G489" s="611"/>
      <c r="H489" s="628"/>
      <c r="I489" s="628"/>
      <c r="J489" s="628"/>
      <c r="K489" s="429">
        <f t="shared" si="60"/>
        <v>0</v>
      </c>
    </row>
    <row r="490" spans="1:14" s="248" customFormat="1" ht="21.6" hidden="1" customHeight="1">
      <c r="A490" s="602" t="s">
        <v>1</v>
      </c>
      <c r="B490" s="625" t="s">
        <v>853</v>
      </c>
      <c r="C490" s="628"/>
      <c r="D490" s="628"/>
      <c r="E490" s="628"/>
      <c r="F490" s="247">
        <f>SUM(G490:H490)</f>
        <v>0</v>
      </c>
      <c r="G490" s="247">
        <f>SUM(G491:G492)</f>
        <v>0</v>
      </c>
      <c r="H490" s="247">
        <f>SUM(H491:H492)</f>
        <v>0</v>
      </c>
      <c r="I490" s="247">
        <f>SUM(I491:I492)</f>
        <v>0</v>
      </c>
      <c r="J490" s="247">
        <f>SUM(J491:J492)</f>
        <v>0</v>
      </c>
      <c r="K490" s="247">
        <f>SUM(K491:K492)</f>
        <v>0</v>
      </c>
    </row>
    <row r="491" spans="1:14" s="248" customFormat="1" ht="21.6" hidden="1" customHeight="1">
      <c r="A491" s="602"/>
      <c r="B491" s="604" t="s">
        <v>850</v>
      </c>
      <c r="C491" s="628"/>
      <c r="D491" s="628"/>
      <c r="E491" s="628"/>
      <c r="F491" s="247"/>
      <c r="G491" s="611"/>
      <c r="H491" s="628"/>
      <c r="I491" s="628"/>
      <c r="J491" s="628"/>
      <c r="K491" s="429">
        <f t="shared" si="60"/>
        <v>0</v>
      </c>
    </row>
    <row r="492" spans="1:14" s="248" customFormat="1" ht="21.6" hidden="1" customHeight="1">
      <c r="A492" s="602"/>
      <c r="B492" s="604" t="s">
        <v>657</v>
      </c>
      <c r="C492" s="628"/>
      <c r="D492" s="628"/>
      <c r="E492" s="628"/>
      <c r="F492" s="247"/>
      <c r="G492" s="611"/>
      <c r="H492" s="628"/>
      <c r="I492" s="628"/>
      <c r="J492" s="628"/>
      <c r="K492" s="429">
        <f t="shared" si="60"/>
        <v>0</v>
      </c>
    </row>
    <row r="493" spans="1:14" s="248" customFormat="1" ht="21.6" hidden="1" customHeight="1">
      <c r="A493" s="602" t="s">
        <v>1</v>
      </c>
      <c r="B493" s="625" t="s">
        <v>830</v>
      </c>
      <c r="C493" s="628"/>
      <c r="D493" s="628"/>
      <c r="E493" s="628"/>
      <c r="F493" s="247">
        <f>SUM(G493:H493)</f>
        <v>0</v>
      </c>
      <c r="G493" s="247">
        <f>SUM(G494:G495)</f>
        <v>0</v>
      </c>
      <c r="H493" s="247">
        <f>SUM(H494:H495)</f>
        <v>0</v>
      </c>
      <c r="I493" s="247">
        <f>SUM(I494:I495)</f>
        <v>0</v>
      </c>
      <c r="J493" s="247">
        <f>SUM(J494:J495)</f>
        <v>0</v>
      </c>
      <c r="K493" s="247">
        <f>SUM(K494:K495)</f>
        <v>0</v>
      </c>
    </row>
    <row r="494" spans="1:14" s="248" customFormat="1" ht="21.6" hidden="1" customHeight="1">
      <c r="A494" s="602"/>
      <c r="B494" s="604" t="s">
        <v>656</v>
      </c>
      <c r="C494" s="628"/>
      <c r="D494" s="628"/>
      <c r="E494" s="628"/>
      <c r="F494" s="247"/>
      <c r="G494" s="611"/>
      <c r="H494" s="628"/>
      <c r="I494" s="628"/>
      <c r="J494" s="628"/>
      <c r="K494" s="429">
        <f t="shared" si="60"/>
        <v>0</v>
      </c>
    </row>
    <row r="495" spans="1:14" s="248" customFormat="1" ht="21.6" hidden="1" customHeight="1">
      <c r="A495" s="602"/>
      <c r="B495" s="604" t="s">
        <v>657</v>
      </c>
      <c r="C495" s="628"/>
      <c r="D495" s="628"/>
      <c r="E495" s="628"/>
      <c r="F495" s="247"/>
      <c r="G495" s="611"/>
      <c r="H495" s="628"/>
      <c r="I495" s="628"/>
      <c r="J495" s="628"/>
      <c r="K495" s="429">
        <f t="shared" si="60"/>
        <v>0</v>
      </c>
    </row>
    <row r="496" spans="1:14" s="248" customFormat="1" ht="21.6" hidden="1" customHeight="1">
      <c r="A496" s="602" t="s">
        <v>1</v>
      </c>
      <c r="B496" s="629" t="s">
        <v>831</v>
      </c>
      <c r="C496" s="628"/>
      <c r="D496" s="628"/>
      <c r="E496" s="628"/>
      <c r="F496" s="247">
        <f>SUM(G496:H496)</f>
        <v>0</v>
      </c>
      <c r="G496" s="247">
        <f>SUM(G497:G498)</f>
        <v>0</v>
      </c>
      <c r="H496" s="247">
        <f>SUM(H497:H498)</f>
        <v>0</v>
      </c>
      <c r="I496" s="247">
        <f>SUM(I497:I498)</f>
        <v>0</v>
      </c>
      <c r="J496" s="247">
        <f>SUM(J497:J498)</f>
        <v>0</v>
      </c>
      <c r="K496" s="247">
        <f>SUM(K497:K498)</f>
        <v>0</v>
      </c>
    </row>
    <row r="497" spans="1:11" s="248" customFormat="1" ht="21.6" hidden="1" customHeight="1">
      <c r="A497" s="602"/>
      <c r="B497" s="604" t="s">
        <v>850</v>
      </c>
      <c r="C497" s="628"/>
      <c r="D497" s="628"/>
      <c r="E497" s="628"/>
      <c r="F497" s="247"/>
      <c r="G497" s="611"/>
      <c r="H497" s="628"/>
      <c r="I497" s="628"/>
      <c r="J497" s="628"/>
      <c r="K497" s="429">
        <f t="shared" si="60"/>
        <v>0</v>
      </c>
    </row>
    <row r="498" spans="1:11" s="248" customFormat="1" ht="21.6" hidden="1" customHeight="1">
      <c r="A498" s="602"/>
      <c r="B498" s="604" t="s">
        <v>657</v>
      </c>
      <c r="C498" s="628"/>
      <c r="D498" s="628"/>
      <c r="E498" s="628"/>
      <c r="F498" s="247"/>
      <c r="G498" s="611"/>
      <c r="H498" s="628"/>
      <c r="I498" s="628"/>
      <c r="J498" s="628"/>
      <c r="K498" s="429">
        <f t="shared" si="60"/>
        <v>0</v>
      </c>
    </row>
    <row r="499" spans="1:11" s="143" customFormat="1" ht="21.6" hidden="1" customHeight="1">
      <c r="A499" s="602" t="s">
        <v>1</v>
      </c>
      <c r="B499" s="625" t="s">
        <v>833</v>
      </c>
      <c r="C499" s="600"/>
      <c r="D499" s="600"/>
      <c r="E499" s="600"/>
      <c r="F499" s="247">
        <f>SUM(G499:H499)</f>
        <v>0</v>
      </c>
      <c r="G499" s="247">
        <f>SUM(G500:G501)</f>
        <v>0</v>
      </c>
      <c r="H499" s="247">
        <f>SUM(H500:H501)</f>
        <v>0</v>
      </c>
      <c r="I499" s="247">
        <f>SUM(I500:I501)</f>
        <v>0</v>
      </c>
      <c r="J499" s="247">
        <f>SUM(J500:J501)</f>
        <v>0</v>
      </c>
      <c r="K499" s="247">
        <f>SUM(K500:K501)</f>
        <v>0</v>
      </c>
    </row>
    <row r="500" spans="1:11" s="143" customFormat="1" ht="21.6" hidden="1" customHeight="1">
      <c r="A500" s="602"/>
      <c r="B500" s="604" t="s">
        <v>850</v>
      </c>
      <c r="C500" s="600"/>
      <c r="D500" s="600"/>
      <c r="E500" s="600"/>
      <c r="F500" s="247"/>
      <c r="G500" s="601"/>
      <c r="H500" s="600"/>
      <c r="I500" s="600"/>
      <c r="J500" s="600"/>
      <c r="K500" s="429">
        <f t="shared" si="60"/>
        <v>0</v>
      </c>
    </row>
    <row r="501" spans="1:11" s="143" customFormat="1" ht="21.6" hidden="1" customHeight="1">
      <c r="A501" s="602"/>
      <c r="B501" s="604" t="s">
        <v>657</v>
      </c>
      <c r="C501" s="600"/>
      <c r="D501" s="600"/>
      <c r="E501" s="600"/>
      <c r="F501" s="247"/>
      <c r="G501" s="601"/>
      <c r="H501" s="600"/>
      <c r="I501" s="600"/>
      <c r="J501" s="600"/>
      <c r="K501" s="429">
        <f t="shared" si="60"/>
        <v>0</v>
      </c>
    </row>
    <row r="502" spans="1:11" s="143" customFormat="1" ht="21.6" hidden="1" customHeight="1">
      <c r="A502" s="602" t="s">
        <v>1</v>
      </c>
      <c r="B502" s="625" t="s">
        <v>832</v>
      </c>
      <c r="C502" s="600"/>
      <c r="D502" s="600"/>
      <c r="E502" s="600"/>
      <c r="F502" s="247"/>
      <c r="G502" s="247">
        <f>SUM(G503:G504)</f>
        <v>0</v>
      </c>
      <c r="H502" s="247">
        <f>SUM(H503:H504)</f>
        <v>0</v>
      </c>
      <c r="I502" s="247">
        <f>SUM(I503:I504)</f>
        <v>0</v>
      </c>
      <c r="J502" s="247">
        <f>SUM(J503:J504)</f>
        <v>0</v>
      </c>
      <c r="K502" s="247">
        <f>SUM(K503:K504)</f>
        <v>0</v>
      </c>
    </row>
    <row r="503" spans="1:11" s="143" customFormat="1" ht="21.6" hidden="1" customHeight="1">
      <c r="A503" s="602"/>
      <c r="B503" s="604" t="s">
        <v>850</v>
      </c>
      <c r="C503" s="600"/>
      <c r="D503" s="600"/>
      <c r="E503" s="600"/>
      <c r="F503" s="247"/>
      <c r="G503" s="601"/>
      <c r="H503" s="600"/>
      <c r="I503" s="600"/>
      <c r="J503" s="600"/>
      <c r="K503" s="429">
        <f t="shared" si="60"/>
        <v>0</v>
      </c>
    </row>
    <row r="504" spans="1:11" s="143" customFormat="1" ht="21.6" hidden="1" customHeight="1">
      <c r="A504" s="602"/>
      <c r="B504" s="604" t="s">
        <v>657</v>
      </c>
      <c r="C504" s="600"/>
      <c r="D504" s="600"/>
      <c r="E504" s="600"/>
      <c r="F504" s="247"/>
      <c r="G504" s="601"/>
      <c r="H504" s="600"/>
      <c r="I504" s="600"/>
      <c r="J504" s="600"/>
      <c r="K504" s="429">
        <f t="shared" si="60"/>
        <v>0</v>
      </c>
    </row>
    <row r="505" spans="1:11" s="143" customFormat="1" ht="21.6" hidden="1" customHeight="1">
      <c r="A505" s="602" t="s">
        <v>1</v>
      </c>
      <c r="B505" s="625" t="s">
        <v>834</v>
      </c>
      <c r="C505" s="600"/>
      <c r="D505" s="600"/>
      <c r="E505" s="600"/>
      <c r="F505" s="247"/>
      <c r="G505" s="247">
        <f>SUM(G506:G507)</f>
        <v>0</v>
      </c>
      <c r="H505" s="247">
        <f>SUM(H506:H507)</f>
        <v>0</v>
      </c>
      <c r="I505" s="247">
        <f>SUM(I506:I507)</f>
        <v>0</v>
      </c>
      <c r="J505" s="247">
        <f>SUM(J506:J507)</f>
        <v>0</v>
      </c>
      <c r="K505" s="247">
        <f>SUM(K506:K507)</f>
        <v>0</v>
      </c>
    </row>
    <row r="506" spans="1:11" s="143" customFormat="1" ht="21.6" hidden="1" customHeight="1">
      <c r="A506" s="602"/>
      <c r="B506" s="604" t="s">
        <v>850</v>
      </c>
      <c r="C506" s="600"/>
      <c r="D506" s="600"/>
      <c r="E506" s="600"/>
      <c r="F506" s="247"/>
      <c r="G506" s="601"/>
      <c r="H506" s="600"/>
      <c r="I506" s="600"/>
      <c r="J506" s="600"/>
      <c r="K506" s="429">
        <f t="shared" si="60"/>
        <v>0</v>
      </c>
    </row>
    <row r="507" spans="1:11" s="143" customFormat="1" ht="21.6" hidden="1" customHeight="1">
      <c r="A507" s="602"/>
      <c r="B507" s="604" t="s">
        <v>657</v>
      </c>
      <c r="C507" s="600"/>
      <c r="D507" s="600"/>
      <c r="E507" s="600"/>
      <c r="F507" s="247"/>
      <c r="G507" s="601"/>
      <c r="H507" s="600"/>
      <c r="I507" s="600"/>
      <c r="J507" s="600"/>
      <c r="K507" s="429">
        <f t="shared" si="60"/>
        <v>0</v>
      </c>
    </row>
    <row r="508" spans="1:11" s="143" customFormat="1" ht="21.6" hidden="1" customHeight="1">
      <c r="A508" s="602" t="s">
        <v>1</v>
      </c>
      <c r="B508" s="625" t="s">
        <v>835</v>
      </c>
      <c r="C508" s="600"/>
      <c r="D508" s="600"/>
      <c r="E508" s="600"/>
      <c r="F508" s="247"/>
      <c r="G508" s="247">
        <f>SUM(G509:G510)</f>
        <v>0</v>
      </c>
      <c r="H508" s="247">
        <f>SUM(H509:H510)</f>
        <v>0</v>
      </c>
      <c r="I508" s="247">
        <f>SUM(I509:I510)</f>
        <v>0</v>
      </c>
      <c r="J508" s="247">
        <f>SUM(J509:J510)</f>
        <v>0</v>
      </c>
      <c r="K508" s="247">
        <f>SUM(K509:K510)</f>
        <v>0</v>
      </c>
    </row>
    <row r="509" spans="1:11" s="143" customFormat="1" ht="21.6" hidden="1" customHeight="1">
      <c r="A509" s="602"/>
      <c r="B509" s="604" t="s">
        <v>850</v>
      </c>
      <c r="C509" s="600"/>
      <c r="D509" s="600"/>
      <c r="E509" s="600"/>
      <c r="F509" s="247"/>
      <c r="G509" s="601"/>
      <c r="H509" s="600"/>
      <c r="I509" s="600"/>
      <c r="J509" s="600"/>
      <c r="K509" s="429">
        <f>+G509</f>
        <v>0</v>
      </c>
    </row>
    <row r="510" spans="1:11" s="143" customFormat="1" ht="21.6" hidden="1" customHeight="1">
      <c r="A510" s="602"/>
      <c r="B510" s="604" t="s">
        <v>657</v>
      </c>
      <c r="C510" s="600"/>
      <c r="D510" s="600"/>
      <c r="E510" s="600"/>
      <c r="F510" s="247"/>
      <c r="G510" s="601"/>
      <c r="H510" s="600"/>
      <c r="I510" s="600"/>
      <c r="J510" s="600"/>
      <c r="K510" s="429">
        <f>+G510</f>
        <v>0</v>
      </c>
    </row>
    <row r="511" spans="1:11" s="143" customFormat="1" ht="21.6" hidden="1" customHeight="1">
      <c r="A511" s="602" t="s">
        <v>1</v>
      </c>
      <c r="B511" s="625" t="s">
        <v>771</v>
      </c>
      <c r="C511" s="600"/>
      <c r="D511" s="600"/>
      <c r="E511" s="600"/>
      <c r="F511" s="247"/>
      <c r="G511" s="247">
        <f>SUM(G512:G513)</f>
        <v>0</v>
      </c>
      <c r="H511" s="247">
        <f>SUM(H512:H513)</f>
        <v>0</v>
      </c>
      <c r="I511" s="247">
        <f>SUM(I512:I513)</f>
        <v>0</v>
      </c>
      <c r="J511" s="247">
        <f>SUM(J512:J513)</f>
        <v>0</v>
      </c>
      <c r="K511" s="247">
        <f>SUM(K512:K513)</f>
        <v>0</v>
      </c>
    </row>
    <row r="512" spans="1:11" s="143" customFormat="1" ht="21.6" hidden="1" customHeight="1">
      <c r="A512" s="602"/>
      <c r="B512" s="604" t="s">
        <v>850</v>
      </c>
      <c r="C512" s="600"/>
      <c r="D512" s="600"/>
      <c r="E512" s="600"/>
      <c r="F512" s="247"/>
      <c r="G512" s="601"/>
      <c r="H512" s="600"/>
      <c r="I512" s="600"/>
      <c r="J512" s="600"/>
      <c r="K512" s="429">
        <f>+G512</f>
        <v>0</v>
      </c>
    </row>
    <row r="513" spans="1:47" s="143" customFormat="1" ht="21.6" hidden="1" customHeight="1">
      <c r="A513" s="602"/>
      <c r="B513" s="604" t="s">
        <v>657</v>
      </c>
      <c r="C513" s="600"/>
      <c r="D513" s="600"/>
      <c r="E513" s="600"/>
      <c r="F513" s="247"/>
      <c r="G513" s="601"/>
      <c r="H513" s="600"/>
      <c r="I513" s="600"/>
      <c r="J513" s="600"/>
      <c r="K513" s="429">
        <f>+G513</f>
        <v>0</v>
      </c>
    </row>
    <row r="514" spans="1:47" s="143" customFormat="1" ht="21.6" hidden="1" customHeight="1">
      <c r="A514" s="602" t="s">
        <v>1</v>
      </c>
      <c r="B514" s="625" t="s">
        <v>851</v>
      </c>
      <c r="C514" s="600"/>
      <c r="D514" s="600"/>
      <c r="E514" s="600"/>
      <c r="F514" s="247"/>
      <c r="G514" s="247">
        <f>SUM(G515:G516)</f>
        <v>0</v>
      </c>
      <c r="H514" s="247">
        <f>SUM(H515:H516)</f>
        <v>0</v>
      </c>
      <c r="I514" s="247">
        <f>SUM(I515:I516)</f>
        <v>0</v>
      </c>
      <c r="J514" s="247">
        <f>SUM(J515:J516)</f>
        <v>0</v>
      </c>
      <c r="K514" s="247">
        <f>SUM(K515:K516)</f>
        <v>0</v>
      </c>
    </row>
    <row r="515" spans="1:47" s="143" customFormat="1" ht="21.6" hidden="1" customHeight="1">
      <c r="A515" s="602"/>
      <c r="B515" s="604" t="s">
        <v>850</v>
      </c>
      <c r="C515" s="600"/>
      <c r="D515" s="600"/>
      <c r="E515" s="600"/>
      <c r="F515" s="247"/>
      <c r="G515" s="601"/>
      <c r="H515" s="600"/>
      <c r="I515" s="600"/>
      <c r="J515" s="600"/>
      <c r="K515" s="429">
        <f>+G515</f>
        <v>0</v>
      </c>
    </row>
    <row r="516" spans="1:47" s="143" customFormat="1" ht="21.6" hidden="1" customHeight="1">
      <c r="A516" s="602"/>
      <c r="B516" s="604" t="s">
        <v>657</v>
      </c>
      <c r="C516" s="600"/>
      <c r="D516" s="600"/>
      <c r="E516" s="600"/>
      <c r="F516" s="247"/>
      <c r="G516" s="601"/>
      <c r="H516" s="600"/>
      <c r="I516" s="600"/>
      <c r="J516" s="600"/>
      <c r="K516" s="429">
        <f>+G516</f>
        <v>0</v>
      </c>
    </row>
    <row r="517" spans="1:47" s="143" customFormat="1" ht="21.6" hidden="1" customHeight="1">
      <c r="A517" s="602" t="s">
        <v>1</v>
      </c>
      <c r="B517" s="603" t="s">
        <v>129</v>
      </c>
      <c r="C517" s="600"/>
      <c r="D517" s="600"/>
      <c r="E517" s="600"/>
      <c r="F517" s="247"/>
      <c r="G517" s="601">
        <f>SUM(G518:G519)</f>
        <v>0</v>
      </c>
      <c r="H517" s="601">
        <f>SUM(H518:H519)</f>
        <v>0</v>
      </c>
      <c r="I517" s="601">
        <f>SUM(I518:I519)</f>
        <v>0</v>
      </c>
      <c r="J517" s="601">
        <f>SUM(J518:J519)</f>
        <v>0</v>
      </c>
      <c r="K517" s="601">
        <f>SUM(K518:K519)</f>
        <v>0</v>
      </c>
    </row>
    <row r="518" spans="1:47" s="143" customFormat="1" ht="21.6" hidden="1" customHeight="1">
      <c r="A518" s="602"/>
      <c r="B518" s="604" t="s">
        <v>850</v>
      </c>
      <c r="C518" s="600"/>
      <c r="D518" s="600"/>
      <c r="E518" s="600"/>
      <c r="F518" s="247"/>
      <c r="G518" s="601"/>
      <c r="H518" s="600"/>
      <c r="I518" s="600"/>
      <c r="J518" s="600"/>
      <c r="K518" s="429">
        <f>+G518</f>
        <v>0</v>
      </c>
    </row>
    <row r="519" spans="1:47" s="143" customFormat="1" ht="21.6" hidden="1" customHeight="1">
      <c r="A519" s="602"/>
      <c r="B519" s="604" t="s">
        <v>657</v>
      </c>
      <c r="C519" s="600"/>
      <c r="D519" s="600"/>
      <c r="E519" s="600"/>
      <c r="F519" s="247"/>
      <c r="G519" s="601"/>
      <c r="H519" s="600"/>
      <c r="I519" s="600"/>
      <c r="J519" s="600"/>
      <c r="K519" s="429">
        <f>+G519</f>
        <v>0</v>
      </c>
    </row>
    <row r="520" spans="1:47" s="408" customFormat="1" ht="21.6" customHeight="1">
      <c r="A520" s="419" t="s">
        <v>426</v>
      </c>
      <c r="B520" s="614" t="s">
        <v>302</v>
      </c>
      <c r="C520" s="614"/>
      <c r="D520" s="614"/>
      <c r="E520" s="614"/>
      <c r="F520" s="435" t="e">
        <f>+#REF!+#REF!</f>
        <v>#REF!</v>
      </c>
      <c r="G520" s="435">
        <f>+G521+G525</f>
        <v>17697010</v>
      </c>
      <c r="H520" s="435">
        <f>+H521+H525</f>
        <v>0</v>
      </c>
      <c r="I520" s="435">
        <f>+I521+I525</f>
        <v>0</v>
      </c>
      <c r="J520" s="435">
        <f>+J521+J525</f>
        <v>0</v>
      </c>
      <c r="K520" s="435">
        <f>+K521+K525</f>
        <v>17697010</v>
      </c>
    </row>
    <row r="521" spans="1:47" s="231" customFormat="1" ht="22.35" customHeight="1">
      <c r="A521" s="419" t="s">
        <v>1391</v>
      </c>
      <c r="B521" s="418" t="s">
        <v>822</v>
      </c>
      <c r="C521" s="598"/>
      <c r="D521" s="598"/>
      <c r="E521" s="598"/>
      <c r="F521" s="599" t="e">
        <f>SUM(F522:F530)</f>
        <v>#REF!</v>
      </c>
      <c r="G521" s="599">
        <f>+G522+G530</f>
        <v>275560</v>
      </c>
      <c r="H521" s="599">
        <f>+H522+H530</f>
        <v>0</v>
      </c>
      <c r="I521" s="599">
        <f>+I522+I530</f>
        <v>0</v>
      </c>
      <c r="J521" s="599">
        <f>+J522+J530</f>
        <v>0</v>
      </c>
      <c r="K521" s="599">
        <f>+K522+K530</f>
        <v>275560</v>
      </c>
    </row>
    <row r="522" spans="1:47" s="143" customFormat="1" ht="22.35" customHeight="1">
      <c r="A522" s="419" t="s">
        <v>72</v>
      </c>
      <c r="B522" s="394" t="s">
        <v>461</v>
      </c>
      <c r="C522" s="600"/>
      <c r="D522" s="600"/>
      <c r="E522" s="600"/>
      <c r="F522" s="601" t="e">
        <f>SUM(#REF!)</f>
        <v>#REF!</v>
      </c>
      <c r="G522" s="601">
        <f>+G523+G524</f>
        <v>275560</v>
      </c>
      <c r="H522" s="601">
        <f>+H523+H524</f>
        <v>0</v>
      </c>
      <c r="I522" s="601">
        <f>+I523+I524</f>
        <v>0</v>
      </c>
      <c r="J522" s="601">
        <f>+J523+J524</f>
        <v>0</v>
      </c>
      <c r="K522" s="601">
        <f>+K523+K524</f>
        <v>275560</v>
      </c>
    </row>
    <row r="523" spans="1:47" s="248" customFormat="1" ht="22.35" customHeight="1">
      <c r="A523" s="602"/>
      <c r="B523" s="604" t="s">
        <v>850</v>
      </c>
      <c r="C523" s="628"/>
      <c r="D523" s="628"/>
      <c r="E523" s="628"/>
      <c r="F523" s="611"/>
      <c r="G523" s="611">
        <f>257950</f>
        <v>257950</v>
      </c>
      <c r="H523" s="611">
        <f t="shared" ref="H523:J524" si="61">+H525+H528</f>
        <v>0</v>
      </c>
      <c r="I523" s="611">
        <f t="shared" si="61"/>
        <v>0</v>
      </c>
      <c r="J523" s="611">
        <f t="shared" si="61"/>
        <v>0</v>
      </c>
      <c r="K523" s="611">
        <f>+G523</f>
        <v>257950</v>
      </c>
    </row>
    <row r="524" spans="1:47" s="248" customFormat="1" ht="22.35" customHeight="1">
      <c r="A524" s="602"/>
      <c r="B524" s="604" t="s">
        <v>657</v>
      </c>
      <c r="C524" s="628"/>
      <c r="D524" s="628"/>
      <c r="E524" s="628"/>
      <c r="F524" s="611"/>
      <c r="G524" s="611">
        <v>17610</v>
      </c>
      <c r="H524" s="611">
        <f t="shared" si="61"/>
        <v>0</v>
      </c>
      <c r="I524" s="611">
        <f t="shared" si="61"/>
        <v>0</v>
      </c>
      <c r="J524" s="611">
        <f t="shared" si="61"/>
        <v>0</v>
      </c>
      <c r="K524" s="611">
        <f>+G524</f>
        <v>17610</v>
      </c>
    </row>
    <row r="525" spans="1:47" s="408" customFormat="1" ht="32.450000000000003" customHeight="1">
      <c r="A525" s="419" t="s">
        <v>1391</v>
      </c>
      <c r="B525" s="418" t="s">
        <v>595</v>
      </c>
      <c r="C525" s="614"/>
      <c r="D525" s="614"/>
      <c r="E525" s="614"/>
      <c r="F525" s="435"/>
      <c r="G525" s="435">
        <f>+G526+G529</f>
        <v>17421450</v>
      </c>
      <c r="H525" s="435">
        <f>+H526+H529</f>
        <v>0</v>
      </c>
      <c r="I525" s="435">
        <f>+I526+I529</f>
        <v>0</v>
      </c>
      <c r="J525" s="435">
        <f>+J526+J529</f>
        <v>0</v>
      </c>
      <c r="K525" s="435">
        <f>+K526+K529</f>
        <v>17421450</v>
      </c>
    </row>
    <row r="526" spans="1:47" s="408" customFormat="1" ht="21.6" customHeight="1">
      <c r="A526" s="419" t="s">
        <v>72</v>
      </c>
      <c r="B526" s="394" t="s">
        <v>461</v>
      </c>
      <c r="C526" s="614"/>
      <c r="D526" s="614"/>
      <c r="E526" s="614"/>
      <c r="F526" s="435"/>
      <c r="G526" s="435">
        <f>+G527+G528</f>
        <v>17421450</v>
      </c>
      <c r="H526" s="435">
        <f>+H527+H528</f>
        <v>0</v>
      </c>
      <c r="I526" s="435">
        <f>+I527+I528</f>
        <v>0</v>
      </c>
      <c r="J526" s="435">
        <f>+J527+J528</f>
        <v>0</v>
      </c>
      <c r="K526" s="435">
        <f>+K527+K528</f>
        <v>17421450</v>
      </c>
      <c r="L526" s="407" t="e">
        <f>+#REF!</f>
        <v>#REF!</v>
      </c>
      <c r="M526" s="630"/>
      <c r="N526" s="630"/>
    </row>
    <row r="527" spans="1:47" s="985" customFormat="1" ht="26.1" customHeight="1">
      <c r="A527" s="983"/>
      <c r="B527" s="604" t="s">
        <v>850</v>
      </c>
      <c r="C527" s="983"/>
      <c r="D527" s="983"/>
      <c r="E527" s="983"/>
      <c r="F527" s="984"/>
      <c r="G527" s="642">
        <v>16627110</v>
      </c>
      <c r="H527" s="642"/>
      <c r="I527" s="642"/>
      <c r="J527" s="642"/>
      <c r="K527" s="642">
        <f>+G527</f>
        <v>16627110</v>
      </c>
      <c r="AT527" s="985">
        <v>16627.11</v>
      </c>
      <c r="AU527" s="985">
        <v>794.34</v>
      </c>
    </row>
    <row r="528" spans="1:47" s="985" customFormat="1" ht="26.1" customHeight="1">
      <c r="A528" s="983"/>
      <c r="B528" s="604" t="s">
        <v>657</v>
      </c>
      <c r="C528" s="983"/>
      <c r="D528" s="983"/>
      <c r="E528" s="983"/>
      <c r="F528" s="984"/>
      <c r="G528" s="642">
        <v>794340</v>
      </c>
      <c r="H528" s="642"/>
      <c r="I528" s="642"/>
      <c r="J528" s="642"/>
      <c r="K528" s="642">
        <f>+G528</f>
        <v>794340</v>
      </c>
      <c r="AT528" s="992"/>
    </row>
    <row r="529" spans="1:33" s="987" customFormat="1" ht="26.1" customHeight="1">
      <c r="A529" s="419" t="s">
        <v>72</v>
      </c>
      <c r="B529" s="394" t="s">
        <v>462</v>
      </c>
      <c r="C529" s="380"/>
      <c r="D529" s="380"/>
      <c r="E529" s="380"/>
      <c r="F529" s="247">
        <f>SUM(G529:H529)</f>
        <v>0</v>
      </c>
      <c r="G529" s="381">
        <f>+G530</f>
        <v>0</v>
      </c>
      <c r="H529" s="381">
        <f>+H530</f>
        <v>0</v>
      </c>
      <c r="I529" s="381">
        <f>+I530</f>
        <v>0</v>
      </c>
      <c r="J529" s="381">
        <f>+J530</f>
        <v>0</v>
      </c>
      <c r="K529" s="381">
        <f>+K530</f>
        <v>0</v>
      </c>
    </row>
    <row r="530" spans="1:33" s="408" customFormat="1" ht="26.1" hidden="1" customHeight="1">
      <c r="A530" s="614"/>
      <c r="B530" s="604" t="s">
        <v>850</v>
      </c>
      <c r="C530" s="614"/>
      <c r="D530" s="614"/>
      <c r="E530" s="614"/>
      <c r="F530" s="435"/>
      <c r="G530" s="381"/>
      <c r="H530" s="381"/>
      <c r="I530" s="381"/>
      <c r="J530" s="381"/>
      <c r="K530" s="381">
        <f>+G530</f>
        <v>0</v>
      </c>
    </row>
    <row r="531" spans="1:33" s="408" customFormat="1" ht="32.25" customHeight="1">
      <c r="A531" s="419" t="s">
        <v>659</v>
      </c>
      <c r="B531" s="418" t="s">
        <v>767</v>
      </c>
      <c r="C531" s="614"/>
      <c r="D531" s="614"/>
      <c r="E531" s="614"/>
      <c r="F531" s="615">
        <f>SUM(G531:H531)</f>
        <v>5800000</v>
      </c>
      <c r="G531" s="435">
        <f>+G532+G535</f>
        <v>5800000</v>
      </c>
      <c r="H531" s="435">
        <f t="shared" ref="H531:AF531" si="62">+H532+H535</f>
        <v>0</v>
      </c>
      <c r="I531" s="435">
        <f t="shared" si="62"/>
        <v>0</v>
      </c>
      <c r="J531" s="435">
        <f t="shared" si="62"/>
        <v>0</v>
      </c>
      <c r="K531" s="435">
        <f t="shared" si="62"/>
        <v>5800000</v>
      </c>
      <c r="L531" s="435">
        <f t="shared" si="62"/>
        <v>0</v>
      </c>
      <c r="M531" s="435">
        <f t="shared" si="62"/>
        <v>0</v>
      </c>
      <c r="N531" s="435">
        <f t="shared" si="62"/>
        <v>0</v>
      </c>
      <c r="O531" s="435">
        <f t="shared" si="62"/>
        <v>0</v>
      </c>
      <c r="P531" s="435">
        <f t="shared" si="62"/>
        <v>0</v>
      </c>
      <c r="Q531" s="435">
        <f t="shared" si="62"/>
        <v>0</v>
      </c>
      <c r="R531" s="435">
        <f t="shared" si="62"/>
        <v>0</v>
      </c>
      <c r="S531" s="435">
        <f t="shared" si="62"/>
        <v>0</v>
      </c>
      <c r="T531" s="435">
        <f t="shared" si="62"/>
        <v>0</v>
      </c>
      <c r="U531" s="435">
        <f t="shared" si="62"/>
        <v>0</v>
      </c>
      <c r="V531" s="435">
        <f t="shared" si="62"/>
        <v>0</v>
      </c>
      <c r="W531" s="435">
        <f t="shared" si="62"/>
        <v>0</v>
      </c>
      <c r="X531" s="435">
        <f t="shared" si="62"/>
        <v>0</v>
      </c>
      <c r="Y531" s="435">
        <f t="shared" si="62"/>
        <v>0</v>
      </c>
      <c r="Z531" s="435">
        <f t="shared" si="62"/>
        <v>0</v>
      </c>
      <c r="AA531" s="435">
        <f t="shared" si="62"/>
        <v>0</v>
      </c>
      <c r="AB531" s="435">
        <f t="shared" si="62"/>
        <v>0</v>
      </c>
      <c r="AC531" s="435">
        <f t="shared" si="62"/>
        <v>0</v>
      </c>
      <c r="AD531" s="435">
        <f t="shared" si="62"/>
        <v>0</v>
      </c>
      <c r="AE531" s="435">
        <f t="shared" si="62"/>
        <v>0</v>
      </c>
      <c r="AF531" s="435">
        <f t="shared" si="62"/>
        <v>0</v>
      </c>
      <c r="AG531" s="678"/>
    </row>
    <row r="532" spans="1:33" s="987" customFormat="1" ht="33.75" customHeight="1">
      <c r="A532" s="386">
        <v>1</v>
      </c>
      <c r="B532" s="394" t="s">
        <v>623</v>
      </c>
      <c r="C532" s="380"/>
      <c r="D532" s="380"/>
      <c r="E532" s="380"/>
      <c r="F532" s="381"/>
      <c r="G532" s="381">
        <f>+G533+G534</f>
        <v>200000</v>
      </c>
      <c r="H532" s="381">
        <f>+H533+H534</f>
        <v>0</v>
      </c>
      <c r="I532" s="381">
        <f>+I533+I534</f>
        <v>0</v>
      </c>
      <c r="J532" s="381">
        <f>+J533+J534</f>
        <v>0</v>
      </c>
      <c r="K532" s="381">
        <f>+K533+K534</f>
        <v>200000</v>
      </c>
    </row>
    <row r="533" spans="1:33" s="987" customFormat="1" ht="23.45" customHeight="1">
      <c r="A533" s="386" t="s">
        <v>72</v>
      </c>
      <c r="B533" s="394" t="s">
        <v>129</v>
      </c>
      <c r="C533" s="380"/>
      <c r="D533" s="380"/>
      <c r="E533" s="380"/>
      <c r="F533" s="381"/>
      <c r="G533" s="381">
        <v>200000</v>
      </c>
      <c r="H533" s="380"/>
      <c r="I533" s="380"/>
      <c r="J533" s="380"/>
      <c r="K533" s="395">
        <f>+G533</f>
        <v>200000</v>
      </c>
    </row>
    <row r="534" spans="1:33" s="987" customFormat="1" ht="23.45" hidden="1" customHeight="1">
      <c r="A534" s="386" t="s">
        <v>72</v>
      </c>
      <c r="B534" s="394" t="s">
        <v>746</v>
      </c>
      <c r="C534" s="380"/>
      <c r="D534" s="380"/>
      <c r="E534" s="380"/>
      <c r="F534" s="381"/>
      <c r="G534" s="381">
        <v>0</v>
      </c>
      <c r="H534" s="380"/>
      <c r="I534" s="380"/>
      <c r="J534" s="380"/>
      <c r="K534" s="395">
        <f>+G534</f>
        <v>0</v>
      </c>
    </row>
    <row r="535" spans="1:33" s="987" customFormat="1" ht="32.25" customHeight="1">
      <c r="A535" s="386">
        <v>2</v>
      </c>
      <c r="B535" s="394" t="s">
        <v>838</v>
      </c>
      <c r="C535" s="380"/>
      <c r="D535" s="380"/>
      <c r="E535" s="380"/>
      <c r="F535" s="381"/>
      <c r="G535" s="381">
        <f>+G536+G537</f>
        <v>5600000</v>
      </c>
      <c r="H535" s="381">
        <f>+H536+H537</f>
        <v>0</v>
      </c>
      <c r="I535" s="381">
        <f>+I536+I537</f>
        <v>0</v>
      </c>
      <c r="J535" s="381">
        <f>+J536+J537</f>
        <v>0</v>
      </c>
      <c r="K535" s="381">
        <f>+K536+K537</f>
        <v>5600000</v>
      </c>
    </row>
    <row r="536" spans="1:33" s="987" customFormat="1" ht="24" customHeight="1">
      <c r="A536" s="386" t="s">
        <v>72</v>
      </c>
      <c r="B536" s="380" t="s">
        <v>839</v>
      </c>
      <c r="C536" s="380"/>
      <c r="D536" s="380"/>
      <c r="E536" s="380"/>
      <c r="F536" s="381"/>
      <c r="G536" s="381">
        <f>5600000-G537</f>
        <v>4762614</v>
      </c>
      <c r="H536" s="380"/>
      <c r="I536" s="380"/>
      <c r="J536" s="380"/>
      <c r="K536" s="395">
        <f>+G536</f>
        <v>4762614</v>
      </c>
    </row>
    <row r="537" spans="1:33" s="143" customFormat="1" ht="24" customHeight="1">
      <c r="A537" s="616" t="s">
        <v>72</v>
      </c>
      <c r="B537" s="617" t="s">
        <v>746</v>
      </c>
      <c r="C537" s="618"/>
      <c r="D537" s="618"/>
      <c r="E537" s="618"/>
      <c r="F537" s="619"/>
      <c r="G537" s="619">
        <v>837386</v>
      </c>
      <c r="H537" s="618"/>
      <c r="I537" s="618"/>
      <c r="J537" s="618"/>
      <c r="K537" s="620">
        <f>+G537</f>
        <v>837386</v>
      </c>
    </row>
    <row r="538" spans="1:33" s="143" customFormat="1" ht="35.450000000000003" customHeight="1">
      <c r="F538" s="255"/>
      <c r="G538" s="255"/>
    </row>
    <row r="539" spans="1:33" s="143" customFormat="1" ht="35.450000000000003" customHeight="1">
      <c r="F539" s="255"/>
      <c r="G539" s="255"/>
    </row>
    <row r="540" spans="1:33" s="143" customFormat="1" ht="35.450000000000003" customHeight="1">
      <c r="F540" s="255"/>
      <c r="G540" s="255"/>
    </row>
    <row r="541" spans="1:33" s="143" customFormat="1" ht="35.450000000000003" customHeight="1">
      <c r="F541" s="255"/>
      <c r="G541" s="255"/>
    </row>
    <row r="542" spans="1:33" ht="35.450000000000003" customHeight="1">
      <c r="A542" s="663"/>
      <c r="B542" s="663"/>
      <c r="C542" s="663"/>
      <c r="D542" s="663"/>
      <c r="E542" s="663"/>
      <c r="F542" s="677"/>
      <c r="G542" s="677"/>
      <c r="H542" s="663"/>
      <c r="I542" s="663"/>
      <c r="J542" s="663"/>
      <c r="K542" s="663"/>
    </row>
    <row r="543" spans="1:33" ht="35.450000000000003" customHeight="1">
      <c r="A543" s="663"/>
      <c r="B543" s="663"/>
      <c r="C543" s="663"/>
      <c r="D543" s="663"/>
      <c r="E543" s="663"/>
      <c r="F543" s="677"/>
      <c r="G543" s="677"/>
      <c r="H543" s="663"/>
      <c r="I543" s="663"/>
      <c r="J543" s="663"/>
      <c r="K543" s="663"/>
    </row>
    <row r="544" spans="1:33" ht="35.450000000000003" customHeight="1">
      <c r="A544" s="663"/>
      <c r="B544" s="663"/>
      <c r="C544" s="663"/>
      <c r="D544" s="663"/>
      <c r="E544" s="663"/>
      <c r="F544" s="677"/>
      <c r="G544" s="677"/>
      <c r="H544" s="663"/>
      <c r="I544" s="663"/>
      <c r="J544" s="663"/>
      <c r="K544" s="663"/>
    </row>
    <row r="545" spans="1:11" ht="35.450000000000003" customHeight="1">
      <c r="A545" s="663"/>
      <c r="B545" s="663"/>
      <c r="C545" s="663"/>
      <c r="D545" s="663"/>
      <c r="E545" s="663"/>
      <c r="F545" s="677"/>
      <c r="G545" s="677"/>
      <c r="H545" s="663"/>
      <c r="I545" s="663"/>
      <c r="J545" s="663"/>
      <c r="K545" s="663"/>
    </row>
    <row r="546" spans="1:11" ht="35.450000000000003" customHeight="1">
      <c r="A546" s="663"/>
      <c r="B546" s="663"/>
      <c r="C546" s="663"/>
      <c r="D546" s="663"/>
      <c r="E546" s="663"/>
      <c r="F546" s="677"/>
      <c r="G546" s="677"/>
      <c r="H546" s="663"/>
      <c r="I546" s="663"/>
      <c r="J546" s="663"/>
      <c r="K546" s="663"/>
    </row>
    <row r="547" spans="1:11" ht="35.450000000000003" customHeight="1">
      <c r="A547" s="663"/>
      <c r="B547" s="663"/>
      <c r="C547" s="663"/>
      <c r="D547" s="663"/>
      <c r="E547" s="663"/>
      <c r="F547" s="677"/>
      <c r="G547" s="677"/>
      <c r="H547" s="663"/>
      <c r="I547" s="663"/>
      <c r="J547" s="663"/>
      <c r="K547" s="663"/>
    </row>
    <row r="548" spans="1:11" ht="35.450000000000003" customHeight="1">
      <c r="A548" s="663"/>
      <c r="B548" s="663"/>
      <c r="C548" s="663"/>
      <c r="D548" s="663"/>
      <c r="E548" s="663"/>
      <c r="F548" s="677"/>
      <c r="G548" s="677"/>
      <c r="H548" s="663"/>
      <c r="I548" s="663"/>
      <c r="J548" s="663"/>
      <c r="K548" s="663"/>
    </row>
    <row r="549" spans="1:11" ht="35.450000000000003" customHeight="1">
      <c r="A549" s="663"/>
      <c r="B549" s="663"/>
      <c r="C549" s="663"/>
      <c r="D549" s="663"/>
      <c r="E549" s="663"/>
      <c r="F549" s="677"/>
      <c r="G549" s="677"/>
      <c r="H549" s="663"/>
      <c r="I549" s="663"/>
      <c r="J549" s="663"/>
      <c r="K549" s="663"/>
    </row>
    <row r="550" spans="1:11" ht="35.450000000000003" customHeight="1">
      <c r="A550" s="663"/>
      <c r="B550" s="663"/>
      <c r="C550" s="663"/>
      <c r="D550" s="663"/>
      <c r="E550" s="663"/>
      <c r="F550" s="677"/>
      <c r="G550" s="677"/>
      <c r="H550" s="663"/>
      <c r="I550" s="663"/>
      <c r="J550" s="663"/>
      <c r="K550" s="663"/>
    </row>
    <row r="551" spans="1:11" ht="35.450000000000003" customHeight="1">
      <c r="A551" s="663"/>
      <c r="B551" s="663"/>
      <c r="C551" s="663"/>
      <c r="D551" s="663"/>
      <c r="E551" s="663"/>
      <c r="F551" s="677"/>
      <c r="G551" s="677"/>
      <c r="H551" s="663"/>
      <c r="I551" s="663"/>
      <c r="J551" s="663"/>
      <c r="K551" s="663"/>
    </row>
  </sheetData>
  <mergeCells count="17">
    <mergeCell ref="F6:F7"/>
    <mergeCell ref="A4:K4"/>
    <mergeCell ref="H5:K5"/>
    <mergeCell ref="O304:O306"/>
    <mergeCell ref="J1:K1"/>
    <mergeCell ref="A3:K3"/>
    <mergeCell ref="A2:K2"/>
    <mergeCell ref="G6:G7"/>
    <mergeCell ref="K6:K7"/>
    <mergeCell ref="I6:I7"/>
    <mergeCell ref="E6:E7"/>
    <mergeCell ref="H6:H7"/>
    <mergeCell ref="J6:J7"/>
    <mergeCell ref="A6:A7"/>
    <mergeCell ref="B6:B7"/>
    <mergeCell ref="C6:C7"/>
    <mergeCell ref="D6:D7"/>
  </mergeCells>
  <phoneticPr fontId="16" type="noConversion"/>
  <pageMargins left="0.47244094488188981" right="0.15748031496062992" top="0.39370078740157483" bottom="0.43307086614173229" header="0.19685039370078741" footer="0.19685039370078741"/>
  <pageSetup paperSize="9" scale="90" firstPageNumber="14" orientation="landscape"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95"/>
  <sheetViews>
    <sheetView topLeftCell="A64" workbookViewId="0">
      <selection activeCell="E91" sqref="E91"/>
    </sheetView>
  </sheetViews>
  <sheetFormatPr defaultColWidth="9" defaultRowHeight="15.75"/>
  <cols>
    <col min="1" max="1" width="5" style="168" customWidth="1"/>
    <col min="2" max="2" width="42.125" style="168" customWidth="1"/>
    <col min="3" max="3" width="7.625" style="168" customWidth="1"/>
    <col min="4" max="4" width="8" style="168" customWidth="1"/>
    <col min="5" max="5" width="5.875" style="168" customWidth="1"/>
    <col min="6" max="6" width="9.125" style="168" customWidth="1"/>
    <col min="7" max="7" width="13.125" style="168" customWidth="1"/>
    <col min="8" max="8" width="15" style="168" customWidth="1"/>
    <col min="9" max="9" width="21.125" style="168" customWidth="1"/>
    <col min="10" max="10" width="10.375" style="168" customWidth="1"/>
    <col min="11" max="11" width="16.875" style="168" customWidth="1"/>
    <col min="12" max="12" width="9.75" style="168" customWidth="1"/>
    <col min="13" max="13" width="17.25" style="168" customWidth="1"/>
    <col min="14" max="14" width="18.125" style="168" customWidth="1"/>
    <col min="15" max="15" width="32.5" style="168" customWidth="1"/>
    <col min="16" max="16" width="16.75" style="168" bestFit="1" customWidth="1"/>
    <col min="17" max="16384" width="9" style="168"/>
  </cols>
  <sheetData>
    <row r="1" spans="1:10">
      <c r="F1" s="1215" t="s">
        <v>868</v>
      </c>
      <c r="G1" s="1215"/>
    </row>
    <row r="2" spans="1:10" ht="51.75" customHeight="1">
      <c r="A2" s="1212" t="s">
        <v>904</v>
      </c>
      <c r="B2" s="1212"/>
      <c r="C2" s="1212"/>
      <c r="D2" s="1212"/>
      <c r="E2" s="1212"/>
      <c r="F2" s="1212"/>
      <c r="G2" s="1212"/>
      <c r="H2" s="144"/>
    </row>
    <row r="3" spans="1:10" ht="24" customHeight="1">
      <c r="A3" s="1214" t="str">
        <f>+'5.Chi tiet huyen '!A4:K4</f>
        <v xml:space="preserve">(Kèm theo Nghị quyết  số      /NQ-HĐND ngày       /12/2024 của Hội đồng nhân dân huyện Na Rì) </v>
      </c>
      <c r="B3" s="1214"/>
      <c r="C3" s="1214"/>
      <c r="D3" s="1214"/>
      <c r="E3" s="1214"/>
      <c r="F3" s="1214"/>
      <c r="G3" s="1214"/>
      <c r="H3" s="144"/>
    </row>
    <row r="4" spans="1:10" ht="23.25" customHeight="1">
      <c r="E4" s="1170" t="s">
        <v>905</v>
      </c>
      <c r="F4" s="1170"/>
      <c r="G4" s="1170"/>
      <c r="H4" s="169"/>
      <c r="I4" s="170"/>
      <c r="J4" s="170"/>
    </row>
    <row r="5" spans="1:10" s="172" customFormat="1" ht="84" customHeight="1">
      <c r="A5" s="171" t="s">
        <v>71</v>
      </c>
      <c r="B5" s="171" t="s">
        <v>167</v>
      </c>
      <c r="C5" s="222" t="s">
        <v>895</v>
      </c>
      <c r="D5" s="222" t="s">
        <v>896</v>
      </c>
      <c r="E5" s="222" t="s">
        <v>869</v>
      </c>
      <c r="F5" s="222" t="s">
        <v>906</v>
      </c>
      <c r="G5" s="222" t="s">
        <v>897</v>
      </c>
    </row>
    <row r="6" spans="1:10" ht="24" customHeight="1">
      <c r="A6" s="173" t="s">
        <v>39</v>
      </c>
      <c r="B6" s="174" t="s">
        <v>898</v>
      </c>
      <c r="C6" s="175">
        <f>C7+C14</f>
        <v>930</v>
      </c>
      <c r="D6" s="175">
        <f>D7+D14</f>
        <v>862</v>
      </c>
      <c r="E6" s="175">
        <f>E7+E14</f>
        <v>68</v>
      </c>
      <c r="F6" s="175"/>
      <c r="G6" s="176">
        <f>+G7+G14+G18+G23+G30+G35+G38-1</f>
        <v>211769805.29640001</v>
      </c>
    </row>
    <row r="7" spans="1:10" ht="24" customHeight="1">
      <c r="A7" s="177">
        <v>1</v>
      </c>
      <c r="B7" s="178" t="s">
        <v>870</v>
      </c>
      <c r="C7" s="179">
        <f>C10+C11+C12+C13</f>
        <v>919</v>
      </c>
      <c r="D7" s="179">
        <f>D10+D11+D12+D13</f>
        <v>851</v>
      </c>
      <c r="E7" s="179">
        <f>E44+E52+E61+E71</f>
        <v>68</v>
      </c>
      <c r="F7" s="179"/>
      <c r="G7" s="180">
        <f>G8+G9</f>
        <v>167457845.29640001</v>
      </c>
      <c r="H7" s="181"/>
    </row>
    <row r="8" spans="1:10" ht="37.5" customHeight="1">
      <c r="A8" s="177"/>
      <c r="B8" s="182" t="s">
        <v>899</v>
      </c>
      <c r="C8" s="183"/>
      <c r="D8" s="183"/>
      <c r="E8" s="183"/>
      <c r="F8" s="183"/>
      <c r="G8" s="184">
        <f>+'5.Chi tiet huyen '!$K$275</f>
        <v>147875645.29640001</v>
      </c>
    </row>
    <row r="9" spans="1:10" ht="22.5" customHeight="1">
      <c r="A9" s="177"/>
      <c r="B9" s="185" t="s">
        <v>871</v>
      </c>
      <c r="C9" s="183"/>
      <c r="D9" s="183"/>
      <c r="E9" s="183">
        <f>SUM(E10:E13)</f>
        <v>68</v>
      </c>
      <c r="F9" s="183"/>
      <c r="G9" s="186">
        <f>SUM(G10:G13)</f>
        <v>19582200</v>
      </c>
    </row>
    <row r="10" spans="1:10" ht="22.5" customHeight="1">
      <c r="A10" s="177"/>
      <c r="B10" s="187" t="s">
        <v>872</v>
      </c>
      <c r="C10" s="188">
        <v>298</v>
      </c>
      <c r="D10" s="188">
        <v>293</v>
      </c>
      <c r="E10" s="188">
        <f>C10-D10</f>
        <v>5</v>
      </c>
      <c r="F10" s="188"/>
      <c r="G10" s="184">
        <v>6168600</v>
      </c>
    </row>
    <row r="11" spans="1:10" ht="22.5" customHeight="1">
      <c r="A11" s="177"/>
      <c r="B11" s="187" t="s">
        <v>873</v>
      </c>
      <c r="C11" s="188">
        <v>300</v>
      </c>
      <c r="D11" s="188">
        <v>286</v>
      </c>
      <c r="E11" s="188">
        <f>C11-D11</f>
        <v>14</v>
      </c>
      <c r="F11" s="188"/>
      <c r="G11" s="184">
        <v>6480000</v>
      </c>
    </row>
    <row r="12" spans="1:10" ht="22.5" customHeight="1">
      <c r="A12" s="177"/>
      <c r="B12" s="187" t="s">
        <v>874</v>
      </c>
      <c r="C12" s="188">
        <v>291</v>
      </c>
      <c r="D12" s="188">
        <v>244</v>
      </c>
      <c r="E12" s="188">
        <f>C12-D12</f>
        <v>47</v>
      </c>
      <c r="F12" s="188"/>
      <c r="G12" s="184">
        <v>6285600</v>
      </c>
    </row>
    <row r="13" spans="1:10" ht="22.5" customHeight="1">
      <c r="A13" s="177"/>
      <c r="B13" s="187" t="s">
        <v>875</v>
      </c>
      <c r="C13" s="188">
        <v>30</v>
      </c>
      <c r="D13" s="188">
        <v>28</v>
      </c>
      <c r="E13" s="188">
        <f>C13-D13</f>
        <v>2</v>
      </c>
      <c r="F13" s="188"/>
      <c r="G13" s="184">
        <v>648000</v>
      </c>
    </row>
    <row r="14" spans="1:10" ht="22.5" customHeight="1">
      <c r="A14" s="177">
        <v>2</v>
      </c>
      <c r="B14" s="178" t="s">
        <v>933</v>
      </c>
      <c r="C14" s="183">
        <v>11</v>
      </c>
      <c r="D14" s="183">
        <v>11</v>
      </c>
      <c r="E14" s="183">
        <f>C14-D14</f>
        <v>0</v>
      </c>
      <c r="F14" s="183"/>
      <c r="G14" s="186">
        <f>SUM(G15:G17)</f>
        <v>820344</v>
      </c>
    </row>
    <row r="15" spans="1:10" ht="22.5" customHeight="1">
      <c r="A15" s="189"/>
      <c r="B15" s="187" t="s">
        <v>876</v>
      </c>
      <c r="C15" s="183"/>
      <c r="D15" s="183"/>
      <c r="E15" s="183"/>
      <c r="F15" s="183"/>
      <c r="G15" s="184">
        <v>751044</v>
      </c>
    </row>
    <row r="16" spans="1:10" ht="22.5" customHeight="1">
      <c r="A16" s="189"/>
      <c r="B16" s="187" t="s">
        <v>877</v>
      </c>
      <c r="C16" s="183"/>
      <c r="D16" s="183"/>
      <c r="E16" s="183"/>
      <c r="F16" s="183"/>
      <c r="G16" s="184">
        <v>69300</v>
      </c>
    </row>
    <row r="17" spans="1:7" ht="22.5" customHeight="1">
      <c r="A17" s="189"/>
      <c r="B17" s="187" t="s">
        <v>878</v>
      </c>
      <c r="C17" s="183"/>
      <c r="D17" s="183"/>
      <c r="E17" s="183"/>
      <c r="F17" s="183"/>
      <c r="G17" s="184">
        <v>0</v>
      </c>
    </row>
    <row r="18" spans="1:7" ht="22.5" customHeight="1">
      <c r="A18" s="190">
        <v>3</v>
      </c>
      <c r="B18" s="178" t="s">
        <v>900</v>
      </c>
      <c r="C18" s="183"/>
      <c r="D18" s="183"/>
      <c r="E18" s="183"/>
      <c r="F18" s="183"/>
      <c r="G18" s="186">
        <f>SUM(G19:G22)</f>
        <v>1652965</v>
      </c>
    </row>
    <row r="19" spans="1:7" ht="22.5" customHeight="1">
      <c r="A19" s="191" t="s">
        <v>215</v>
      </c>
      <c r="B19" s="187" t="s">
        <v>922</v>
      </c>
      <c r="C19" s="188">
        <f>SUM(C20:C22)</f>
        <v>14</v>
      </c>
      <c r="D19" s="183"/>
      <c r="E19" s="183"/>
      <c r="F19" s="183"/>
      <c r="G19" s="184">
        <v>1351465</v>
      </c>
    </row>
    <row r="20" spans="1:7" ht="22.5" customHeight="1">
      <c r="A20" s="191" t="s">
        <v>215</v>
      </c>
      <c r="B20" s="187" t="s">
        <v>901</v>
      </c>
      <c r="C20" s="188">
        <v>1</v>
      </c>
      <c r="D20" s="183"/>
      <c r="E20" s="183"/>
      <c r="F20" s="183"/>
      <c r="G20" s="184">
        <v>20700</v>
      </c>
    </row>
    <row r="21" spans="1:7" ht="22.5" customHeight="1">
      <c r="A21" s="191" t="s">
        <v>215</v>
      </c>
      <c r="B21" s="187" t="s">
        <v>902</v>
      </c>
      <c r="C21" s="188">
        <v>6</v>
      </c>
      <c r="D21" s="183"/>
      <c r="E21" s="183"/>
      <c r="F21" s="183"/>
      <c r="G21" s="184">
        <v>129600</v>
      </c>
    </row>
    <row r="22" spans="1:7" ht="22.5" customHeight="1">
      <c r="A22" s="191" t="s">
        <v>215</v>
      </c>
      <c r="B22" s="187" t="s">
        <v>641</v>
      </c>
      <c r="C22" s="188">
        <v>7</v>
      </c>
      <c r="D22" s="183"/>
      <c r="E22" s="183"/>
      <c r="F22" s="183"/>
      <c r="G22" s="184">
        <v>151200</v>
      </c>
    </row>
    <row r="23" spans="1:7" ht="22.5" customHeight="1">
      <c r="A23" s="177">
        <v>4</v>
      </c>
      <c r="B23" s="178" t="s">
        <v>879</v>
      </c>
      <c r="C23" s="183"/>
      <c r="D23" s="183"/>
      <c r="E23" s="183"/>
      <c r="F23" s="183"/>
      <c r="G23" s="186">
        <f>SUM(G24:G29)</f>
        <v>25242252</v>
      </c>
    </row>
    <row r="24" spans="1:7" ht="51" customHeight="1">
      <c r="A24" s="221" t="s">
        <v>72</v>
      </c>
      <c r="B24" s="31" t="s">
        <v>929</v>
      </c>
      <c r="C24" s="183"/>
      <c r="D24" s="183"/>
      <c r="E24" s="183"/>
      <c r="F24" s="183"/>
      <c r="G24" s="162">
        <v>8734000</v>
      </c>
    </row>
    <row r="25" spans="1:7" ht="42" customHeight="1">
      <c r="A25" s="221" t="s">
        <v>72</v>
      </c>
      <c r="B25" s="163" t="s">
        <v>910</v>
      </c>
      <c r="C25" s="183"/>
      <c r="D25" s="183"/>
      <c r="E25" s="183"/>
      <c r="F25" s="183"/>
      <c r="G25" s="164">
        <v>9856000</v>
      </c>
    </row>
    <row r="26" spans="1:7" ht="51" customHeight="1">
      <c r="A26" s="221" t="s">
        <v>72</v>
      </c>
      <c r="B26" s="163" t="s">
        <v>911</v>
      </c>
      <c r="C26" s="183"/>
      <c r="D26" s="183"/>
      <c r="E26" s="183"/>
      <c r="F26" s="183"/>
      <c r="G26" s="164">
        <v>3479000</v>
      </c>
    </row>
    <row r="27" spans="1:7" ht="36.75" customHeight="1">
      <c r="A27" s="221" t="s">
        <v>72</v>
      </c>
      <c r="B27" s="163" t="s">
        <v>913</v>
      </c>
      <c r="C27" s="183"/>
      <c r="D27" s="183"/>
      <c r="E27" s="183"/>
      <c r="F27" s="183"/>
      <c r="G27" s="164">
        <v>2080000</v>
      </c>
    </row>
    <row r="28" spans="1:7" ht="36.75" customHeight="1">
      <c r="A28" s="221" t="s">
        <v>72</v>
      </c>
      <c r="B28" s="31" t="s">
        <v>912</v>
      </c>
      <c r="C28" s="183"/>
      <c r="D28" s="183"/>
      <c r="E28" s="183"/>
      <c r="F28" s="183"/>
      <c r="G28" s="164">
        <v>157000</v>
      </c>
    </row>
    <row r="29" spans="1:7" ht="27.75" customHeight="1">
      <c r="A29" s="221" t="s">
        <v>72</v>
      </c>
      <c r="B29" s="31" t="s">
        <v>914</v>
      </c>
      <c r="C29" s="183"/>
      <c r="D29" s="183"/>
      <c r="E29" s="183"/>
      <c r="F29" s="183"/>
      <c r="G29" s="164">
        <v>936252</v>
      </c>
    </row>
    <row r="30" spans="1:7" ht="29.25" customHeight="1">
      <c r="A30" s="177">
        <v>5</v>
      </c>
      <c r="B30" s="178" t="s">
        <v>880</v>
      </c>
      <c r="C30" s="183"/>
      <c r="D30" s="183"/>
      <c r="E30" s="183"/>
      <c r="F30" s="183"/>
      <c r="G30" s="186">
        <f>SUM(G31:G34)</f>
        <v>6030000</v>
      </c>
    </row>
    <row r="31" spans="1:7" ht="39.75" customHeight="1">
      <c r="A31" s="221" t="s">
        <v>72</v>
      </c>
      <c r="B31" s="192" t="s">
        <v>915</v>
      </c>
      <c r="C31" s="183"/>
      <c r="D31" s="183"/>
      <c r="E31" s="183"/>
      <c r="F31" s="183"/>
      <c r="G31" s="184">
        <v>4838000</v>
      </c>
    </row>
    <row r="32" spans="1:7" ht="39" customHeight="1">
      <c r="A32" s="221" t="s">
        <v>72</v>
      </c>
      <c r="B32" s="192" t="s">
        <v>916</v>
      </c>
      <c r="C32" s="183"/>
      <c r="D32" s="183"/>
      <c r="E32" s="183"/>
      <c r="F32" s="183"/>
      <c r="G32" s="184">
        <v>1050000</v>
      </c>
    </row>
    <row r="33" spans="1:8" ht="24" customHeight="1">
      <c r="A33" s="221" t="s">
        <v>72</v>
      </c>
      <c r="B33" s="193" t="s">
        <v>917</v>
      </c>
      <c r="C33" s="183"/>
      <c r="D33" s="183"/>
      <c r="E33" s="183"/>
      <c r="F33" s="183"/>
      <c r="G33" s="184">
        <v>42000</v>
      </c>
    </row>
    <row r="34" spans="1:8" ht="23.25" customHeight="1">
      <c r="A34" s="221" t="s">
        <v>72</v>
      </c>
      <c r="B34" s="194" t="s">
        <v>918</v>
      </c>
      <c r="C34" s="183"/>
      <c r="D34" s="183"/>
      <c r="E34" s="183"/>
      <c r="F34" s="183"/>
      <c r="G34" s="184">
        <v>100000</v>
      </c>
    </row>
    <row r="35" spans="1:8" ht="24" customHeight="1">
      <c r="A35" s="177">
        <v>6</v>
      </c>
      <c r="B35" s="178" t="s">
        <v>881</v>
      </c>
      <c r="C35" s="183"/>
      <c r="D35" s="183"/>
      <c r="E35" s="183"/>
      <c r="F35" s="183"/>
      <c r="G35" s="186">
        <f>SUM(G36:G37)</f>
        <v>2986400</v>
      </c>
    </row>
    <row r="36" spans="1:8" ht="39.75" customHeight="1">
      <c r="A36" s="221" t="s">
        <v>72</v>
      </c>
      <c r="B36" s="192" t="s">
        <v>919</v>
      </c>
      <c r="C36" s="183"/>
      <c r="D36" s="183"/>
      <c r="E36" s="183"/>
      <c r="F36" s="183"/>
      <c r="G36" s="184">
        <v>1300000</v>
      </c>
    </row>
    <row r="37" spans="1:8" ht="39.75" customHeight="1">
      <c r="A37" s="221" t="s">
        <v>72</v>
      </c>
      <c r="B37" s="192" t="s">
        <v>932</v>
      </c>
      <c r="C37" s="183"/>
      <c r="D37" s="183"/>
      <c r="E37" s="183"/>
      <c r="F37" s="183"/>
      <c r="G37" s="184">
        <v>1686400</v>
      </c>
    </row>
    <row r="38" spans="1:8" ht="23.25" customHeight="1">
      <c r="A38" s="195">
        <v>7</v>
      </c>
      <c r="B38" s="196" t="s">
        <v>903</v>
      </c>
      <c r="C38" s="197"/>
      <c r="D38" s="198"/>
      <c r="E38" s="198"/>
      <c r="F38" s="198"/>
      <c r="G38" s="186">
        <f>SUM(G39:G41)</f>
        <v>7580000</v>
      </c>
    </row>
    <row r="39" spans="1:8" ht="43.5" customHeight="1">
      <c r="A39" s="221" t="s">
        <v>72</v>
      </c>
      <c r="B39" s="192" t="s">
        <v>920</v>
      </c>
      <c r="C39" s="197"/>
      <c r="D39" s="198"/>
      <c r="E39" s="198"/>
      <c r="F39" s="198"/>
      <c r="G39" s="184">
        <v>148000</v>
      </c>
    </row>
    <row r="40" spans="1:8" ht="51" customHeight="1">
      <c r="A40" s="221" t="s">
        <v>72</v>
      </c>
      <c r="B40" s="192" t="s">
        <v>921</v>
      </c>
      <c r="C40" s="197"/>
      <c r="D40" s="198"/>
      <c r="E40" s="198"/>
      <c r="F40" s="198"/>
      <c r="G40" s="184">
        <v>355000</v>
      </c>
    </row>
    <row r="41" spans="1:8" ht="27" customHeight="1">
      <c r="A41" s="221" t="s">
        <v>72</v>
      </c>
      <c r="B41" s="192" t="s">
        <v>930</v>
      </c>
      <c r="C41" s="197"/>
      <c r="D41" s="198"/>
      <c r="E41" s="198"/>
      <c r="F41" s="198"/>
      <c r="G41" s="184">
        <v>7077000</v>
      </c>
    </row>
    <row r="42" spans="1:8" ht="27" customHeight="1">
      <c r="A42" s="195" t="s">
        <v>41</v>
      </c>
      <c r="B42" s="178" t="s">
        <v>882</v>
      </c>
      <c r="C42" s="200">
        <f>C43+C51+C60+C70</f>
        <v>930</v>
      </c>
      <c r="D42" s="200">
        <f>D43+D51+D60+D70</f>
        <v>862</v>
      </c>
      <c r="E42" s="200">
        <f>E43+E51+E60+E70</f>
        <v>68</v>
      </c>
      <c r="F42" s="200"/>
      <c r="G42" s="186">
        <f>G43+G51+G60+G70</f>
        <v>188122492.07464397</v>
      </c>
      <c r="H42" s="201"/>
    </row>
    <row r="43" spans="1:8" ht="27" customHeight="1">
      <c r="A43" s="202">
        <v>1</v>
      </c>
      <c r="B43" s="203" t="s">
        <v>872</v>
      </c>
      <c r="C43" s="203">
        <f>C44</f>
        <v>298</v>
      </c>
      <c r="D43" s="203">
        <f>D44</f>
        <v>293</v>
      </c>
      <c r="E43" s="203">
        <f>E44</f>
        <v>5</v>
      </c>
      <c r="F43" s="203"/>
      <c r="G43" s="186">
        <f>SUM(G47:G50)</f>
        <v>56908939.530888006</v>
      </c>
    </row>
    <row r="44" spans="1:8" ht="27" customHeight="1">
      <c r="A44" s="204" t="s">
        <v>177</v>
      </c>
      <c r="B44" s="198" t="s">
        <v>883</v>
      </c>
      <c r="C44" s="198">
        <v>298</v>
      </c>
      <c r="D44" s="198">
        <v>293</v>
      </c>
      <c r="E44" s="198">
        <f>C44-D44</f>
        <v>5</v>
      </c>
      <c r="F44" s="158"/>
      <c r="G44" s="184"/>
    </row>
    <row r="45" spans="1:8" ht="27" customHeight="1">
      <c r="A45" s="204" t="s">
        <v>178</v>
      </c>
      <c r="B45" s="198" t="s">
        <v>934</v>
      </c>
      <c r="C45" s="198"/>
      <c r="D45" s="198"/>
      <c r="E45" s="198"/>
      <c r="F45" s="198"/>
      <c r="G45" s="184"/>
    </row>
    <row r="46" spans="1:8" ht="27" customHeight="1">
      <c r="A46" s="204" t="s">
        <v>153</v>
      </c>
      <c r="B46" s="198" t="s">
        <v>884</v>
      </c>
      <c r="C46" s="198"/>
      <c r="D46" s="198"/>
      <c r="E46" s="198"/>
      <c r="F46" s="198"/>
      <c r="G46" s="184"/>
    </row>
    <row r="47" spans="1:8" ht="27" customHeight="1">
      <c r="A47" s="198"/>
      <c r="B47" s="198" t="s">
        <v>885</v>
      </c>
      <c r="C47" s="198"/>
      <c r="D47" s="198"/>
      <c r="E47" s="198"/>
      <c r="F47" s="198"/>
      <c r="G47" s="205">
        <f>+[2]MN!V28</f>
        <v>50384042.541288003</v>
      </c>
    </row>
    <row r="48" spans="1:8" ht="27" customHeight="1">
      <c r="A48" s="198"/>
      <c r="B48" s="206" t="s">
        <v>886</v>
      </c>
      <c r="C48" s="198"/>
      <c r="D48" s="198"/>
      <c r="E48" s="198">
        <f>+C44-D44</f>
        <v>5</v>
      </c>
      <c r="F48" s="158">
        <f>2.34+0.4+(2.34*0.235)+(0.4*9.73%*0.235)</f>
        <v>3.2990461999999998</v>
      </c>
      <c r="G48" s="184">
        <f>+E48*F48*1800*12</f>
        <v>356296.98960000003</v>
      </c>
    </row>
    <row r="49" spans="1:8" ht="27" customHeight="1">
      <c r="A49" s="198"/>
      <c r="B49" s="198" t="s">
        <v>887</v>
      </c>
      <c r="C49" s="198"/>
      <c r="D49" s="198"/>
      <c r="E49" s="198"/>
      <c r="F49" s="207">
        <v>23000</v>
      </c>
      <c r="G49" s="205">
        <f>+C43*F49*0.9</f>
        <v>6168600</v>
      </c>
    </row>
    <row r="50" spans="1:8" ht="27" customHeight="1">
      <c r="A50" s="198"/>
      <c r="B50" s="198" t="s">
        <v>935</v>
      </c>
      <c r="C50" s="198"/>
      <c r="D50" s="198"/>
      <c r="E50" s="198"/>
      <c r="F50" s="198"/>
      <c r="G50" s="184">
        <f>C45*6300</f>
        <v>0</v>
      </c>
    </row>
    <row r="51" spans="1:8" ht="27" customHeight="1">
      <c r="A51" s="202">
        <v>2</v>
      </c>
      <c r="B51" s="203" t="s">
        <v>888</v>
      </c>
      <c r="C51" s="203">
        <f>C52+C53</f>
        <v>301</v>
      </c>
      <c r="D51" s="203">
        <f>D52+D53</f>
        <v>287</v>
      </c>
      <c r="E51" s="203">
        <f>E52+E53</f>
        <v>14</v>
      </c>
      <c r="F51" s="203"/>
      <c r="G51" s="186">
        <f>SUM(G55:G59)</f>
        <v>67422432.421635985</v>
      </c>
    </row>
    <row r="52" spans="1:8" ht="27" customHeight="1">
      <c r="A52" s="204" t="s">
        <v>212</v>
      </c>
      <c r="B52" s="198" t="s">
        <v>883</v>
      </c>
      <c r="C52" s="198">
        <v>300</v>
      </c>
      <c r="D52" s="198">
        <v>286</v>
      </c>
      <c r="E52" s="198">
        <f>C52-D52</f>
        <v>14</v>
      </c>
      <c r="F52" s="198"/>
      <c r="G52" s="208"/>
    </row>
    <row r="53" spans="1:8" ht="27" customHeight="1">
      <c r="A53" s="204" t="s">
        <v>213</v>
      </c>
      <c r="B53" s="198" t="s">
        <v>936</v>
      </c>
      <c r="C53" s="198">
        <v>1</v>
      </c>
      <c r="D53" s="198">
        <v>1</v>
      </c>
      <c r="E53" s="198"/>
      <c r="F53" s="198"/>
      <c r="G53" s="184"/>
    </row>
    <row r="54" spans="1:8" ht="27" customHeight="1">
      <c r="A54" s="204" t="s">
        <v>214</v>
      </c>
      <c r="B54" s="198" t="s">
        <v>884</v>
      </c>
      <c r="C54" s="198"/>
      <c r="D54" s="198"/>
      <c r="E54" s="198"/>
      <c r="F54" s="198"/>
      <c r="G54" s="184"/>
    </row>
    <row r="55" spans="1:8" ht="27" customHeight="1">
      <c r="A55" s="198"/>
      <c r="B55" s="198" t="s">
        <v>885</v>
      </c>
      <c r="C55" s="198"/>
      <c r="D55" s="198"/>
      <c r="E55" s="198"/>
      <c r="F55" s="198"/>
      <c r="G55" s="205">
        <f>+'[2]Tiểu học'!V29</f>
        <v>59839294.585155994</v>
      </c>
    </row>
    <row r="56" spans="1:8" ht="27" customHeight="1">
      <c r="A56" s="198"/>
      <c r="B56" s="206" t="s">
        <v>889</v>
      </c>
      <c r="C56" s="198"/>
      <c r="D56" s="198"/>
      <c r="E56" s="198">
        <f>+C52-D52</f>
        <v>14</v>
      </c>
      <c r="F56" s="158">
        <f>2.34+0.4+(2.34*0.235)+(0.4*9.73%*0.235)</f>
        <v>3.2990461999999998</v>
      </c>
      <c r="G56" s="184">
        <f>+E56*F56*1800*12</f>
        <v>997631.57088000001</v>
      </c>
    </row>
    <row r="57" spans="1:8" ht="27" customHeight="1">
      <c r="A57" s="198"/>
      <c r="B57" s="198" t="s">
        <v>887</v>
      </c>
      <c r="C57" s="198"/>
      <c r="D57" s="198"/>
      <c r="E57" s="198"/>
      <c r="F57" s="209">
        <v>24000</v>
      </c>
      <c r="G57" s="205">
        <f>+'[2]Tiểu học'!W29</f>
        <v>6480000</v>
      </c>
    </row>
    <row r="58" spans="1:8" ht="38.25" customHeight="1">
      <c r="A58" s="198"/>
      <c r="B58" s="223" t="s">
        <v>937</v>
      </c>
      <c r="C58" s="198"/>
      <c r="D58" s="198"/>
      <c r="E58" s="198"/>
      <c r="F58" s="210">
        <f>+[2]THCS!R37</f>
        <v>8267.1887999999999</v>
      </c>
      <c r="G58" s="184">
        <f>+F58*12</f>
        <v>99206.265599999999</v>
      </c>
    </row>
    <row r="59" spans="1:8" ht="37.5" customHeight="1">
      <c r="A59" s="198"/>
      <c r="B59" s="223" t="s">
        <v>938</v>
      </c>
      <c r="C59" s="198">
        <v>1</v>
      </c>
      <c r="D59" s="198"/>
      <c r="E59" s="198"/>
      <c r="F59" s="211">
        <v>7000</v>
      </c>
      <c r="G59" s="184">
        <f>+C59*F59*0.9</f>
        <v>6300</v>
      </c>
    </row>
    <row r="60" spans="1:8" ht="27" customHeight="1">
      <c r="A60" s="202">
        <v>3</v>
      </c>
      <c r="B60" s="203" t="s">
        <v>890</v>
      </c>
      <c r="C60" s="203">
        <f>C61+C62</f>
        <v>294</v>
      </c>
      <c r="D60" s="203">
        <f>D61+D62</f>
        <v>247</v>
      </c>
      <c r="E60" s="203">
        <f>E61+E62</f>
        <v>47</v>
      </c>
      <c r="F60" s="203"/>
      <c r="G60" s="186">
        <f>SUM(G64:G69)</f>
        <v>57476132.99025999</v>
      </c>
      <c r="H60" s="201"/>
    </row>
    <row r="61" spans="1:8" ht="27" customHeight="1">
      <c r="A61" s="204" t="s">
        <v>0</v>
      </c>
      <c r="B61" s="198" t="s">
        <v>883</v>
      </c>
      <c r="C61" s="198">
        <v>291</v>
      </c>
      <c r="D61" s="198">
        <v>244</v>
      </c>
      <c r="E61" s="198">
        <f>C61-D61</f>
        <v>47</v>
      </c>
      <c r="F61" s="198"/>
      <c r="G61" s="184"/>
    </row>
    <row r="62" spans="1:8" ht="27" customHeight="1">
      <c r="A62" s="204" t="s">
        <v>2</v>
      </c>
      <c r="B62" s="198" t="s">
        <v>934</v>
      </c>
      <c r="C62" s="198">
        <v>3</v>
      </c>
      <c r="D62" s="198">
        <v>3</v>
      </c>
      <c r="E62" s="198">
        <f>C62-D62</f>
        <v>0</v>
      </c>
      <c r="F62" s="198"/>
      <c r="G62" s="184"/>
    </row>
    <row r="63" spans="1:8" ht="27" customHeight="1">
      <c r="A63" s="204" t="s">
        <v>330</v>
      </c>
      <c r="B63" s="198" t="s">
        <v>884</v>
      </c>
      <c r="C63" s="198"/>
      <c r="D63" s="198"/>
      <c r="E63" s="198"/>
      <c r="F63" s="198"/>
      <c r="G63" s="184"/>
    </row>
    <row r="64" spans="1:8" ht="27" customHeight="1">
      <c r="A64" s="199"/>
      <c r="B64" s="198" t="s">
        <v>885</v>
      </c>
      <c r="C64" s="198"/>
      <c r="D64" s="198"/>
      <c r="E64" s="198"/>
      <c r="F64" s="212">
        <v>2007.229</v>
      </c>
      <c r="G64" s="205">
        <f>+[2]THCS!V28</f>
        <v>47594702.288739994</v>
      </c>
    </row>
    <row r="65" spans="1:7" ht="27" customHeight="1">
      <c r="A65" s="199"/>
      <c r="B65" s="213" t="s">
        <v>891</v>
      </c>
      <c r="C65" s="198"/>
      <c r="D65" s="198"/>
      <c r="E65" s="198">
        <f>+C61-D61</f>
        <v>47</v>
      </c>
      <c r="F65" s="158">
        <f>2.34+0.4+(2.34*0.235)+(0.4*9.73%*0.235)</f>
        <v>3.2990461999999998</v>
      </c>
      <c r="G65" s="184">
        <f>+[2]THCS!X28</f>
        <v>3349191.7022399991</v>
      </c>
    </row>
    <row r="66" spans="1:7" ht="27" customHeight="1">
      <c r="A66" s="199"/>
      <c r="B66" s="213" t="s">
        <v>907</v>
      </c>
      <c r="C66" s="198"/>
      <c r="D66" s="198"/>
      <c r="E66" s="198"/>
      <c r="F66" s="198"/>
      <c r="G66" s="184">
        <v>0</v>
      </c>
    </row>
    <row r="67" spans="1:7" ht="27" customHeight="1">
      <c r="A67" s="199"/>
      <c r="B67" s="198" t="s">
        <v>887</v>
      </c>
      <c r="C67" s="198"/>
      <c r="D67" s="198"/>
      <c r="E67" s="198"/>
      <c r="F67" s="209">
        <v>24000</v>
      </c>
      <c r="G67" s="205">
        <f>+[2]THCS!W28</f>
        <v>6285600</v>
      </c>
    </row>
    <row r="68" spans="1:7" ht="34.5" customHeight="1">
      <c r="A68" s="199"/>
      <c r="B68" s="223" t="s">
        <v>937</v>
      </c>
      <c r="C68" s="198"/>
      <c r="D68" s="198"/>
      <c r="E68" s="198"/>
      <c r="F68" s="198"/>
      <c r="G68" s="184">
        <f>+[2]THCS!V35+[2]THCS!V36+[2]THCS!V38</f>
        <v>227738.99927999999</v>
      </c>
    </row>
    <row r="69" spans="1:7" ht="36" customHeight="1">
      <c r="A69" s="199"/>
      <c r="B69" s="223" t="s">
        <v>938</v>
      </c>
      <c r="C69" s="198">
        <v>3</v>
      </c>
      <c r="D69" s="198"/>
      <c r="E69" s="198"/>
      <c r="F69" s="209">
        <v>7000</v>
      </c>
      <c r="G69" s="184">
        <f>+C69*F69*0.9</f>
        <v>18900</v>
      </c>
    </row>
    <row r="70" spans="1:7" ht="27" customHeight="1">
      <c r="A70" s="202">
        <v>4</v>
      </c>
      <c r="B70" s="203" t="s">
        <v>892</v>
      </c>
      <c r="C70" s="203">
        <f>C71+C74</f>
        <v>37</v>
      </c>
      <c r="D70" s="203">
        <f>D71+D74</f>
        <v>35</v>
      </c>
      <c r="E70" s="203">
        <f>E71+E74</f>
        <v>2</v>
      </c>
      <c r="F70" s="203"/>
      <c r="G70" s="186">
        <f>SUM(G71:G75)</f>
        <v>6314987.131860001</v>
      </c>
    </row>
    <row r="71" spans="1:7" ht="27" customHeight="1">
      <c r="A71" s="202"/>
      <c r="B71" s="198" t="s">
        <v>885</v>
      </c>
      <c r="C71" s="198">
        <v>30</v>
      </c>
      <c r="D71" s="198">
        <v>28</v>
      </c>
      <c r="E71" s="198">
        <f>C71-D71</f>
        <v>2</v>
      </c>
      <c r="F71" s="198"/>
      <c r="G71" s="205">
        <f>+[2]THCS!V29</f>
        <v>5056271.370000001</v>
      </c>
    </row>
    <row r="72" spans="1:7" ht="27" customHeight="1">
      <c r="A72" s="202"/>
      <c r="B72" s="213" t="s">
        <v>891</v>
      </c>
      <c r="C72" s="198"/>
      <c r="D72" s="198"/>
      <c r="E72" s="198">
        <f>+C71-D71</f>
        <v>2</v>
      </c>
      <c r="F72" s="158">
        <f>2.34+0.4+(2.34*0.235)+(0.4*9.73%*0.235)</f>
        <v>3.2990461999999998</v>
      </c>
      <c r="G72" s="184">
        <f>+E72*F72*1800*12</f>
        <v>142518.79584000001</v>
      </c>
    </row>
    <row r="73" spans="1:7" ht="27" customHeight="1">
      <c r="A73" s="202"/>
      <c r="B73" s="194" t="s">
        <v>893</v>
      </c>
      <c r="C73" s="198"/>
      <c r="D73" s="198"/>
      <c r="E73" s="198"/>
      <c r="F73" s="211">
        <v>24000</v>
      </c>
      <c r="G73" s="205">
        <f>+C71*F73*0.9</f>
        <v>648000</v>
      </c>
    </row>
    <row r="74" spans="1:7" ht="34.5" customHeight="1">
      <c r="A74" s="202"/>
      <c r="B74" s="193" t="s">
        <v>939</v>
      </c>
      <c r="C74" s="198">
        <v>7</v>
      </c>
      <c r="D74" s="198">
        <v>7</v>
      </c>
      <c r="E74" s="198">
        <f>C74-D74</f>
        <v>0</v>
      </c>
      <c r="F74" s="211">
        <f>28616.616+(28616.161*0.235)</f>
        <v>35341.413834999999</v>
      </c>
      <c r="G74" s="184">
        <f>+F74*12</f>
        <v>424096.96601999999</v>
      </c>
    </row>
    <row r="75" spans="1:7" ht="27.75" customHeight="1">
      <c r="A75" s="202"/>
      <c r="B75" s="194" t="s">
        <v>940</v>
      </c>
      <c r="C75" s="198"/>
      <c r="D75" s="198"/>
      <c r="E75" s="198"/>
      <c r="F75" s="211">
        <v>7000</v>
      </c>
      <c r="G75" s="184">
        <f>+C74*F75*0.9</f>
        <v>44100</v>
      </c>
    </row>
    <row r="76" spans="1:7" s="15" customFormat="1" ht="26.25" customHeight="1">
      <c r="A76" s="159" t="s">
        <v>42</v>
      </c>
      <c r="B76" s="214" t="s">
        <v>908</v>
      </c>
      <c r="C76" s="160"/>
      <c r="D76" s="160"/>
      <c r="E76" s="160"/>
      <c r="F76" s="161"/>
      <c r="G76" s="215">
        <f>SUM(G77:G80)</f>
        <v>6030000</v>
      </c>
    </row>
    <row r="77" spans="1:7" ht="38.25" customHeight="1">
      <c r="A77" s="22">
        <v>1</v>
      </c>
      <c r="B77" s="192" t="s">
        <v>923</v>
      </c>
      <c r="C77" s="198"/>
      <c r="D77" s="198"/>
      <c r="E77" s="198"/>
      <c r="F77" s="198"/>
      <c r="G77" s="184">
        <v>4838000</v>
      </c>
    </row>
    <row r="78" spans="1:7" ht="38.25" customHeight="1">
      <c r="A78" s="22">
        <v>2</v>
      </c>
      <c r="B78" s="192" t="s">
        <v>916</v>
      </c>
      <c r="C78" s="198"/>
      <c r="D78" s="198"/>
      <c r="E78" s="198"/>
      <c r="F78" s="198"/>
      <c r="G78" s="184">
        <v>1050000</v>
      </c>
    </row>
    <row r="79" spans="1:7" ht="22.5" customHeight="1">
      <c r="A79" s="22">
        <v>3</v>
      </c>
      <c r="B79" s="193" t="s">
        <v>924</v>
      </c>
      <c r="C79" s="198"/>
      <c r="D79" s="198"/>
      <c r="E79" s="198"/>
      <c r="F79" s="198"/>
      <c r="G79" s="184">
        <v>42000</v>
      </c>
    </row>
    <row r="80" spans="1:7" ht="22.5" customHeight="1">
      <c r="A80" s="22">
        <v>4</v>
      </c>
      <c r="B80" s="194" t="s">
        <v>918</v>
      </c>
      <c r="C80" s="198"/>
      <c r="D80" s="198"/>
      <c r="E80" s="198"/>
      <c r="F80" s="198"/>
      <c r="G80" s="184">
        <v>100000</v>
      </c>
    </row>
    <row r="81" spans="1:9" ht="22.5" customHeight="1">
      <c r="A81" s="195" t="s">
        <v>173</v>
      </c>
      <c r="B81" s="216" t="s">
        <v>881</v>
      </c>
      <c r="C81" s="198"/>
      <c r="D81" s="198"/>
      <c r="E81" s="198"/>
      <c r="F81" s="198"/>
      <c r="G81" s="186">
        <f>G82+G83</f>
        <v>2986400</v>
      </c>
    </row>
    <row r="82" spans="1:9" ht="42" customHeight="1">
      <c r="A82" s="199">
        <v>1</v>
      </c>
      <c r="B82" s="192" t="s">
        <v>925</v>
      </c>
      <c r="C82" s="198"/>
      <c r="D82" s="198"/>
      <c r="E82" s="198"/>
      <c r="F82" s="198"/>
      <c r="G82" s="184">
        <v>1300000</v>
      </c>
    </row>
    <row r="83" spans="1:9" ht="48" customHeight="1">
      <c r="A83" s="199">
        <v>2</v>
      </c>
      <c r="B83" s="192" t="s">
        <v>941</v>
      </c>
      <c r="C83" s="197"/>
      <c r="D83" s="198"/>
      <c r="E83" s="198"/>
      <c r="F83" s="198"/>
      <c r="G83" s="184">
        <v>1686400</v>
      </c>
    </row>
    <row r="84" spans="1:9" ht="26.25" customHeight="1">
      <c r="A84" s="195" t="s">
        <v>67</v>
      </c>
      <c r="B84" s="196" t="s">
        <v>903</v>
      </c>
      <c r="C84" s="197"/>
      <c r="D84" s="198"/>
      <c r="E84" s="198"/>
      <c r="F84" s="198"/>
      <c r="G84" s="186">
        <f>SUM(G85:G87)</f>
        <v>7580000</v>
      </c>
    </row>
    <row r="85" spans="1:9" ht="45.75" customHeight="1">
      <c r="A85" s="199">
        <v>1</v>
      </c>
      <c r="B85" s="192" t="s">
        <v>920</v>
      </c>
      <c r="C85" s="197"/>
      <c r="D85" s="198"/>
      <c r="E85" s="198"/>
      <c r="F85" s="198"/>
      <c r="G85" s="184">
        <v>148000</v>
      </c>
    </row>
    <row r="86" spans="1:9" ht="55.5" customHeight="1">
      <c r="A86" s="199">
        <v>2</v>
      </c>
      <c r="B86" s="192" t="s">
        <v>921</v>
      </c>
      <c r="C86" s="197"/>
      <c r="D86" s="198"/>
      <c r="E86" s="198"/>
      <c r="F86" s="198"/>
      <c r="G86" s="184">
        <v>355000</v>
      </c>
    </row>
    <row r="87" spans="1:9" ht="24.75" customHeight="1">
      <c r="A87" s="199">
        <v>3</v>
      </c>
      <c r="B87" s="192" t="s">
        <v>930</v>
      </c>
      <c r="C87" s="197"/>
      <c r="D87" s="198"/>
      <c r="E87" s="198"/>
      <c r="F87" s="198"/>
      <c r="G87" s="184">
        <v>7077000</v>
      </c>
    </row>
    <row r="88" spans="1:9" ht="24.75" customHeight="1">
      <c r="A88" s="195" t="s">
        <v>168</v>
      </c>
      <c r="B88" s="165" t="s">
        <v>894</v>
      </c>
      <c r="C88" s="198"/>
      <c r="D88" s="198"/>
      <c r="E88" s="198"/>
      <c r="F88" s="198"/>
      <c r="G88" s="166">
        <f>SUM(G89:G94)</f>
        <v>25242252</v>
      </c>
    </row>
    <row r="89" spans="1:9" ht="53.25" customHeight="1">
      <c r="A89" s="22">
        <v>1</v>
      </c>
      <c r="B89" s="31" t="s">
        <v>929</v>
      </c>
      <c r="C89" s="198"/>
      <c r="D89" s="198"/>
      <c r="E89" s="198"/>
      <c r="F89" s="198"/>
      <c r="G89" s="167">
        <v>8734000</v>
      </c>
    </row>
    <row r="90" spans="1:9" ht="44.25" customHeight="1">
      <c r="A90" s="22">
        <v>2</v>
      </c>
      <c r="B90" s="163" t="s">
        <v>926</v>
      </c>
      <c r="C90" s="198"/>
      <c r="D90" s="198"/>
      <c r="E90" s="198"/>
      <c r="F90" s="198"/>
      <c r="G90" s="164">
        <v>9856000</v>
      </c>
    </row>
    <row r="91" spans="1:9" ht="53.25" customHeight="1">
      <c r="A91" s="22">
        <v>3</v>
      </c>
      <c r="B91" s="163" t="s">
        <v>927</v>
      </c>
      <c r="C91" s="198"/>
      <c r="D91" s="198"/>
      <c r="E91" s="198"/>
      <c r="F91" s="198"/>
      <c r="G91" s="164">
        <v>3479000</v>
      </c>
    </row>
    <row r="92" spans="1:9" ht="36" customHeight="1">
      <c r="A92" s="22">
        <v>4</v>
      </c>
      <c r="B92" s="163" t="s">
        <v>913</v>
      </c>
      <c r="C92" s="198"/>
      <c r="D92" s="198"/>
      <c r="E92" s="198"/>
      <c r="F92" s="198"/>
      <c r="G92" s="164">
        <v>2080000</v>
      </c>
    </row>
    <row r="93" spans="1:9" ht="34.5" customHeight="1">
      <c r="A93" s="22">
        <v>5</v>
      </c>
      <c r="B93" s="31" t="s">
        <v>928</v>
      </c>
      <c r="C93" s="198"/>
      <c r="D93" s="198"/>
      <c r="E93" s="198"/>
      <c r="F93" s="198"/>
      <c r="G93" s="164">
        <v>157000</v>
      </c>
    </row>
    <row r="94" spans="1:9" ht="33.75" customHeight="1">
      <c r="A94" s="22">
        <v>6</v>
      </c>
      <c r="B94" s="31" t="s">
        <v>931</v>
      </c>
      <c r="C94" s="198"/>
      <c r="D94" s="198"/>
      <c r="E94" s="198"/>
      <c r="F94" s="198"/>
      <c r="G94" s="164">
        <v>936252</v>
      </c>
    </row>
    <row r="95" spans="1:9" ht="48.75" customHeight="1">
      <c r="A95" s="217" t="s">
        <v>169</v>
      </c>
      <c r="B95" s="218" t="s">
        <v>909</v>
      </c>
      <c r="C95" s="219"/>
      <c r="D95" s="219"/>
      <c r="E95" s="219"/>
      <c r="F95" s="219"/>
      <c r="G95" s="220">
        <f>G6-G42-G76-G81-G84-G88</f>
        <v>-18191338.778243959</v>
      </c>
      <c r="H95" s="1213"/>
      <c r="I95" s="1213"/>
    </row>
  </sheetData>
  <mergeCells count="5">
    <mergeCell ref="A2:G2"/>
    <mergeCell ref="E4:G4"/>
    <mergeCell ref="H95:I95"/>
    <mergeCell ref="A3:G3"/>
    <mergeCell ref="F1:G1"/>
  </mergeCells>
  <pageMargins left="0.43" right="0.2" top="0.42" bottom="0.31" header="0.3" footer="0.2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BP186"/>
  <sheetViews>
    <sheetView zoomScale="80" zoomScaleNormal="80" workbookViewId="0">
      <pane xSplit="1" ySplit="8" topLeftCell="B10" activePane="bottomRight" state="frozen"/>
      <selection activeCell="J22" sqref="J22"/>
      <selection pane="topRight" activeCell="J22" sqref="J22"/>
      <selection pane="bottomLeft" activeCell="J22" sqref="J22"/>
      <selection pane="bottomRight" activeCell="B54" sqref="B54"/>
    </sheetView>
  </sheetViews>
  <sheetFormatPr defaultColWidth="9" defaultRowHeight="15"/>
  <cols>
    <col min="1" max="1" width="6.25" style="526" customWidth="1"/>
    <col min="2" max="2" width="46.75" style="527" customWidth="1"/>
    <col min="3" max="3" width="13.125" style="528" customWidth="1"/>
    <col min="4" max="4" width="12.875" style="529" customWidth="1"/>
    <col min="5" max="5" width="13.875" style="527" customWidth="1"/>
    <col min="6" max="6" width="11.875" style="530" customWidth="1"/>
    <col min="7" max="7" width="11.625" style="527" hidden="1" customWidth="1"/>
    <col min="8" max="8" width="17.125" style="530" customWidth="1"/>
    <col min="9" max="9" width="13" style="530" bestFit="1" customWidth="1"/>
    <col min="10" max="16384" width="9" style="527"/>
  </cols>
  <sheetData>
    <row r="1" spans="1:9">
      <c r="E1" s="1218" t="s">
        <v>266</v>
      </c>
      <c r="F1" s="1218"/>
    </row>
    <row r="2" spans="1:9" ht="19.5" customHeight="1">
      <c r="A2" s="1220" t="s">
        <v>207</v>
      </c>
      <c r="B2" s="1220"/>
      <c r="C2" s="1220"/>
      <c r="D2" s="1220"/>
      <c r="E2" s="1220"/>
      <c r="F2" s="1220"/>
    </row>
    <row r="3" spans="1:9" ht="35.25" customHeight="1">
      <c r="A3" s="1219" t="s">
        <v>1309</v>
      </c>
      <c r="B3" s="1219"/>
      <c r="C3" s="1219"/>
      <c r="D3" s="1219"/>
      <c r="E3" s="1219"/>
      <c r="F3" s="1219"/>
    </row>
    <row r="4" spans="1:9" ht="18.75" customHeight="1">
      <c r="A4" s="1221" t="str">
        <f>+'4.THDT chi 24'!A3:D3</f>
        <v xml:space="preserve">(Kèm theo Nghị quyết  số      /NQ-HĐND ngày       /12/2024 của Hội đồng nhân dân huyện Na Rì) </v>
      </c>
      <c r="B4" s="1221"/>
      <c r="C4" s="1221"/>
      <c r="D4" s="1221"/>
      <c r="E4" s="1221"/>
      <c r="F4" s="1221"/>
    </row>
    <row r="5" spans="1:9" ht="21" customHeight="1">
      <c r="C5" s="1222" t="s">
        <v>197</v>
      </c>
      <c r="D5" s="1222"/>
      <c r="E5" s="1222"/>
      <c r="F5" s="1222"/>
    </row>
    <row r="6" spans="1:9" s="531" customFormat="1" ht="28.5" customHeight="1">
      <c r="A6" s="921" t="s">
        <v>71</v>
      </c>
      <c r="B6" s="921" t="s">
        <v>196</v>
      </c>
      <c r="C6" s="978" t="s">
        <v>198</v>
      </c>
      <c r="D6" s="979" t="s">
        <v>134</v>
      </c>
      <c r="E6" s="921" t="s">
        <v>199</v>
      </c>
      <c r="F6" s="980" t="s">
        <v>115</v>
      </c>
      <c r="H6" s="532"/>
      <c r="I6" s="532"/>
    </row>
    <row r="7" spans="1:9" s="531" customFormat="1" ht="21.95" customHeight="1">
      <c r="A7" s="981" t="s">
        <v>36</v>
      </c>
      <c r="B7" s="981" t="s">
        <v>37</v>
      </c>
      <c r="C7" s="981">
        <v>1</v>
      </c>
      <c r="D7" s="981">
        <v>2</v>
      </c>
      <c r="E7" s="981">
        <v>3</v>
      </c>
      <c r="F7" s="981">
        <v>4</v>
      </c>
      <c r="H7" s="532"/>
      <c r="I7" s="532"/>
    </row>
    <row r="8" spans="1:9" s="306" customFormat="1" ht="29.45" customHeight="1">
      <c r="A8" s="414"/>
      <c r="B8" s="414" t="s">
        <v>200</v>
      </c>
      <c r="C8" s="533">
        <f>+C9+C23</f>
        <v>55496900</v>
      </c>
      <c r="D8" s="533">
        <f>+D9+D23</f>
        <v>55496900</v>
      </c>
      <c r="E8" s="416"/>
      <c r="F8" s="417"/>
      <c r="H8" s="307"/>
      <c r="I8" s="307"/>
    </row>
    <row r="9" spans="1:9" s="306" customFormat="1" ht="26.25" customHeight="1">
      <c r="A9" s="414" t="s">
        <v>36</v>
      </c>
      <c r="B9" s="414" t="s">
        <v>255</v>
      </c>
      <c r="C9" s="415">
        <f>+C10+C13+C16</f>
        <v>26991000</v>
      </c>
      <c r="D9" s="415">
        <f>+D10+D13+D16</f>
        <v>26991000</v>
      </c>
      <c r="E9" s="416"/>
      <c r="F9" s="417"/>
      <c r="H9" s="307"/>
      <c r="I9" s="307"/>
    </row>
    <row r="10" spans="1:9" s="306" customFormat="1" ht="31.35" customHeight="1">
      <c r="A10" s="399" t="s">
        <v>39</v>
      </c>
      <c r="B10" s="400" t="s">
        <v>208</v>
      </c>
      <c r="C10" s="401">
        <v>15334000</v>
      </c>
      <c r="D10" s="401">
        <v>15334000</v>
      </c>
      <c r="E10" s="402"/>
      <c r="F10" s="403"/>
      <c r="H10" s="307"/>
      <c r="I10" s="307"/>
    </row>
    <row r="11" spans="1:9" s="311" customFormat="1" ht="31.35" hidden="1" customHeight="1">
      <c r="A11" s="447"/>
      <c r="B11" s="448" t="s">
        <v>1308</v>
      </c>
      <c r="C11" s="449"/>
      <c r="D11" s="449">
        <v>15334000</v>
      </c>
      <c r="E11" s="450"/>
      <c r="F11" s="451"/>
      <c r="H11" s="452"/>
      <c r="I11" s="452"/>
    </row>
    <row r="12" spans="1:9" s="311" customFormat="1" ht="31.35" hidden="1" customHeight="1">
      <c r="A12" s="447"/>
      <c r="B12" s="448"/>
      <c r="C12" s="449"/>
      <c r="D12" s="449"/>
      <c r="E12" s="450"/>
      <c r="F12" s="451"/>
      <c r="H12" s="452"/>
      <c r="I12" s="452"/>
    </row>
    <row r="13" spans="1:9" s="306" customFormat="1" ht="27.6" customHeight="1">
      <c r="A13" s="295" t="s">
        <v>41</v>
      </c>
      <c r="B13" s="296" t="s">
        <v>295</v>
      </c>
      <c r="C13" s="404">
        <v>5857000</v>
      </c>
      <c r="D13" s="411">
        <f>SUM(D14:D15)</f>
        <v>5857000</v>
      </c>
      <c r="E13" s="412">
        <f>+C13-D13</f>
        <v>0</v>
      </c>
      <c r="F13" s="300"/>
      <c r="H13" s="307"/>
      <c r="I13" s="307"/>
    </row>
    <row r="14" spans="1:9" s="306" customFormat="1" ht="27.6" hidden="1" customHeight="1">
      <c r="A14" s="295"/>
      <c r="B14" s="448" t="s">
        <v>1308</v>
      </c>
      <c r="C14" s="404"/>
      <c r="D14" s="310">
        <v>4497834.2850000001</v>
      </c>
      <c r="E14" s="412"/>
      <c r="F14" s="300"/>
      <c r="H14" s="307"/>
      <c r="I14" s="307"/>
    </row>
    <row r="15" spans="1:9" s="311" customFormat="1" ht="27.6" hidden="1" customHeight="1">
      <c r="A15" s="309"/>
      <c r="B15" s="283" t="s">
        <v>302</v>
      </c>
      <c r="C15" s="320"/>
      <c r="D15" s="310">
        <v>1359165.7150000001</v>
      </c>
      <c r="E15" s="395"/>
      <c r="F15" s="453"/>
      <c r="H15" s="452"/>
      <c r="I15" s="452"/>
    </row>
    <row r="16" spans="1:9" s="306" customFormat="1" ht="39.6" customHeight="1">
      <c r="A16" s="295" t="s">
        <v>42</v>
      </c>
      <c r="B16" s="418" t="s">
        <v>748</v>
      </c>
      <c r="C16" s="404">
        <f>+C17+C20</f>
        <v>5800000</v>
      </c>
      <c r="D16" s="404">
        <f>+D17+D20</f>
        <v>5800000</v>
      </c>
      <c r="E16" s="413"/>
      <c r="F16" s="300"/>
      <c r="H16" s="307"/>
      <c r="I16" s="307"/>
    </row>
    <row r="17" spans="1:12" s="301" customFormat="1" ht="26.45" customHeight="1">
      <c r="A17" s="386">
        <v>1</v>
      </c>
      <c r="B17" s="394" t="s">
        <v>622</v>
      </c>
      <c r="C17" s="410">
        <v>200000</v>
      </c>
      <c r="D17" s="502">
        <f>SUM(D18:D19)</f>
        <v>200000</v>
      </c>
      <c r="E17" s="413"/>
      <c r="F17" s="305"/>
      <c r="H17" s="302"/>
      <c r="I17" s="302"/>
    </row>
    <row r="18" spans="1:12" s="301" customFormat="1" ht="39" hidden="1" customHeight="1">
      <c r="A18" s="386" t="s">
        <v>72</v>
      </c>
      <c r="B18" s="420" t="s">
        <v>1306</v>
      </c>
      <c r="C18" s="410"/>
      <c r="D18" s="421">
        <v>100000</v>
      </c>
      <c r="E18" s="422" t="s">
        <v>446</v>
      </c>
      <c r="F18" s="305"/>
      <c r="H18" s="302"/>
      <c r="I18" s="302"/>
    </row>
    <row r="19" spans="1:12" s="301" customFormat="1" ht="39" hidden="1" customHeight="1">
      <c r="A19" s="386" t="s">
        <v>72</v>
      </c>
      <c r="B19" s="420" t="s">
        <v>1307</v>
      </c>
      <c r="C19" s="410"/>
      <c r="D19" s="421">
        <v>100000</v>
      </c>
      <c r="E19" s="422" t="s">
        <v>472</v>
      </c>
      <c r="F19" s="305"/>
      <c r="H19" s="302"/>
      <c r="I19" s="302"/>
    </row>
    <row r="20" spans="1:12" s="311" customFormat="1" ht="39.75" customHeight="1">
      <c r="A20" s="386">
        <v>2</v>
      </c>
      <c r="B20" s="394" t="s">
        <v>624</v>
      </c>
      <c r="C20" s="320">
        <v>5600000</v>
      </c>
      <c r="D20" s="421">
        <f>+C20</f>
        <v>5600000</v>
      </c>
      <c r="E20" s="309"/>
      <c r="F20" s="453"/>
      <c r="H20" s="452"/>
      <c r="I20" s="452"/>
    </row>
    <row r="21" spans="1:12" s="408" customFormat="1" ht="28.5" hidden="1" customHeight="1">
      <c r="A21" s="419"/>
      <c r="B21" s="418" t="s">
        <v>1308</v>
      </c>
      <c r="C21" s="405"/>
      <c r="D21" s="423">
        <f>+D20-D22</f>
        <v>4762614</v>
      </c>
      <c r="E21" s="424"/>
      <c r="F21" s="407"/>
      <c r="H21" s="409"/>
      <c r="I21" s="409"/>
    </row>
    <row r="22" spans="1:12" s="408" customFormat="1" ht="28.5" hidden="1" customHeight="1">
      <c r="A22" s="419"/>
      <c r="B22" s="418" t="s">
        <v>302</v>
      </c>
      <c r="C22" s="405"/>
      <c r="D22" s="423">
        <v>837386</v>
      </c>
      <c r="E22" s="424"/>
      <c r="F22" s="407"/>
      <c r="H22" s="409"/>
      <c r="I22" s="409"/>
    </row>
    <row r="23" spans="1:12" s="301" customFormat="1" ht="24.6" customHeight="1">
      <c r="A23" s="295" t="s">
        <v>37</v>
      </c>
      <c r="B23" s="296" t="s">
        <v>844</v>
      </c>
      <c r="C23" s="297">
        <f>+C24+C25+C26+C28+C29+C30+C32+C33</f>
        <v>28505900</v>
      </c>
      <c r="D23" s="297">
        <f>+D24+D25+D26+D28+D29+D30+D32+D33</f>
        <v>28505900</v>
      </c>
      <c r="E23" s="430">
        <f>+C23-D23</f>
        <v>0</v>
      </c>
      <c r="F23" s="300"/>
      <c r="G23" s="431"/>
      <c r="H23" s="302"/>
      <c r="I23" s="302"/>
    </row>
    <row r="24" spans="1:12" s="306" customFormat="1" ht="23.45" customHeight="1">
      <c r="A24" s="295">
        <v>1</v>
      </c>
      <c r="B24" s="296" t="s">
        <v>814</v>
      </c>
      <c r="C24" s="297">
        <f>+D24</f>
        <v>1532600</v>
      </c>
      <c r="D24" s="298">
        <f>'5.Chi tiet huyen '!K15</f>
        <v>1532600</v>
      </c>
      <c r="E24" s="299"/>
      <c r="F24" s="300"/>
      <c r="G24" s="432"/>
      <c r="H24" s="307"/>
      <c r="I24" s="307"/>
      <c r="L24" s="432"/>
    </row>
    <row r="25" spans="1:12" s="306" customFormat="1" ht="23.45" customHeight="1">
      <c r="A25" s="295">
        <v>2</v>
      </c>
      <c r="B25" s="296" t="s">
        <v>1435</v>
      </c>
      <c r="C25" s="297">
        <f>+D25</f>
        <v>258700</v>
      </c>
      <c r="D25" s="298">
        <f>'5.Chi tiet huyen '!K20</f>
        <v>258700</v>
      </c>
      <c r="E25" s="299"/>
      <c r="F25" s="300"/>
      <c r="G25" s="433"/>
      <c r="H25" s="307"/>
      <c r="I25" s="307"/>
    </row>
    <row r="26" spans="1:12" s="301" customFormat="1" ht="23.45" customHeight="1">
      <c r="A26" s="295">
        <v>3</v>
      </c>
      <c r="B26" s="296" t="s">
        <v>1164</v>
      </c>
      <c r="C26" s="297">
        <f>+D26</f>
        <v>125000</v>
      </c>
      <c r="D26" s="298">
        <f>SUM(D27:D27)</f>
        <v>125000</v>
      </c>
      <c r="E26" s="299"/>
      <c r="F26" s="300"/>
      <c r="H26" s="302"/>
      <c r="I26" s="302"/>
    </row>
    <row r="27" spans="1:12" s="306" customFormat="1" ht="23.45" customHeight="1">
      <c r="A27" s="398" t="s">
        <v>72</v>
      </c>
      <c r="B27" s="294" t="s">
        <v>201</v>
      </c>
      <c r="C27" s="303"/>
      <c r="D27" s="304">
        <v>125000</v>
      </c>
      <c r="E27" s="299"/>
      <c r="F27" s="305"/>
      <c r="H27" s="307"/>
      <c r="I27" s="307"/>
    </row>
    <row r="28" spans="1:12" s="306" customFormat="1" ht="29.45" customHeight="1">
      <c r="A28" s="295">
        <v>4</v>
      </c>
      <c r="B28" s="296" t="s">
        <v>416</v>
      </c>
      <c r="C28" s="297">
        <f>+D28</f>
        <v>425000</v>
      </c>
      <c r="D28" s="298">
        <f>17*25000</f>
        <v>425000</v>
      </c>
      <c r="E28" s="1223" t="s">
        <v>1436</v>
      </c>
      <c r="F28" s="1225" t="s">
        <v>534</v>
      </c>
      <c r="H28" s="307"/>
      <c r="I28" s="307"/>
    </row>
    <row r="29" spans="1:12" s="306" customFormat="1" ht="42" customHeight="1">
      <c r="A29" s="295">
        <v>5</v>
      </c>
      <c r="B29" s="296" t="s">
        <v>1454</v>
      </c>
      <c r="C29" s="297">
        <v>1460000</v>
      </c>
      <c r="D29" s="298">
        <f>'6a'!D28</f>
        <v>1460000</v>
      </c>
      <c r="E29" s="1224"/>
      <c r="F29" s="1226"/>
      <c r="H29" s="307"/>
      <c r="I29" s="307"/>
    </row>
    <row r="30" spans="1:12" s="301" customFormat="1" ht="41.25" customHeight="1">
      <c r="A30" s="295">
        <v>5</v>
      </c>
      <c r="B30" s="296" t="s">
        <v>642</v>
      </c>
      <c r="C30" s="297">
        <v>500000</v>
      </c>
      <c r="D30" s="298">
        <f>+D31</f>
        <v>500000</v>
      </c>
      <c r="E30" s="1216" t="s">
        <v>517</v>
      </c>
      <c r="F30" s="300"/>
      <c r="H30" s="302"/>
      <c r="I30" s="302"/>
    </row>
    <row r="31" spans="1:12" s="306" customFormat="1" ht="41.25" customHeight="1">
      <c r="A31" s="398" t="s">
        <v>72</v>
      </c>
      <c r="B31" s="294" t="s">
        <v>1177</v>
      </c>
      <c r="C31" s="303"/>
      <c r="D31" s="304">
        <v>500000</v>
      </c>
      <c r="E31" s="1216"/>
      <c r="F31" s="305"/>
      <c r="H31" s="307"/>
      <c r="I31" s="307"/>
    </row>
    <row r="32" spans="1:12" s="301" customFormat="1" ht="41.25" customHeight="1">
      <c r="A32" s="295">
        <v>7</v>
      </c>
      <c r="B32" s="296" t="s">
        <v>413</v>
      </c>
      <c r="C32" s="297">
        <v>1500000</v>
      </c>
      <c r="D32" s="298">
        <f>'6a'!D141</f>
        <v>1500000</v>
      </c>
      <c r="E32" s="308" t="s">
        <v>1436</v>
      </c>
      <c r="F32" s="321" t="s">
        <v>534</v>
      </c>
      <c r="H32" s="302"/>
      <c r="I32" s="302"/>
    </row>
    <row r="33" spans="1:68" s="301" customFormat="1" ht="25.5" customHeight="1">
      <c r="A33" s="295">
        <v>8</v>
      </c>
      <c r="B33" s="296" t="s">
        <v>861</v>
      </c>
      <c r="C33" s="297">
        <f>+D33</f>
        <v>22704600</v>
      </c>
      <c r="D33" s="298">
        <f>+D34+D35+D36+D40+D41+D57+D58+D61</f>
        <v>22704600</v>
      </c>
      <c r="E33" s="299"/>
      <c r="F33" s="305"/>
      <c r="H33" s="302"/>
      <c r="I33" s="302"/>
    </row>
    <row r="34" spans="1:68" s="301" customFormat="1" ht="34.5" customHeight="1">
      <c r="A34" s="295" t="s">
        <v>1464</v>
      </c>
      <c r="B34" s="296" t="s">
        <v>1265</v>
      </c>
      <c r="C34" s="297"/>
      <c r="D34" s="298">
        <v>831000</v>
      </c>
      <c r="E34" s="308" t="s">
        <v>412</v>
      </c>
      <c r="F34" s="305"/>
      <c r="H34" s="302"/>
      <c r="I34" s="302"/>
    </row>
    <row r="35" spans="1:68" s="306" customFormat="1" ht="42.75" customHeight="1">
      <c r="A35" s="295" t="s">
        <v>1465</v>
      </c>
      <c r="B35" s="296" t="s">
        <v>418</v>
      </c>
      <c r="C35" s="511"/>
      <c r="D35" s="298">
        <f>'6a'!D28</f>
        <v>1460000</v>
      </c>
      <c r="E35" s="592" t="s">
        <v>1436</v>
      </c>
      <c r="F35" s="321" t="s">
        <v>534</v>
      </c>
      <c r="H35" s="307"/>
      <c r="I35" s="307"/>
    </row>
    <row r="36" spans="1:68" s="306" customFormat="1" ht="27" customHeight="1">
      <c r="A36" s="295" t="s">
        <v>1466</v>
      </c>
      <c r="B36" s="296" t="s">
        <v>1182</v>
      </c>
      <c r="C36" s="297"/>
      <c r="D36" s="298">
        <f>SUM(D37:D39)</f>
        <v>804000</v>
      </c>
      <c r="E36" s="1217" t="s">
        <v>517</v>
      </c>
      <c r="F36" s="512"/>
      <c r="H36" s="307"/>
      <c r="I36" s="307"/>
    </row>
    <row r="37" spans="1:68" s="301" customFormat="1" ht="37.5" customHeight="1">
      <c r="A37" s="398" t="s">
        <v>72</v>
      </c>
      <c r="B37" s="294" t="s">
        <v>610</v>
      </c>
      <c r="C37" s="297"/>
      <c r="D37" s="304">
        <v>192000</v>
      </c>
      <c r="E37" s="1217"/>
      <c r="F37" s="512"/>
      <c r="H37" s="302"/>
      <c r="I37" s="302"/>
    </row>
    <row r="38" spans="1:68" s="301" customFormat="1" ht="38.25" customHeight="1">
      <c r="A38" s="398" t="s">
        <v>72</v>
      </c>
      <c r="B38" s="294" t="s">
        <v>478</v>
      </c>
      <c r="C38" s="303"/>
      <c r="D38" s="304">
        <v>258000</v>
      </c>
      <c r="E38" s="1217"/>
      <c r="F38" s="513"/>
      <c r="H38" s="302"/>
      <c r="I38" s="302"/>
    </row>
    <row r="39" spans="1:68" s="306" customFormat="1" ht="23.25" customHeight="1">
      <c r="A39" s="398" t="s">
        <v>72</v>
      </c>
      <c r="B39" s="294" t="s">
        <v>1183</v>
      </c>
      <c r="C39" s="303"/>
      <c r="D39" s="514">
        <v>354000</v>
      </c>
      <c r="E39" s="1217"/>
      <c r="F39" s="513"/>
      <c r="H39" s="307"/>
      <c r="I39" s="307"/>
    </row>
    <row r="40" spans="1:68" s="913" customFormat="1" ht="48" customHeight="1">
      <c r="A40" s="944" t="s">
        <v>1467</v>
      </c>
      <c r="B40" s="945" t="s">
        <v>1508</v>
      </c>
      <c r="C40" s="946"/>
      <c r="D40" s="947">
        <v>600000</v>
      </c>
      <c r="E40" s="948"/>
      <c r="F40" s="949"/>
      <c r="H40" s="968"/>
      <c r="I40" s="968"/>
      <c r="J40" s="969"/>
      <c r="K40" s="969"/>
      <c r="L40" s="969"/>
      <c r="M40" s="969"/>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c r="AN40" s="969"/>
      <c r="AO40" s="969"/>
      <c r="AP40" s="969"/>
      <c r="AQ40" s="969"/>
      <c r="AR40" s="969"/>
      <c r="AS40" s="969"/>
      <c r="AT40" s="969"/>
      <c r="AU40" s="969"/>
      <c r="AV40" s="969"/>
      <c r="AW40" s="969"/>
      <c r="AX40" s="969"/>
      <c r="AY40" s="969"/>
      <c r="AZ40" s="969"/>
      <c r="BA40" s="969"/>
      <c r="BB40" s="969"/>
      <c r="BC40" s="969"/>
      <c r="BD40" s="969"/>
      <c r="BE40" s="969"/>
      <c r="BF40" s="969"/>
      <c r="BG40" s="969"/>
      <c r="BH40" s="969"/>
      <c r="BI40" s="969"/>
      <c r="BJ40" s="969"/>
      <c r="BK40" s="969"/>
      <c r="BL40" s="969"/>
      <c r="BM40" s="969"/>
      <c r="BN40" s="969"/>
      <c r="BO40" s="969"/>
      <c r="BP40" s="969"/>
    </row>
    <row r="41" spans="1:68" s="301" customFormat="1" ht="29.25" customHeight="1">
      <c r="A41" s="950" t="s">
        <v>1468</v>
      </c>
      <c r="B41" s="951" t="s">
        <v>457</v>
      </c>
      <c r="C41" s="951"/>
      <c r="D41" s="952">
        <f>+D42+D48+D50+D52+D54</f>
        <v>14410600</v>
      </c>
      <c r="E41" s="953"/>
      <c r="F41" s="954"/>
      <c r="H41" s="970"/>
      <c r="I41" s="970"/>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c r="AL41" s="971"/>
      <c r="AM41" s="971"/>
      <c r="AN41" s="971"/>
      <c r="AO41" s="971"/>
      <c r="AP41" s="971"/>
      <c r="AQ41" s="971"/>
      <c r="AR41" s="971"/>
      <c r="AS41" s="971"/>
      <c r="AT41" s="971"/>
      <c r="AU41" s="971"/>
      <c r="AV41" s="971"/>
      <c r="AW41" s="971"/>
      <c r="AX41" s="971"/>
      <c r="AY41" s="971"/>
      <c r="AZ41" s="971"/>
      <c r="BA41" s="971"/>
      <c r="BB41" s="971"/>
      <c r="BC41" s="971"/>
      <c r="BD41" s="971"/>
      <c r="BE41" s="971"/>
      <c r="BF41" s="971"/>
      <c r="BG41" s="971"/>
      <c r="BH41" s="971"/>
      <c r="BI41" s="971"/>
      <c r="BJ41" s="971"/>
      <c r="BK41" s="971"/>
      <c r="BL41" s="971"/>
      <c r="BM41" s="971"/>
      <c r="BN41" s="971"/>
      <c r="BO41" s="971"/>
      <c r="BP41" s="971"/>
    </row>
    <row r="42" spans="1:68" s="301" customFormat="1" ht="29.25" customHeight="1">
      <c r="A42" s="950" t="s">
        <v>1509</v>
      </c>
      <c r="B42" s="951" t="s">
        <v>517</v>
      </c>
      <c r="C42" s="951"/>
      <c r="D42" s="952">
        <f>SUM(D43:D47)</f>
        <v>10301600</v>
      </c>
      <c r="E42" s="955"/>
      <c r="F42" s="954"/>
      <c r="H42" s="302"/>
      <c r="I42" s="302"/>
    </row>
    <row r="43" spans="1:68" s="301" customFormat="1" ht="36" customHeight="1">
      <c r="A43" s="956" t="s">
        <v>72</v>
      </c>
      <c r="B43" s="957" t="s">
        <v>1178</v>
      </c>
      <c r="C43" s="958"/>
      <c r="D43" s="959">
        <v>2037000</v>
      </c>
      <c r="E43" s="960"/>
      <c r="F43" s="961"/>
      <c r="H43" s="302"/>
      <c r="I43" s="302"/>
    </row>
    <row r="44" spans="1:68" s="301" customFormat="1" ht="36" customHeight="1">
      <c r="A44" s="956" t="s">
        <v>72</v>
      </c>
      <c r="B44" s="957" t="s">
        <v>1544</v>
      </c>
      <c r="C44" s="958"/>
      <c r="D44" s="959">
        <f>5200000+610000</f>
        <v>5810000</v>
      </c>
      <c r="E44" s="960"/>
      <c r="F44" s="961"/>
      <c r="H44" s="302"/>
      <c r="I44" s="302"/>
    </row>
    <row r="45" spans="1:68" s="301" customFormat="1" ht="59.25" customHeight="1">
      <c r="A45" s="956" t="s">
        <v>72</v>
      </c>
      <c r="B45" s="957" t="s">
        <v>1181</v>
      </c>
      <c r="C45" s="958"/>
      <c r="D45" s="959">
        <v>220000</v>
      </c>
      <c r="E45" s="960"/>
      <c r="F45" s="961"/>
      <c r="H45" s="302"/>
      <c r="I45" s="302"/>
    </row>
    <row r="46" spans="1:68" s="301" customFormat="1" ht="41.25" customHeight="1">
      <c r="A46" s="956" t="s">
        <v>72</v>
      </c>
      <c r="B46" s="962" t="s">
        <v>1290</v>
      </c>
      <c r="C46" s="958"/>
      <c r="D46" s="963">
        <v>1568600</v>
      </c>
      <c r="E46" s="960"/>
      <c r="F46" s="961"/>
      <c r="H46" s="302"/>
      <c r="I46" s="302"/>
    </row>
    <row r="47" spans="1:68" s="301" customFormat="1" ht="58.5" customHeight="1">
      <c r="A47" s="956" t="s">
        <v>72</v>
      </c>
      <c r="B47" s="964" t="s">
        <v>1324</v>
      </c>
      <c r="C47" s="958"/>
      <c r="D47" s="963">
        <v>666000</v>
      </c>
      <c r="E47" s="960"/>
      <c r="F47" s="961"/>
      <c r="H47" s="302"/>
      <c r="I47" s="302"/>
    </row>
    <row r="48" spans="1:68" s="301" customFormat="1" ht="30" customHeight="1">
      <c r="A48" s="950" t="s">
        <v>1510</v>
      </c>
      <c r="B48" s="951" t="s">
        <v>1312</v>
      </c>
      <c r="C48" s="958"/>
      <c r="D48" s="965">
        <f>+D49</f>
        <v>100000</v>
      </c>
      <c r="E48" s="966"/>
      <c r="F48" s="961"/>
      <c r="H48" s="302"/>
      <c r="I48" s="302"/>
    </row>
    <row r="49" spans="1:9" s="301" customFormat="1" ht="45" customHeight="1">
      <c r="A49" s="295" t="s">
        <v>72</v>
      </c>
      <c r="B49" s="920" t="s">
        <v>1557</v>
      </c>
      <c r="C49" s="303"/>
      <c r="D49" s="514">
        <v>100000</v>
      </c>
      <c r="E49" s="989"/>
      <c r="F49" s="513"/>
      <c r="H49" s="302"/>
      <c r="I49" s="302"/>
    </row>
    <row r="50" spans="1:9" s="408" customFormat="1" ht="30" customHeight="1">
      <c r="A50" s="424" t="s">
        <v>1511</v>
      </c>
      <c r="B50" s="515" t="s">
        <v>1555</v>
      </c>
      <c r="C50" s="519"/>
      <c r="D50" s="406">
        <f>+D51</f>
        <v>500000</v>
      </c>
      <c r="E50" s="1149"/>
      <c r="F50" s="522"/>
      <c r="H50" s="409"/>
      <c r="I50" s="409"/>
    </row>
    <row r="51" spans="1:9" s="301" customFormat="1" ht="47.25" customHeight="1">
      <c r="A51" s="295" t="s">
        <v>72</v>
      </c>
      <c r="B51" s="920" t="s">
        <v>1556</v>
      </c>
      <c r="C51" s="303"/>
      <c r="D51" s="514">
        <v>500000</v>
      </c>
      <c r="E51" s="989"/>
      <c r="F51" s="513"/>
      <c r="H51" s="302"/>
      <c r="I51" s="302"/>
    </row>
    <row r="52" spans="1:9" s="408" customFormat="1" ht="30" customHeight="1">
      <c r="A52" s="424" t="s">
        <v>1548</v>
      </c>
      <c r="B52" s="515" t="s">
        <v>1554</v>
      </c>
      <c r="C52" s="519"/>
      <c r="D52" s="406">
        <f>+D53</f>
        <v>510000</v>
      </c>
      <c r="E52" s="1149"/>
      <c r="F52" s="522"/>
      <c r="H52" s="409"/>
      <c r="I52" s="409"/>
    </row>
    <row r="53" spans="1:9" s="301" customFormat="1" ht="40.5" customHeight="1">
      <c r="A53" s="950" t="s">
        <v>211</v>
      </c>
      <c r="B53" s="967" t="s">
        <v>1558</v>
      </c>
      <c r="C53" s="958"/>
      <c r="D53" s="963">
        <v>510000</v>
      </c>
      <c r="E53" s="966"/>
      <c r="F53" s="961"/>
      <c r="H53" s="302"/>
      <c r="I53" s="302"/>
    </row>
    <row r="54" spans="1:9" s="311" customFormat="1" ht="30.75" customHeight="1">
      <c r="A54" s="424" t="s">
        <v>1549</v>
      </c>
      <c r="B54" s="515" t="s">
        <v>1264</v>
      </c>
      <c r="C54" s="516"/>
      <c r="D54" s="406">
        <f>SUM(D55:D56)</f>
        <v>2999000</v>
      </c>
      <c r="E54" s="517"/>
      <c r="F54" s="518"/>
      <c r="H54" s="452"/>
      <c r="I54" s="452"/>
    </row>
    <row r="55" spans="1:9" s="311" customFormat="1" ht="42.75" customHeight="1">
      <c r="A55" s="424" t="s">
        <v>72</v>
      </c>
      <c r="B55" s="501" t="s">
        <v>1325</v>
      </c>
      <c r="C55" s="516"/>
      <c r="D55" s="310">
        <f>+'6a'!D146</f>
        <v>499000</v>
      </c>
      <c r="E55" s="517"/>
      <c r="F55" s="518"/>
      <c r="H55" s="452"/>
      <c r="I55" s="452"/>
    </row>
    <row r="56" spans="1:9" s="987" customFormat="1" ht="42.75" customHeight="1">
      <c r="A56" s="424" t="s">
        <v>72</v>
      </c>
      <c r="B56" s="493" t="s">
        <v>1546</v>
      </c>
      <c r="C56" s="516"/>
      <c r="D56" s="310">
        <f>+'6a'!D147</f>
        <v>2500000</v>
      </c>
      <c r="E56" s="517"/>
      <c r="F56" s="518"/>
      <c r="H56" s="452"/>
      <c r="I56" s="452"/>
    </row>
    <row r="57" spans="1:9" s="408" customFormat="1" ht="39" customHeight="1">
      <c r="A57" s="424" t="s">
        <v>1469</v>
      </c>
      <c r="B57" s="434" t="s">
        <v>1316</v>
      </c>
      <c r="C57" s="519"/>
      <c r="D57" s="520">
        <f>'6a'!D148</f>
        <v>83000</v>
      </c>
      <c r="E57" s="521" t="s">
        <v>843</v>
      </c>
      <c r="F57" s="522"/>
      <c r="H57" s="409"/>
      <c r="I57" s="409"/>
    </row>
    <row r="58" spans="1:9" s="311" customFormat="1" ht="30" customHeight="1">
      <c r="A58" s="424" t="s">
        <v>1512</v>
      </c>
      <c r="B58" s="434" t="s">
        <v>859</v>
      </c>
      <c r="C58" s="519"/>
      <c r="D58" s="519">
        <f>SUM(D59:D59)</f>
        <v>216000</v>
      </c>
      <c r="E58" s="523"/>
      <c r="F58" s="522"/>
      <c r="H58" s="452"/>
      <c r="I58" s="452"/>
    </row>
    <row r="59" spans="1:9" s="311" customFormat="1" ht="33.6" customHeight="1">
      <c r="A59" s="309" t="s">
        <v>211</v>
      </c>
      <c r="B59" s="283" t="s">
        <v>256</v>
      </c>
      <c r="C59" s="524"/>
      <c r="D59" s="516">
        <v>216000</v>
      </c>
      <c r="E59" s="521" t="s">
        <v>412</v>
      </c>
      <c r="F59" s="518"/>
      <c r="H59" s="452"/>
      <c r="I59" s="452"/>
    </row>
    <row r="60" spans="1:9" s="408" customFormat="1" ht="97.5" hidden="1" customHeight="1">
      <c r="A60" s="424" t="s">
        <v>417</v>
      </c>
      <c r="B60" s="434" t="s">
        <v>1373</v>
      </c>
      <c r="C60" s="525"/>
      <c r="D60" s="519"/>
      <c r="E60" s="521" t="s">
        <v>862</v>
      </c>
      <c r="F60" s="522"/>
      <c r="H60" s="409"/>
      <c r="I60" s="409"/>
    </row>
    <row r="61" spans="1:9" s="408" customFormat="1" ht="28.5" customHeight="1">
      <c r="A61" s="424" t="s">
        <v>1513</v>
      </c>
      <c r="B61" s="614" t="s">
        <v>302</v>
      </c>
      <c r="C61" s="686"/>
      <c r="D61" s="520">
        <f>6800000-2500000</f>
        <v>4300000</v>
      </c>
      <c r="E61" s="614"/>
      <c r="F61" s="522"/>
      <c r="H61" s="409"/>
      <c r="I61" s="409"/>
    </row>
    <row r="62" spans="1:9" s="317" customFormat="1" ht="22.5" customHeight="1">
      <c r="A62" s="914"/>
      <c r="B62" s="915" t="s">
        <v>1514</v>
      </c>
      <c r="C62" s="916"/>
      <c r="D62" s="917">
        <f>1143000-D59</f>
        <v>927000</v>
      </c>
      <c r="E62" s="915"/>
      <c r="F62" s="918"/>
      <c r="H62" s="680"/>
      <c r="I62" s="680"/>
    </row>
    <row r="63" spans="1:9" s="301" customFormat="1" ht="15.75">
      <c r="A63" s="534"/>
      <c r="C63" s="535"/>
      <c r="D63" s="536"/>
      <c r="F63" s="302"/>
      <c r="H63" s="302"/>
      <c r="I63" s="302"/>
    </row>
    <row r="64" spans="1:9" s="301" customFormat="1" ht="15.75">
      <c r="F64" s="302"/>
      <c r="H64" s="302"/>
      <c r="I64" s="302"/>
    </row>
    <row r="65" spans="6:9" s="301" customFormat="1" ht="15.75">
      <c r="F65" s="302"/>
      <c r="H65" s="302"/>
      <c r="I65" s="302"/>
    </row>
    <row r="66" spans="6:9" s="301" customFormat="1" ht="15.75">
      <c r="F66" s="302"/>
      <c r="H66" s="302"/>
      <c r="I66" s="302"/>
    </row>
    <row r="67" spans="6:9" s="301" customFormat="1" ht="15.75">
      <c r="F67" s="302"/>
      <c r="H67" s="302"/>
      <c r="I67" s="302"/>
    </row>
    <row r="68" spans="6:9" s="301" customFormat="1" ht="15.75">
      <c r="F68" s="302"/>
      <c r="H68" s="302"/>
      <c r="I68" s="302"/>
    </row>
    <row r="69" spans="6:9" s="301" customFormat="1" ht="15.75">
      <c r="F69" s="302"/>
      <c r="H69" s="302"/>
      <c r="I69" s="302"/>
    </row>
    <row r="70" spans="6:9" s="301" customFormat="1" ht="15.75">
      <c r="F70" s="302"/>
      <c r="H70" s="302"/>
      <c r="I70" s="302"/>
    </row>
    <row r="71" spans="6:9" s="301" customFormat="1" ht="15.75">
      <c r="F71" s="302"/>
      <c r="H71" s="302"/>
      <c r="I71" s="302"/>
    </row>
    <row r="72" spans="6:9" s="301" customFormat="1" ht="15.75">
      <c r="F72" s="302"/>
      <c r="H72" s="302"/>
      <c r="I72" s="302"/>
    </row>
    <row r="73" spans="6:9" s="301" customFormat="1" ht="15.75">
      <c r="F73" s="302"/>
      <c r="H73" s="302"/>
      <c r="I73" s="302"/>
    </row>
    <row r="74" spans="6:9" s="301" customFormat="1" ht="15.75">
      <c r="F74" s="302"/>
      <c r="H74" s="302"/>
      <c r="I74" s="302"/>
    </row>
    <row r="75" spans="6:9" s="301" customFormat="1" ht="15.75">
      <c r="F75" s="302"/>
      <c r="H75" s="302"/>
      <c r="I75" s="302"/>
    </row>
    <row r="76" spans="6:9" s="301" customFormat="1" ht="15.75">
      <c r="F76" s="302"/>
      <c r="H76" s="302"/>
      <c r="I76" s="302"/>
    </row>
    <row r="77" spans="6:9" s="301" customFormat="1" ht="15.75">
      <c r="F77" s="302"/>
      <c r="H77" s="302"/>
      <c r="I77" s="302"/>
    </row>
    <row r="78" spans="6:9" s="301" customFormat="1" ht="15.75">
      <c r="F78" s="302"/>
      <c r="H78" s="302"/>
      <c r="I78" s="302"/>
    </row>
    <row r="79" spans="6:9" s="301" customFormat="1" ht="15.75">
      <c r="F79" s="302"/>
      <c r="H79" s="302"/>
      <c r="I79" s="302"/>
    </row>
    <row r="80" spans="6:9" s="301" customFormat="1" ht="15.75">
      <c r="F80" s="302"/>
      <c r="H80" s="302"/>
      <c r="I80" s="302"/>
    </row>
    <row r="81" spans="1:9" s="301" customFormat="1" ht="15.75">
      <c r="F81" s="302"/>
      <c r="H81" s="302"/>
      <c r="I81" s="302"/>
    </row>
    <row r="82" spans="1:9" s="301" customFormat="1" ht="15.75">
      <c r="F82" s="302"/>
      <c r="H82" s="302"/>
      <c r="I82" s="302"/>
    </row>
    <row r="83" spans="1:9" s="301" customFormat="1" ht="15.75">
      <c r="F83" s="302"/>
      <c r="H83" s="302"/>
      <c r="I83" s="302"/>
    </row>
    <row r="84" spans="1:9" s="301" customFormat="1" ht="15.75">
      <c r="F84" s="302"/>
      <c r="H84" s="302"/>
      <c r="I84" s="302"/>
    </row>
    <row r="85" spans="1:9" s="301" customFormat="1" ht="15.75">
      <c r="F85" s="302"/>
      <c r="H85" s="302"/>
      <c r="I85" s="302"/>
    </row>
    <row r="86" spans="1:9" s="301" customFormat="1" ht="15.75">
      <c r="F86" s="302"/>
      <c r="H86" s="302"/>
      <c r="I86" s="302"/>
    </row>
    <row r="87" spans="1:9" s="301" customFormat="1" ht="15.75">
      <c r="F87" s="302"/>
      <c r="H87" s="302"/>
      <c r="I87" s="302"/>
    </row>
    <row r="88" spans="1:9" s="301" customFormat="1" ht="15.75">
      <c r="F88" s="302"/>
      <c r="H88" s="302"/>
      <c r="I88" s="302"/>
    </row>
    <row r="89" spans="1:9" s="301" customFormat="1" ht="15.75">
      <c r="F89" s="302"/>
      <c r="H89" s="302"/>
      <c r="I89" s="302"/>
    </row>
    <row r="90" spans="1:9" s="301" customFormat="1" ht="15.75">
      <c r="F90" s="302"/>
      <c r="H90" s="302"/>
      <c r="I90" s="302"/>
    </row>
    <row r="91" spans="1:9" s="301" customFormat="1" ht="15.75">
      <c r="F91" s="302"/>
      <c r="H91" s="302"/>
      <c r="I91" s="302"/>
    </row>
    <row r="92" spans="1:9" s="301" customFormat="1" ht="15.75">
      <c r="F92" s="302"/>
      <c r="H92" s="302"/>
      <c r="I92" s="302"/>
    </row>
    <row r="93" spans="1:9">
      <c r="A93" s="527"/>
      <c r="C93" s="527"/>
      <c r="D93" s="527"/>
    </row>
    <row r="94" spans="1:9">
      <c r="A94" s="527"/>
      <c r="C94" s="527"/>
      <c r="D94" s="527"/>
    </row>
    <row r="95" spans="1:9">
      <c r="A95" s="527"/>
      <c r="C95" s="527"/>
      <c r="D95" s="527"/>
    </row>
    <row r="96" spans="1:9">
      <c r="A96" s="527"/>
      <c r="C96" s="527"/>
      <c r="D96" s="527"/>
    </row>
    <row r="97" spans="1:4">
      <c r="A97" s="527"/>
      <c r="C97" s="527"/>
      <c r="D97" s="527"/>
    </row>
    <row r="98" spans="1:4">
      <c r="A98" s="527"/>
      <c r="C98" s="527"/>
      <c r="D98" s="527"/>
    </row>
    <row r="99" spans="1:4">
      <c r="A99" s="527"/>
      <c r="C99" s="527"/>
      <c r="D99" s="527"/>
    </row>
    <row r="100" spans="1:4">
      <c r="A100" s="527"/>
      <c r="C100" s="527"/>
      <c r="D100" s="527"/>
    </row>
    <row r="101" spans="1:4">
      <c r="A101" s="527"/>
      <c r="C101" s="527"/>
      <c r="D101" s="527"/>
    </row>
    <row r="102" spans="1:4">
      <c r="A102" s="527"/>
      <c r="C102" s="527"/>
      <c r="D102" s="527"/>
    </row>
    <row r="103" spans="1:4">
      <c r="A103" s="527"/>
      <c r="C103" s="527"/>
      <c r="D103" s="527"/>
    </row>
    <row r="104" spans="1:4">
      <c r="A104" s="527"/>
      <c r="C104" s="527"/>
      <c r="D104" s="527"/>
    </row>
    <row r="105" spans="1:4">
      <c r="A105" s="527"/>
      <c r="C105" s="527"/>
      <c r="D105" s="527"/>
    </row>
    <row r="106" spans="1:4">
      <c r="A106" s="527"/>
      <c r="C106" s="527"/>
      <c r="D106" s="527"/>
    </row>
    <row r="107" spans="1:4">
      <c r="A107" s="527"/>
      <c r="C107" s="527"/>
      <c r="D107" s="527"/>
    </row>
    <row r="108" spans="1:4">
      <c r="A108" s="527"/>
      <c r="C108" s="527"/>
      <c r="D108" s="527"/>
    </row>
    <row r="109" spans="1:4">
      <c r="A109" s="527"/>
      <c r="C109" s="527"/>
      <c r="D109" s="527"/>
    </row>
    <row r="110" spans="1:4">
      <c r="A110" s="527"/>
      <c r="C110" s="527"/>
      <c r="D110" s="527"/>
    </row>
    <row r="111" spans="1:4">
      <c r="A111" s="527"/>
      <c r="C111" s="527"/>
      <c r="D111" s="527"/>
    </row>
    <row r="112" spans="1:4">
      <c r="A112" s="527"/>
      <c r="C112" s="527"/>
      <c r="D112" s="527"/>
    </row>
    <row r="113" spans="1:4">
      <c r="A113" s="527"/>
      <c r="C113" s="527"/>
      <c r="D113" s="527"/>
    </row>
    <row r="114" spans="1:4">
      <c r="A114" s="527"/>
      <c r="C114" s="527"/>
      <c r="D114" s="527"/>
    </row>
    <row r="115" spans="1:4">
      <c r="A115" s="527"/>
      <c r="C115" s="527"/>
      <c r="D115" s="527"/>
    </row>
    <row r="116" spans="1:4">
      <c r="A116" s="527"/>
      <c r="C116" s="527"/>
      <c r="D116" s="527"/>
    </row>
    <row r="117" spans="1:4">
      <c r="A117" s="527"/>
      <c r="C117" s="527"/>
      <c r="D117" s="527"/>
    </row>
    <row r="118" spans="1:4">
      <c r="A118" s="527"/>
      <c r="C118" s="527"/>
      <c r="D118" s="527"/>
    </row>
    <row r="119" spans="1:4">
      <c r="A119" s="527"/>
      <c r="C119" s="527"/>
      <c r="D119" s="527"/>
    </row>
    <row r="120" spans="1:4">
      <c r="A120" s="527"/>
      <c r="C120" s="527"/>
      <c r="D120" s="527"/>
    </row>
    <row r="121" spans="1:4">
      <c r="A121" s="527"/>
      <c r="C121" s="527"/>
      <c r="D121" s="527"/>
    </row>
    <row r="122" spans="1:4">
      <c r="A122" s="527"/>
      <c r="C122" s="527"/>
      <c r="D122" s="527"/>
    </row>
    <row r="123" spans="1:4">
      <c r="A123" s="527"/>
      <c r="C123" s="527"/>
      <c r="D123" s="527"/>
    </row>
    <row r="124" spans="1:4">
      <c r="A124" s="527"/>
      <c r="C124" s="527"/>
      <c r="D124" s="527"/>
    </row>
    <row r="125" spans="1:4">
      <c r="A125" s="527"/>
      <c r="C125" s="527"/>
      <c r="D125" s="527"/>
    </row>
    <row r="126" spans="1:4">
      <c r="A126" s="527"/>
      <c r="C126" s="527"/>
      <c r="D126" s="527"/>
    </row>
    <row r="127" spans="1:4">
      <c r="A127" s="527"/>
      <c r="C127" s="527"/>
      <c r="D127" s="527"/>
    </row>
    <row r="128" spans="1:4">
      <c r="A128" s="527"/>
      <c r="C128" s="527"/>
      <c r="D128" s="527"/>
    </row>
    <row r="129" spans="1:4">
      <c r="A129" s="527"/>
      <c r="C129" s="527"/>
      <c r="D129" s="527"/>
    </row>
    <row r="130" spans="1:4">
      <c r="A130" s="527"/>
      <c r="C130" s="527"/>
      <c r="D130" s="527"/>
    </row>
    <row r="131" spans="1:4">
      <c r="A131" s="527"/>
      <c r="C131" s="527"/>
      <c r="D131" s="527"/>
    </row>
    <row r="132" spans="1:4">
      <c r="A132" s="527"/>
      <c r="C132" s="527"/>
      <c r="D132" s="527"/>
    </row>
    <row r="133" spans="1:4">
      <c r="A133" s="527"/>
      <c r="C133" s="527"/>
      <c r="D133" s="527"/>
    </row>
    <row r="134" spans="1:4">
      <c r="A134" s="527"/>
      <c r="C134" s="527"/>
      <c r="D134" s="527"/>
    </row>
    <row r="135" spans="1:4">
      <c r="A135" s="527"/>
      <c r="C135" s="527"/>
      <c r="D135" s="527"/>
    </row>
    <row r="136" spans="1:4">
      <c r="A136" s="527"/>
      <c r="C136" s="527"/>
      <c r="D136" s="527"/>
    </row>
    <row r="137" spans="1:4">
      <c r="A137" s="527"/>
      <c r="C137" s="527"/>
      <c r="D137" s="527"/>
    </row>
    <row r="138" spans="1:4">
      <c r="A138" s="527"/>
      <c r="C138" s="527"/>
      <c r="D138" s="527"/>
    </row>
    <row r="139" spans="1:4">
      <c r="A139" s="527"/>
      <c r="C139" s="527"/>
      <c r="D139" s="527"/>
    </row>
    <row r="140" spans="1:4">
      <c r="A140" s="527"/>
      <c r="C140" s="527"/>
      <c r="D140" s="527"/>
    </row>
    <row r="141" spans="1:4">
      <c r="A141" s="527"/>
      <c r="C141" s="527"/>
      <c r="D141" s="527"/>
    </row>
    <row r="142" spans="1:4">
      <c r="A142" s="527"/>
      <c r="C142" s="527"/>
      <c r="D142" s="527"/>
    </row>
    <row r="143" spans="1:4">
      <c r="A143" s="527"/>
      <c r="C143" s="527"/>
      <c r="D143" s="527"/>
    </row>
    <row r="144" spans="1:4">
      <c r="A144" s="527"/>
      <c r="C144" s="527"/>
      <c r="D144" s="527"/>
    </row>
    <row r="145" spans="1:4">
      <c r="A145" s="527"/>
      <c r="C145" s="527"/>
      <c r="D145" s="527"/>
    </row>
    <row r="146" spans="1:4">
      <c r="A146" s="527"/>
      <c r="C146" s="527"/>
      <c r="D146" s="527"/>
    </row>
    <row r="147" spans="1:4">
      <c r="A147" s="527"/>
      <c r="C147" s="527"/>
      <c r="D147" s="527"/>
    </row>
    <row r="148" spans="1:4">
      <c r="A148" s="527"/>
      <c r="C148" s="527"/>
      <c r="D148" s="527"/>
    </row>
    <row r="149" spans="1:4">
      <c r="A149" s="527"/>
      <c r="C149" s="527"/>
      <c r="D149" s="527"/>
    </row>
    <row r="150" spans="1:4">
      <c r="A150" s="527"/>
      <c r="C150" s="527"/>
      <c r="D150" s="527"/>
    </row>
    <row r="151" spans="1:4">
      <c r="A151" s="527"/>
      <c r="C151" s="527"/>
      <c r="D151" s="527"/>
    </row>
    <row r="152" spans="1:4">
      <c r="A152" s="527"/>
      <c r="C152" s="527"/>
      <c r="D152" s="527"/>
    </row>
    <row r="153" spans="1:4">
      <c r="A153" s="527"/>
      <c r="C153" s="527"/>
      <c r="D153" s="527"/>
    </row>
    <row r="154" spans="1:4">
      <c r="A154" s="527"/>
      <c r="C154" s="527"/>
      <c r="D154" s="527"/>
    </row>
    <row r="155" spans="1:4">
      <c r="A155" s="527"/>
      <c r="C155" s="527"/>
      <c r="D155" s="527"/>
    </row>
    <row r="156" spans="1:4">
      <c r="A156" s="527"/>
      <c r="C156" s="527"/>
      <c r="D156" s="527"/>
    </row>
    <row r="157" spans="1:4">
      <c r="A157" s="527"/>
      <c r="C157" s="527"/>
      <c r="D157" s="527"/>
    </row>
    <row r="158" spans="1:4">
      <c r="A158" s="527"/>
      <c r="C158" s="527"/>
      <c r="D158" s="527"/>
    </row>
    <row r="159" spans="1:4">
      <c r="A159" s="527"/>
      <c r="C159" s="527"/>
      <c r="D159" s="527"/>
    </row>
    <row r="160" spans="1:4">
      <c r="A160" s="527"/>
      <c r="C160" s="527"/>
      <c r="D160" s="527"/>
    </row>
    <row r="161" spans="1:4">
      <c r="A161" s="527"/>
      <c r="C161" s="527"/>
      <c r="D161" s="527"/>
    </row>
    <row r="162" spans="1:4">
      <c r="A162" s="527"/>
      <c r="C162" s="527"/>
      <c r="D162" s="527"/>
    </row>
    <row r="163" spans="1:4">
      <c r="A163" s="527"/>
      <c r="C163" s="527"/>
      <c r="D163" s="527"/>
    </row>
    <row r="164" spans="1:4">
      <c r="A164" s="527"/>
      <c r="C164" s="527"/>
      <c r="D164" s="527"/>
    </row>
    <row r="165" spans="1:4">
      <c r="A165" s="527"/>
      <c r="C165" s="527"/>
      <c r="D165" s="527"/>
    </row>
    <row r="166" spans="1:4">
      <c r="A166" s="527"/>
      <c r="C166" s="527"/>
      <c r="D166" s="527"/>
    </row>
    <row r="167" spans="1:4">
      <c r="A167" s="527"/>
      <c r="C167" s="527"/>
      <c r="D167" s="527"/>
    </row>
    <row r="168" spans="1:4">
      <c r="A168" s="527"/>
      <c r="C168" s="527"/>
      <c r="D168" s="527"/>
    </row>
    <row r="169" spans="1:4">
      <c r="A169" s="527"/>
      <c r="C169" s="527"/>
      <c r="D169" s="527"/>
    </row>
    <row r="170" spans="1:4">
      <c r="A170" s="527"/>
      <c r="C170" s="527"/>
      <c r="D170" s="527"/>
    </row>
    <row r="171" spans="1:4">
      <c r="A171" s="527"/>
      <c r="C171" s="527"/>
      <c r="D171" s="527"/>
    </row>
    <row r="172" spans="1:4">
      <c r="A172" s="527"/>
      <c r="C172" s="527"/>
      <c r="D172" s="527"/>
    </row>
    <row r="173" spans="1:4">
      <c r="A173" s="527"/>
      <c r="C173" s="527"/>
      <c r="D173" s="527"/>
    </row>
    <row r="174" spans="1:4">
      <c r="A174" s="527"/>
      <c r="C174" s="527"/>
      <c r="D174" s="527"/>
    </row>
    <row r="175" spans="1:4">
      <c r="A175" s="527"/>
      <c r="C175" s="527"/>
      <c r="D175" s="527"/>
    </row>
    <row r="176" spans="1:4">
      <c r="A176" s="527"/>
      <c r="C176" s="527"/>
      <c r="D176" s="527"/>
    </row>
    <row r="177" spans="1:4">
      <c r="A177" s="527"/>
      <c r="C177" s="527"/>
      <c r="D177" s="527"/>
    </row>
    <row r="178" spans="1:4">
      <c r="A178" s="527"/>
      <c r="C178" s="527"/>
      <c r="D178" s="527"/>
    </row>
    <row r="179" spans="1:4">
      <c r="A179" s="527"/>
      <c r="C179" s="527"/>
      <c r="D179" s="527"/>
    </row>
    <row r="180" spans="1:4">
      <c r="A180" s="527"/>
      <c r="C180" s="527"/>
      <c r="D180" s="527"/>
    </row>
    <row r="181" spans="1:4">
      <c r="A181" s="527"/>
      <c r="C181" s="527"/>
      <c r="D181" s="527"/>
    </row>
    <row r="182" spans="1:4">
      <c r="A182" s="527"/>
      <c r="C182" s="527"/>
      <c r="D182" s="527"/>
    </row>
    <row r="183" spans="1:4">
      <c r="A183" s="527"/>
      <c r="C183" s="527"/>
      <c r="D183" s="527"/>
    </row>
    <row r="184" spans="1:4">
      <c r="A184" s="527"/>
      <c r="C184" s="527"/>
      <c r="D184" s="527"/>
    </row>
    <row r="185" spans="1:4">
      <c r="A185" s="527"/>
      <c r="C185" s="527"/>
      <c r="D185" s="527"/>
    </row>
    <row r="186" spans="1:4">
      <c r="A186" s="527"/>
      <c r="C186" s="527"/>
      <c r="D186" s="527"/>
    </row>
  </sheetData>
  <mergeCells count="9">
    <mergeCell ref="E30:E31"/>
    <mergeCell ref="E36:E39"/>
    <mergeCell ref="E1:F1"/>
    <mergeCell ref="A3:F3"/>
    <mergeCell ref="A2:F2"/>
    <mergeCell ref="A4:F4"/>
    <mergeCell ref="C5:F5"/>
    <mergeCell ref="E28:E29"/>
    <mergeCell ref="F28:F29"/>
  </mergeCells>
  <phoneticPr fontId="16" type="noConversion"/>
  <pageMargins left="0.39370078740157483" right="0.11811023622047245" top="0.43307086614173229" bottom="0.31496062992125984" header="0.15748031496062992" footer="0.43307086614173229"/>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17</vt:i4>
      </vt:variant>
      <vt:variant>
        <vt:lpstr>Phạm vi có Tên</vt:lpstr>
      </vt:variant>
      <vt:variant>
        <vt:i4>19</vt:i4>
      </vt:variant>
    </vt:vector>
  </HeadingPairs>
  <TitlesOfParts>
    <vt:vector size="36" baseType="lpstr">
      <vt:lpstr>Sheet1</vt:lpstr>
      <vt:lpstr>1,.THDT thu H</vt:lpstr>
      <vt:lpstr>2.Chi tiet thu xa</vt:lpstr>
      <vt:lpstr>3.TH-HX</vt:lpstr>
      <vt:lpstr>4.THDT chi 24</vt:lpstr>
      <vt:lpstr>5.Chi tiet huyen </vt:lpstr>
      <vt:lpstr>5a. Chi tiết giáo dục</vt:lpstr>
      <vt:lpstr>6.Vốn đtư,SNKT25</vt:lpstr>
      <vt:lpstr>6a</vt:lpstr>
      <vt:lpstr>7. TH chi xa 25</vt:lpstr>
      <vt:lpstr>K in- CT xã 2025</vt:lpstr>
      <vt:lpstr>LươngCS giao DT 2025</vt:lpstr>
      <vt:lpstr>Sheet2</vt:lpstr>
      <vt:lpstr>Sheet4</vt:lpstr>
      <vt:lpstr>Sheet3</vt:lpstr>
      <vt:lpstr>8.DT Phí lệ phí</vt:lpstr>
      <vt:lpstr>Sheet7</vt:lpstr>
      <vt:lpstr>'2.Chi tiet thu xa'!Print_Area</vt:lpstr>
      <vt:lpstr>'3.TH-HX'!Print_Area</vt:lpstr>
      <vt:lpstr>'4.THDT chi 24'!Print_Area</vt:lpstr>
      <vt:lpstr>'5.Chi tiet huyen '!Print_Area</vt:lpstr>
      <vt:lpstr>'6.Vốn đtư,SNKT25'!Print_Area</vt:lpstr>
      <vt:lpstr>'7. TH chi xa 25'!Print_Area</vt:lpstr>
      <vt:lpstr>'2.Chi tiet thu xa'!Print_Titles</vt:lpstr>
      <vt:lpstr>'3.TH-HX'!Print_Titles</vt:lpstr>
      <vt:lpstr>'4.THDT chi 24'!Print_Titles</vt:lpstr>
      <vt:lpstr>'5.Chi tiet huyen '!Print_Titles</vt:lpstr>
      <vt:lpstr>'5a. Chi tiết giáo dục'!Print_Titles</vt:lpstr>
      <vt:lpstr>'6.Vốn đtư,SNKT25'!Print_Titles</vt:lpstr>
      <vt:lpstr>'6a'!Print_Titles</vt:lpstr>
      <vt:lpstr>'7. TH chi xa 25'!Print_Titles</vt:lpstr>
      <vt:lpstr>'K in- CT xã 2025'!Print_Titles</vt:lpstr>
      <vt:lpstr>'LươngCS giao DT 2025'!Print_Titles</vt:lpstr>
      <vt:lpstr>Sheet1!Print_Titles</vt:lpstr>
      <vt:lpstr>Sheet7!Print_Titles</vt:lpstr>
      <vt:lpstr>'K in- CT xã 2025'!Vùng_In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Phong Tai Chinh</dc:creator>
  <cp:lastModifiedBy>GP</cp:lastModifiedBy>
  <cp:lastPrinted>2024-12-13T10:35:55Z</cp:lastPrinted>
  <dcterms:created xsi:type="dcterms:W3CDTF">2003-12-04T09:16:46Z</dcterms:created>
  <dcterms:modified xsi:type="dcterms:W3CDTF">2024-12-14T02:26:52Z</dcterms:modified>
</cp:coreProperties>
</file>