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20" yWindow="-120" windowWidth="19420" windowHeight="11020" tabRatio="960" activeTab="1"/>
  </bookViews>
  <sheets>
    <sheet name="TỔNG HỢP" sheetId="27" r:id="rId1"/>
    <sheet name="01. CCTL HUYỆN" sheetId="63" r:id="rId2"/>
    <sheet name="02. XÃ, THỊ TRẤN" sheetId="64" r:id="rId3"/>
    <sheet name="03. TGBC NĐ 29.2023" sheetId="65" r:id="rId4"/>
    <sheet name="4. Dịch tả lợn CP" sheetId="67" r:id="rId5"/>
    <sheet name="05- DT thẩm định" sheetId="66" r:id="rId6"/>
    <sheet name="05a-Thuyết minh DT BS" sheetId="68" r:id="rId7"/>
  </sheets>
  <externalReferences>
    <externalReference r:id="rId8"/>
  </externalReferences>
  <definedNames>
    <definedName name="_xlnm._FilterDatabase" localSheetId="3" hidden="1">'03. TGBC NĐ 29.2023'!$A$8:$R$9</definedName>
    <definedName name="_xlnm.Print_Titles" localSheetId="1">'01. CCTL HUYỆN'!$5:$7</definedName>
    <definedName name="_xlnm.Print_Titles" localSheetId="2">'02. XÃ, THỊ TRẤN'!$5:$7</definedName>
    <definedName name="_xlnm.Print_Titles" localSheetId="3">'03. TGBC NĐ 29.2023'!$5:$8</definedName>
    <definedName name="_xlnm.Print_Titles" localSheetId="5">'05- DT thẩm định'!$5:$7</definedName>
    <definedName name="_xlnm.Print_Titles" localSheetId="0">'TỔNG HỢP'!$5:$6</definedName>
    <definedName name="_xlnm.Print_Area" localSheetId="1">'01. CCTL HUYỆN'!$A$1:$L$61</definedName>
    <definedName name="_xlnm.Print_Area" localSheetId="2">'02. XÃ, THỊ TRẤN'!$A$1:$P$25</definedName>
    <definedName name="_xlnm.Print_Area" localSheetId="3">'03. TGBC NĐ 29.2023'!$A$1:$O$14</definedName>
    <definedName name="_xlnm.Print_Area" localSheetId="5">'05- DT thẩm định'!$A$1:$K$85</definedName>
    <definedName name="_xlnm.Print_Area" localSheetId="0">'TỔNG HỢP'!$A$1:$D$113</definedName>
  </definedNames>
  <calcPr calcId="144525"/>
</workbook>
</file>

<file path=xl/calcChain.xml><?xml version="1.0" encoding="utf-8"?>
<calcChain xmlns="http://schemas.openxmlformats.org/spreadsheetml/2006/main">
  <c r="F10" i="68" l="1"/>
  <c r="F9" i="68"/>
  <c r="D9" i="68"/>
  <c r="K10" i="68" l="1"/>
  <c r="A4" i="68"/>
  <c r="G9" i="68"/>
  <c r="K9" i="68" s="1"/>
  <c r="E9" i="68"/>
  <c r="F8" i="66" l="1"/>
  <c r="J84" i="66" l="1"/>
  <c r="J83" i="66"/>
  <c r="J80" i="66"/>
  <c r="I82" i="66"/>
  <c r="J82" i="66" s="1"/>
  <c r="I81" i="66"/>
  <c r="J81" i="66" s="1"/>
  <c r="I80" i="66"/>
  <c r="I79" i="66"/>
  <c r="J79" i="66" s="1"/>
  <c r="I78" i="66"/>
  <c r="I77" i="66" s="1"/>
  <c r="F78" i="66"/>
  <c r="F79" i="66"/>
  <c r="F77" i="66" s="1"/>
  <c r="F76" i="66" s="1"/>
  <c r="F80" i="66"/>
  <c r="F81" i="66"/>
  <c r="J77" i="66" l="1"/>
  <c r="J76" i="66" s="1"/>
  <c r="I76" i="66"/>
  <c r="C16" i="27" s="1"/>
  <c r="C15" i="27" s="1"/>
  <c r="J78" i="66"/>
  <c r="L10" i="63"/>
  <c r="H40" i="27"/>
  <c r="G47" i="27"/>
  <c r="G44" i="27"/>
  <c r="G41" i="27"/>
  <c r="G42" i="27" s="1"/>
  <c r="C86" i="27" l="1"/>
  <c r="G89" i="27" s="1"/>
  <c r="M8" i="64" l="1"/>
  <c r="M25" i="64"/>
  <c r="M24" i="64"/>
  <c r="M23" i="64"/>
  <c r="M22" i="64"/>
  <c r="M21" i="64"/>
  <c r="M20" i="64"/>
  <c r="M18" i="64"/>
  <c r="M17" i="64"/>
  <c r="M16" i="64"/>
  <c r="M15" i="64"/>
  <c r="M14" i="64"/>
  <c r="M12" i="64"/>
  <c r="M11" i="64"/>
  <c r="M10" i="64"/>
  <c r="M9" i="64"/>
  <c r="C17" i="27" l="1"/>
  <c r="A3" i="67"/>
  <c r="C7" i="67"/>
  <c r="D7" i="67"/>
  <c r="E7" i="67"/>
  <c r="F7" i="67"/>
  <c r="H8" i="67"/>
  <c r="H9" i="67"/>
  <c r="H10" i="67"/>
  <c r="H11" i="67"/>
  <c r="H12" i="67"/>
  <c r="H13" i="67"/>
  <c r="H14" i="67"/>
  <c r="H15" i="67"/>
  <c r="H16" i="67"/>
  <c r="H17" i="67"/>
  <c r="H18" i="67"/>
  <c r="H19" i="67"/>
  <c r="H20" i="67"/>
  <c r="H21" i="67"/>
  <c r="H22" i="67"/>
  <c r="H23" i="67"/>
  <c r="H24" i="67"/>
  <c r="H7" i="67" l="1"/>
  <c r="I68" i="66" l="1"/>
  <c r="I67" i="66"/>
  <c r="C36" i="27" l="1"/>
  <c r="C38" i="27"/>
  <c r="A3" i="66" l="1"/>
  <c r="G9" i="66" l="1"/>
  <c r="G8" i="66" s="1"/>
  <c r="H9" i="66"/>
  <c r="H8" i="66" s="1"/>
  <c r="I11" i="66"/>
  <c r="J11" i="66" s="1"/>
  <c r="I12" i="66"/>
  <c r="F13" i="66"/>
  <c r="G13" i="66"/>
  <c r="H13" i="66"/>
  <c r="I14" i="66"/>
  <c r="J14" i="66"/>
  <c r="I15" i="66"/>
  <c r="I16" i="66"/>
  <c r="J16" i="66" s="1"/>
  <c r="I17" i="66"/>
  <c r="J17" i="66" s="1"/>
  <c r="I18" i="66"/>
  <c r="J18" i="66"/>
  <c r="I19" i="66"/>
  <c r="J19" i="66" s="1"/>
  <c r="I20" i="66"/>
  <c r="J20" i="66"/>
  <c r="F22" i="66"/>
  <c r="F21" i="66" s="1"/>
  <c r="I22" i="66"/>
  <c r="F23" i="66"/>
  <c r="G23" i="66"/>
  <c r="H23" i="66"/>
  <c r="F24" i="66"/>
  <c r="G24" i="66"/>
  <c r="H24" i="66"/>
  <c r="I25" i="66"/>
  <c r="J25" i="66" s="1"/>
  <c r="I26" i="66"/>
  <c r="J26" i="66"/>
  <c r="D29" i="66"/>
  <c r="G29" i="66"/>
  <c r="F30" i="66"/>
  <c r="I30" i="66"/>
  <c r="F31" i="66"/>
  <c r="I31" i="66"/>
  <c r="F32" i="66"/>
  <c r="I32" i="66"/>
  <c r="J32" i="66"/>
  <c r="F33" i="66"/>
  <c r="I33" i="66"/>
  <c r="J33" i="66" s="1"/>
  <c r="F34" i="66"/>
  <c r="I34" i="66"/>
  <c r="J34" i="66" s="1"/>
  <c r="F35" i="66"/>
  <c r="I35" i="66"/>
  <c r="J35" i="66" s="1"/>
  <c r="F36" i="66"/>
  <c r="I36" i="66"/>
  <c r="J36" i="66" s="1"/>
  <c r="F37" i="66"/>
  <c r="I37" i="66"/>
  <c r="J37" i="66" s="1"/>
  <c r="F38" i="66"/>
  <c r="I38" i="66"/>
  <c r="F39" i="66"/>
  <c r="I39" i="66"/>
  <c r="J39" i="66" s="1"/>
  <c r="F40" i="66"/>
  <c r="J40" i="66" s="1"/>
  <c r="I40" i="66"/>
  <c r="F41" i="66"/>
  <c r="I41" i="66"/>
  <c r="J41" i="66" s="1"/>
  <c r="F42" i="66"/>
  <c r="I42" i="66"/>
  <c r="F43" i="66"/>
  <c r="I43" i="66"/>
  <c r="F44" i="66"/>
  <c r="I44" i="66"/>
  <c r="J44" i="66"/>
  <c r="F45" i="66"/>
  <c r="I45" i="66"/>
  <c r="J45" i="66" s="1"/>
  <c r="F46" i="66"/>
  <c r="I46" i="66"/>
  <c r="F47" i="66"/>
  <c r="I47" i="66"/>
  <c r="J47" i="66" s="1"/>
  <c r="F48" i="66"/>
  <c r="I48" i="66"/>
  <c r="J48" i="66" s="1"/>
  <c r="I49" i="66"/>
  <c r="J49" i="66" s="1"/>
  <c r="F53" i="66"/>
  <c r="F52" i="66" s="1"/>
  <c r="I53" i="66"/>
  <c r="H54" i="66" s="1"/>
  <c r="I54" i="66" s="1"/>
  <c r="J54" i="66" s="1"/>
  <c r="F54" i="66"/>
  <c r="F56" i="66"/>
  <c r="I56" i="66"/>
  <c r="J56" i="66"/>
  <c r="F57" i="66"/>
  <c r="I57" i="66"/>
  <c r="F58" i="66"/>
  <c r="I58" i="66"/>
  <c r="J58" i="66" s="1"/>
  <c r="F59" i="66"/>
  <c r="I59" i="66"/>
  <c r="F60" i="66"/>
  <c r="I60" i="66"/>
  <c r="F62" i="66"/>
  <c r="I62" i="66"/>
  <c r="F63" i="66"/>
  <c r="I63" i="66"/>
  <c r="J63" i="66"/>
  <c r="F64" i="66"/>
  <c r="J64" i="66" s="1"/>
  <c r="I64" i="66"/>
  <c r="F65" i="66"/>
  <c r="I65" i="66"/>
  <c r="J65" i="66" s="1"/>
  <c r="F67" i="66"/>
  <c r="F68" i="66"/>
  <c r="J68" i="66"/>
  <c r="F69" i="66"/>
  <c r="I69" i="66"/>
  <c r="F70" i="66"/>
  <c r="I70" i="66"/>
  <c r="J70" i="66" s="1"/>
  <c r="F71" i="66"/>
  <c r="J71" i="66" s="1"/>
  <c r="I71" i="66"/>
  <c r="F72" i="66"/>
  <c r="I72" i="66"/>
  <c r="J72" i="66" s="1"/>
  <c r="F73" i="66"/>
  <c r="I73" i="66"/>
  <c r="J73" i="66" s="1"/>
  <c r="F74" i="66"/>
  <c r="I74" i="66"/>
  <c r="J74" i="66" s="1"/>
  <c r="F75" i="66"/>
  <c r="I75" i="66"/>
  <c r="J75" i="66"/>
  <c r="J59" i="66" l="1"/>
  <c r="J60" i="66"/>
  <c r="J46" i="66"/>
  <c r="I29" i="66"/>
  <c r="I23" i="66"/>
  <c r="J23" i="66" s="1"/>
  <c r="I13" i="66"/>
  <c r="J13" i="66" s="1"/>
  <c r="F61" i="66"/>
  <c r="J42" i="66"/>
  <c r="F29" i="66"/>
  <c r="F28" i="66" s="1"/>
  <c r="F27" i="66" s="1"/>
  <c r="I24" i="66"/>
  <c r="J24" i="66" s="1"/>
  <c r="I61" i="66"/>
  <c r="J61" i="66" s="1"/>
  <c r="I66" i="66"/>
  <c r="F66" i="66"/>
  <c r="J67" i="66"/>
  <c r="F55" i="66"/>
  <c r="J43" i="66"/>
  <c r="J38" i="66"/>
  <c r="J31" i="66"/>
  <c r="I28" i="66"/>
  <c r="J29" i="66"/>
  <c r="F10" i="66"/>
  <c r="F9" i="66" s="1"/>
  <c r="J69" i="66"/>
  <c r="J57" i="66"/>
  <c r="I55" i="66"/>
  <c r="J55" i="66" s="1"/>
  <c r="J62" i="66"/>
  <c r="J53" i="66"/>
  <c r="I52" i="66"/>
  <c r="J30" i="66"/>
  <c r="J22" i="66"/>
  <c r="J15" i="66"/>
  <c r="J12" i="66"/>
  <c r="F51" i="66" l="1"/>
  <c r="F50" i="66" s="1"/>
  <c r="J66" i="66"/>
  <c r="I21" i="66"/>
  <c r="J21" i="66" s="1"/>
  <c r="I51" i="66"/>
  <c r="I50" i="66" s="1"/>
  <c r="I8" i="66" s="1"/>
  <c r="J52" i="66"/>
  <c r="J51" i="66" s="1"/>
  <c r="I27" i="66"/>
  <c r="J28" i="66"/>
  <c r="C40" i="63"/>
  <c r="J27" i="66" l="1"/>
  <c r="C12" i="27"/>
  <c r="C11" i="27" s="1"/>
  <c r="I10" i="66"/>
  <c r="J50" i="66"/>
  <c r="J8" i="66" s="1"/>
  <c r="C14" i="27"/>
  <c r="C13" i="27" s="1"/>
  <c r="C8" i="27" s="1"/>
  <c r="D39" i="63"/>
  <c r="I9" i="66" l="1"/>
  <c r="J10" i="66"/>
  <c r="G13" i="64"/>
  <c r="G9" i="64"/>
  <c r="G15" i="64"/>
  <c r="G11" i="64"/>
  <c r="C10" i="27" l="1"/>
  <c r="C9" i="27" s="1"/>
  <c r="J9" i="66"/>
  <c r="E25" i="64"/>
  <c r="E24" i="64"/>
  <c r="E23" i="64"/>
  <c r="E22" i="64"/>
  <c r="E21" i="64"/>
  <c r="E20" i="64"/>
  <c r="E19" i="64"/>
  <c r="E18" i="64"/>
  <c r="E17" i="64"/>
  <c r="E16" i="64"/>
  <c r="E15" i="64"/>
  <c r="E14" i="64"/>
  <c r="E13" i="64"/>
  <c r="E12" i="64"/>
  <c r="E11" i="64"/>
  <c r="E10" i="64"/>
  <c r="E9" i="64"/>
  <c r="L16" i="64" l="1"/>
  <c r="D10" i="63" l="1"/>
  <c r="L29" i="63" l="1"/>
  <c r="L31" i="63"/>
  <c r="L32" i="63"/>
  <c r="L34" i="63"/>
  <c r="L36" i="63"/>
  <c r="L38" i="63"/>
  <c r="L61" i="63"/>
  <c r="L60" i="63"/>
  <c r="L59" i="63"/>
  <c r="L58" i="63"/>
  <c r="L57" i="63"/>
  <c r="L55" i="63"/>
  <c r="L54" i="63"/>
  <c r="L13" i="63"/>
  <c r="L14" i="63"/>
  <c r="L12" i="63"/>
  <c r="L11" i="63"/>
  <c r="J32" i="63"/>
  <c r="J31" i="63"/>
  <c r="J10" i="63"/>
  <c r="C63" i="27" l="1"/>
  <c r="D50" i="63"/>
  <c r="D8" i="64" l="1"/>
  <c r="E8" i="64"/>
  <c r="F8" i="64"/>
  <c r="G8" i="64"/>
  <c r="H8" i="64"/>
  <c r="I8" i="64"/>
  <c r="J8" i="64"/>
  <c r="K8" i="64"/>
  <c r="L8" i="64"/>
  <c r="N8" i="64"/>
  <c r="C72" i="27"/>
  <c r="C51" i="27"/>
  <c r="C44" i="27"/>
  <c r="L52" i="63" l="1"/>
  <c r="L51" i="63"/>
  <c r="L42" i="63"/>
  <c r="L44" i="63"/>
  <c r="L43" i="63"/>
  <c r="L45" i="63"/>
  <c r="L47" i="63"/>
  <c r="L48" i="63"/>
  <c r="J12" i="63" l="1"/>
  <c r="D33" i="63" l="1"/>
  <c r="C33" i="63"/>
  <c r="C30" i="63"/>
  <c r="D30" i="63"/>
  <c r="F30" i="63"/>
  <c r="G30" i="63"/>
  <c r="H30" i="63"/>
  <c r="I30" i="63"/>
  <c r="J30" i="63"/>
  <c r="K12" i="63"/>
  <c r="C43" i="27" l="1"/>
  <c r="F22" i="64" l="1"/>
  <c r="C97" i="27" l="1"/>
  <c r="C108" i="27"/>
  <c r="C104" i="27"/>
  <c r="L20" i="63"/>
  <c r="L24" i="63"/>
  <c r="D9" i="63" l="1"/>
  <c r="E9" i="63"/>
  <c r="F9" i="63"/>
  <c r="G9" i="63"/>
  <c r="H9" i="63"/>
  <c r="I9" i="63"/>
  <c r="J9" i="63"/>
  <c r="C12" i="63"/>
  <c r="K19" i="63"/>
  <c r="L19" i="63" s="1"/>
  <c r="K25" i="63"/>
  <c r="L25" i="63" s="1"/>
  <c r="C109" i="27" s="1"/>
  <c r="K29" i="63"/>
  <c r="C113" i="27" s="1"/>
  <c r="C13" i="63"/>
  <c r="K13" i="63" s="1"/>
  <c r="C14" i="63"/>
  <c r="K14" i="63" s="1"/>
  <c r="C98" i="27" s="1"/>
  <c r="C15" i="63"/>
  <c r="K15" i="63" s="1"/>
  <c r="L15" i="63" s="1"/>
  <c r="C99" i="27" s="1"/>
  <c r="C16" i="63"/>
  <c r="K16" i="63" s="1"/>
  <c r="L16" i="63" s="1"/>
  <c r="C17" i="63"/>
  <c r="K17" i="63" s="1"/>
  <c r="L17" i="63" s="1"/>
  <c r="C101" i="27" s="1"/>
  <c r="C18" i="63"/>
  <c r="K18" i="63" s="1"/>
  <c r="L18" i="63" s="1"/>
  <c r="C102" i="27" s="1"/>
  <c r="C19" i="63"/>
  <c r="C20" i="63"/>
  <c r="K20" i="63" s="1"/>
  <c r="C21" i="63"/>
  <c r="K21" i="63" s="1"/>
  <c r="L21" i="63" s="1"/>
  <c r="C105" i="27" s="1"/>
  <c r="C22" i="63"/>
  <c r="K22" i="63" s="1"/>
  <c r="L22" i="63" s="1"/>
  <c r="C106" i="27" s="1"/>
  <c r="C23" i="63"/>
  <c r="K23" i="63" s="1"/>
  <c r="L23" i="63" s="1"/>
  <c r="C107" i="27" s="1"/>
  <c r="C24" i="63"/>
  <c r="K24" i="63" s="1"/>
  <c r="C25" i="63"/>
  <c r="C26" i="63"/>
  <c r="K26" i="63" s="1"/>
  <c r="L26" i="63" s="1"/>
  <c r="C110" i="27" s="1"/>
  <c r="C27" i="63"/>
  <c r="K27" i="63" s="1"/>
  <c r="L27" i="63" s="1"/>
  <c r="C111" i="27" s="1"/>
  <c r="C28" i="63"/>
  <c r="K28" i="63" s="1"/>
  <c r="L28" i="63" s="1"/>
  <c r="C112" i="27" s="1"/>
  <c r="C29" i="63"/>
  <c r="C103" i="27" l="1"/>
  <c r="C100" i="27"/>
  <c r="D54" i="63"/>
  <c r="C96" i="27" l="1"/>
  <c r="A3" i="65"/>
  <c r="I9" i="65"/>
  <c r="M9" i="65"/>
  <c r="F12" i="65"/>
  <c r="F14" i="65"/>
  <c r="F11" i="65"/>
  <c r="F10" i="65" s="1"/>
  <c r="F9" i="65" s="1"/>
  <c r="G12" i="65"/>
  <c r="H12" i="65"/>
  <c r="H9" i="65" s="1"/>
  <c r="I12" i="65"/>
  <c r="J12" i="65"/>
  <c r="K12" i="65"/>
  <c r="L12" i="65"/>
  <c r="L9" i="65" s="1"/>
  <c r="M12" i="65"/>
  <c r="N12" i="65"/>
  <c r="O12" i="65"/>
  <c r="G10" i="65"/>
  <c r="G9" i="65" s="1"/>
  <c r="H10" i="65"/>
  <c r="I10" i="65"/>
  <c r="J10" i="65"/>
  <c r="J9" i="65" s="1"/>
  <c r="K10" i="65"/>
  <c r="K9" i="65" s="1"/>
  <c r="L10" i="65"/>
  <c r="M10" i="65"/>
  <c r="N11" i="65"/>
  <c r="N10" i="65" s="1"/>
  <c r="N9" i="65" s="1"/>
  <c r="O11" i="65"/>
  <c r="O10" i="65" s="1"/>
  <c r="O9" i="65" s="1"/>
  <c r="C35" i="27" l="1"/>
  <c r="A3" i="64" l="1"/>
  <c r="F10" i="63" l="1"/>
  <c r="J56" i="63" l="1"/>
  <c r="H56" i="63"/>
  <c r="F56" i="63"/>
  <c r="E56" i="63"/>
  <c r="D56" i="63"/>
  <c r="D49" i="63"/>
  <c r="D35" i="63"/>
  <c r="E35" i="63"/>
  <c r="F35" i="63"/>
  <c r="G35" i="63"/>
  <c r="H35" i="63"/>
  <c r="I35" i="63"/>
  <c r="J35" i="63"/>
  <c r="F50" i="63"/>
  <c r="C50" i="63" l="1"/>
  <c r="J49" i="63"/>
  <c r="I49" i="63"/>
  <c r="H49" i="63"/>
  <c r="G49" i="63"/>
  <c r="F49" i="63"/>
  <c r="E49" i="63"/>
  <c r="E33" i="63"/>
  <c r="F33" i="63"/>
  <c r="G33" i="63"/>
  <c r="E30" i="63"/>
  <c r="E37" i="63"/>
  <c r="F37" i="63"/>
  <c r="G37" i="63"/>
  <c r="F8" i="63" l="1"/>
  <c r="E8" i="63"/>
  <c r="A3" i="63"/>
  <c r="G57" i="63"/>
  <c r="G56" i="63" s="1"/>
  <c r="C51" i="63"/>
  <c r="K51" i="63" s="1"/>
  <c r="C64" i="27" s="1"/>
  <c r="C52" i="63"/>
  <c r="K52" i="63" s="1"/>
  <c r="C65" i="27" s="1"/>
  <c r="I56" i="63"/>
  <c r="D37" i="63"/>
  <c r="H37" i="63"/>
  <c r="I37" i="63"/>
  <c r="J37" i="63"/>
  <c r="H33" i="63"/>
  <c r="I33" i="63"/>
  <c r="J33" i="63"/>
  <c r="G8" i="63"/>
  <c r="C59" i="63"/>
  <c r="K59" i="63" s="1"/>
  <c r="C60" i="63"/>
  <c r="C61" i="63"/>
  <c r="K61" i="63" s="1"/>
  <c r="C74" i="27" s="1"/>
  <c r="C58" i="63"/>
  <c r="K58" i="63" s="1"/>
  <c r="C71" i="27" s="1"/>
  <c r="C53" i="63"/>
  <c r="C54" i="63"/>
  <c r="C55" i="63"/>
  <c r="K55" i="63" s="1"/>
  <c r="C68" i="27" s="1"/>
  <c r="C39" i="63"/>
  <c r="K39" i="63" s="1"/>
  <c r="K40" i="63"/>
  <c r="C41" i="63"/>
  <c r="K41" i="63" s="1"/>
  <c r="C42" i="63"/>
  <c r="K42" i="63" s="1"/>
  <c r="C55" i="27" s="1"/>
  <c r="C43" i="63"/>
  <c r="K43" i="63" s="1"/>
  <c r="C56" i="27" s="1"/>
  <c r="C44" i="63"/>
  <c r="K44" i="63" s="1"/>
  <c r="C57" i="27" s="1"/>
  <c r="C45" i="63"/>
  <c r="K45" i="63" s="1"/>
  <c r="C58" i="27" s="1"/>
  <c r="C46" i="63"/>
  <c r="K46" i="63" s="1"/>
  <c r="C47" i="63"/>
  <c r="K47" i="63" s="1"/>
  <c r="C60" i="27" s="1"/>
  <c r="C48" i="63"/>
  <c r="C38" i="63"/>
  <c r="C36" i="63"/>
  <c r="C35" i="63" s="1"/>
  <c r="C34" i="63"/>
  <c r="C32" i="63"/>
  <c r="K32" i="63" s="1"/>
  <c r="C31" i="63"/>
  <c r="C11" i="63"/>
  <c r="K11" i="63" s="1"/>
  <c r="C10" i="63"/>
  <c r="L40" i="63" l="1"/>
  <c r="C53" i="27" s="1"/>
  <c r="L39" i="63"/>
  <c r="C52" i="27" s="1"/>
  <c r="K10" i="63"/>
  <c r="C9" i="63"/>
  <c r="C47" i="27"/>
  <c r="K53" i="63"/>
  <c r="L46" i="63"/>
  <c r="C59" i="27" s="1"/>
  <c r="L41" i="63"/>
  <c r="C54" i="27" s="1"/>
  <c r="C37" i="63"/>
  <c r="C57" i="63"/>
  <c r="K57" i="63" s="1"/>
  <c r="C70" i="27" s="1"/>
  <c r="D8" i="63"/>
  <c r="C49" i="63"/>
  <c r="K34" i="63"/>
  <c r="J8" i="63"/>
  <c r="K54" i="63"/>
  <c r="C67" i="27" s="1"/>
  <c r="K48" i="63"/>
  <c r="C61" i="27" s="1"/>
  <c r="I8" i="63"/>
  <c r="H8" i="63"/>
  <c r="K50" i="63"/>
  <c r="K36" i="63"/>
  <c r="K60" i="63"/>
  <c r="C73" i="27" s="1"/>
  <c r="K31" i="63"/>
  <c r="K38" i="63"/>
  <c r="C69" i="27" l="1"/>
  <c r="C50" i="27"/>
  <c r="C42" i="27"/>
  <c r="C41" i="27" s="1"/>
  <c r="L9" i="63"/>
  <c r="L53" i="63"/>
  <c r="C66" i="27" s="1"/>
  <c r="C62" i="27" s="1"/>
  <c r="L50" i="63"/>
  <c r="L30" i="63"/>
  <c r="K30" i="63"/>
  <c r="K9" i="63"/>
  <c r="K33" i="63"/>
  <c r="C49" i="27"/>
  <c r="C48" i="27" s="1"/>
  <c r="C56" i="63"/>
  <c r="C8" i="63" s="1"/>
  <c r="K35" i="63"/>
  <c r="L33" i="63"/>
  <c r="K56" i="63"/>
  <c r="L56" i="63"/>
  <c r="K49" i="63"/>
  <c r="L35" i="63"/>
  <c r="K37" i="63"/>
  <c r="L37" i="63"/>
  <c r="L49" i="63" l="1"/>
  <c r="L8" i="63" s="1"/>
  <c r="C46" i="27"/>
  <c r="C45" i="27" s="1"/>
  <c r="K8" i="63"/>
  <c r="C10" i="64" l="1"/>
  <c r="O10" i="64" s="1"/>
  <c r="P10" i="64" s="1"/>
  <c r="C77" i="27" s="1"/>
  <c r="C11" i="64"/>
  <c r="O11" i="64" s="1"/>
  <c r="P11" i="64" s="1"/>
  <c r="C78" i="27" s="1"/>
  <c r="C12" i="64"/>
  <c r="C13" i="64"/>
  <c r="O13" i="64" s="1"/>
  <c r="C14" i="64"/>
  <c r="O14" i="64" s="1"/>
  <c r="P14" i="64" s="1"/>
  <c r="C81" i="27" s="1"/>
  <c r="C15" i="64"/>
  <c r="O15" i="64" s="1"/>
  <c r="P15" i="64" s="1"/>
  <c r="C82" i="27" s="1"/>
  <c r="C16" i="64"/>
  <c r="C17" i="64"/>
  <c r="O17" i="64" s="1"/>
  <c r="P17" i="64" s="1"/>
  <c r="C84" i="27" s="1"/>
  <c r="C18" i="64"/>
  <c r="O18" i="64" s="1"/>
  <c r="P18" i="64" s="1"/>
  <c r="C85" i="27" s="1"/>
  <c r="C19" i="64"/>
  <c r="O19" i="64" s="1"/>
  <c r="P19" i="64" s="1"/>
  <c r="C20" i="64"/>
  <c r="O20" i="64" s="1"/>
  <c r="P20" i="64" s="1"/>
  <c r="C90" i="27" s="1"/>
  <c r="C21" i="64"/>
  <c r="O21" i="64" s="1"/>
  <c r="P21" i="64" s="1"/>
  <c r="C91" i="27" s="1"/>
  <c r="C22" i="64"/>
  <c r="O22" i="64" s="1"/>
  <c r="P22" i="64" s="1"/>
  <c r="C92" i="27" s="1"/>
  <c r="C23" i="64"/>
  <c r="O23" i="64" s="1"/>
  <c r="P23" i="64" s="1"/>
  <c r="C93" i="27" s="1"/>
  <c r="C25" i="64"/>
  <c r="C9" i="64"/>
  <c r="O9" i="64" s="1"/>
  <c r="P9" i="64" s="1"/>
  <c r="C76" i="27" s="1"/>
  <c r="L24" i="64"/>
  <c r="P13" i="64" l="1"/>
  <c r="C80" i="27" s="1"/>
  <c r="O16" i="64"/>
  <c r="C8" i="64"/>
  <c r="C24" i="64"/>
  <c r="O24" i="64" s="1"/>
  <c r="P24" i="64" s="1"/>
  <c r="C94" i="27" s="1"/>
  <c r="O25" i="64"/>
  <c r="P25" i="64" s="1"/>
  <c r="C95" i="27" s="1"/>
  <c r="O12" i="64"/>
  <c r="P12" i="64" s="1"/>
  <c r="C79" i="27" s="1"/>
  <c r="C88" i="27" l="1"/>
  <c r="C87" i="27" s="1"/>
  <c r="O8" i="64"/>
  <c r="P16" i="64"/>
  <c r="F92" i="27" l="1"/>
  <c r="H92" i="27" s="1"/>
  <c r="G45" i="27"/>
  <c r="G46" i="27" s="1"/>
  <c r="P8" i="64"/>
  <c r="C83" i="27"/>
  <c r="C75" i="27" s="1"/>
  <c r="C40" i="27" l="1"/>
  <c r="G81" i="27"/>
  <c r="C7" i="27" l="1"/>
  <c r="I42" i="27"/>
  <c r="G49" i="27"/>
  <c r="H49" i="27" s="1"/>
</calcChain>
</file>

<file path=xl/comments1.xml><?xml version="1.0" encoding="utf-8"?>
<comments xmlns="http://schemas.openxmlformats.org/spreadsheetml/2006/main">
  <authors>
    <author>GP</author>
  </authors>
  <commentList>
    <comment ref="D10" authorId="0">
      <text>
        <r>
          <rPr>
            <b/>
            <sz val="9"/>
            <color indexed="81"/>
            <rFont val="Tahoma"/>
            <family val="2"/>
          </rPr>
          <t>GP:</t>
        </r>
        <r>
          <rPr>
            <sz val="9"/>
            <color indexed="81"/>
            <rFont val="Tahoma"/>
            <family val="2"/>
          </rPr>
          <t xml:space="preserve">
- Lương vc: 23.937.117
- Lương HĐ: 175.254
- Thai sản: 153.408</t>
        </r>
      </text>
    </comment>
    <comment ref="F10" authorId="0">
      <text>
        <r>
          <rPr>
            <b/>
            <sz val="9"/>
            <color indexed="81"/>
            <rFont val="Tahoma"/>
            <family val="2"/>
          </rPr>
          <t>GP:</t>
        </r>
        <r>
          <rPr>
            <sz val="9"/>
            <color indexed="81"/>
            <rFont val="Tahoma"/>
            <family val="2"/>
          </rPr>
          <t xml:space="preserve">
Trường PTDT Nội trú
</t>
        </r>
      </text>
    </comment>
    <comment ref="D39" authorId="0">
      <text>
        <r>
          <rPr>
            <b/>
            <sz val="9"/>
            <color indexed="81"/>
            <rFont val="Tahoma"/>
            <family val="2"/>
          </rPr>
          <t>GP:</t>
        </r>
        <r>
          <rPr>
            <sz val="9"/>
            <color indexed="81"/>
            <rFont val="Tahoma"/>
            <family val="2"/>
          </rPr>
          <t xml:space="preserve">
- Lương BC: 380.625
- Lương HĐ: 101.403</t>
        </r>
      </text>
    </comment>
    <comment ref="D50" authorId="0">
      <text>
        <r>
          <rPr>
            <b/>
            <sz val="9"/>
            <color indexed="81"/>
            <rFont val="Tahoma"/>
            <family val="2"/>
          </rPr>
          <t>GP:</t>
        </r>
        <r>
          <rPr>
            <sz val="9"/>
            <color indexed="81"/>
            <rFont val="Tahoma"/>
            <family val="2"/>
          </rPr>
          <t xml:space="preserve">
- Lương CB: 725.722
- Lương HĐ: 81.899
- Cấp ủy 04: 12.15</t>
        </r>
      </text>
    </comment>
    <comment ref="F50" authorId="0">
      <text>
        <r>
          <rPr>
            <b/>
            <sz val="9"/>
            <color indexed="81"/>
            <rFont val="Tahoma"/>
            <family val="2"/>
          </rPr>
          <t>GP:</t>
        </r>
        <r>
          <rPr>
            <sz val="9"/>
            <color indexed="81"/>
            <rFont val="Tahoma"/>
            <family val="2"/>
          </rPr>
          <t xml:space="preserve">
- Cấp ủy huyện: 46656
- Cấp ủy chi bộ: 972</t>
        </r>
      </text>
    </comment>
  </commentList>
</comments>
</file>

<file path=xl/comments2.xml><?xml version="1.0" encoding="utf-8"?>
<comments xmlns="http://schemas.openxmlformats.org/spreadsheetml/2006/main">
  <authors>
    <author>GP</author>
  </authors>
  <commentList>
    <comment ref="E23" authorId="0">
      <text>
        <r>
          <rPr>
            <b/>
            <sz val="9"/>
            <color indexed="81"/>
            <rFont val="Tahoma"/>
            <family val="2"/>
          </rPr>
          <t>GP:</t>
        </r>
        <r>
          <rPr>
            <sz val="9"/>
            <color indexed="81"/>
            <rFont val="Tahoma"/>
            <family val="2"/>
          </rPr>
          <t xml:space="preserve">
+ PC đảng ủy viên từ tháng 5 đến tháng 12 = 0,3*1800*2 người x 7 tháng = 7560
</t>
        </r>
      </text>
    </comment>
  </commentList>
</comments>
</file>

<file path=xl/sharedStrings.xml><?xml version="1.0" encoding="utf-8"?>
<sst xmlns="http://schemas.openxmlformats.org/spreadsheetml/2006/main" count="663" uniqueCount="323">
  <si>
    <t>Ghi chú</t>
  </si>
  <si>
    <t>I</t>
  </si>
  <si>
    <t>II</t>
  </si>
  <si>
    <t>III</t>
  </si>
  <si>
    <t>Đơn vị</t>
  </si>
  <si>
    <t>IV</t>
  </si>
  <si>
    <t>STT</t>
  </si>
  <si>
    <t>TỔNG CỘNG</t>
  </si>
  <si>
    <t>-</t>
  </si>
  <si>
    <t xml:space="preserve"> -</t>
  </si>
  <si>
    <t>Số tiền</t>
  </si>
  <si>
    <t>Nguồn kinh phí/Nhiệm vụ chi/Đơn vị thực hiện</t>
  </si>
  <si>
    <t>2</t>
  </si>
  <si>
    <t>Đơn vị: Đồng</t>
  </si>
  <si>
    <t>V</t>
  </si>
  <si>
    <t>VI</t>
  </si>
  <si>
    <t>VII</t>
  </si>
  <si>
    <t>Hội Liên hiệp Phụ nữ</t>
  </si>
  <si>
    <t>Biểu số 01</t>
  </si>
  <si>
    <t>Nội dung</t>
  </si>
  <si>
    <t>Hội Luật gia</t>
  </si>
  <si>
    <t xml:space="preserve">
STT</t>
  </si>
  <si>
    <t>Nhu cầu kinh phí CCTL năm 2024</t>
  </si>
  <si>
    <t xml:space="preserve">Nguồn kinh phí còn dư tại đơn vị sử dụng để thực hiện CCTL </t>
  </si>
  <si>
    <t>Kinh phí CCTL cấp bổ sung (đợt 1)</t>
  </si>
  <si>
    <t>Lương, phụ cấp, bảo hiểm cho CBCC, người LĐ</t>
  </si>
  <si>
    <t>Quỹ trợ cấp tăng thêm hưu  xã</t>
  </si>
  <si>
    <t>Chế độ thù lao theo Quyết định 30/2011/QĐ-TTg</t>
  </si>
  <si>
    <t>1</t>
  </si>
  <si>
    <t>UBND thị trấn Yến Lạc</t>
  </si>
  <si>
    <t>UBND xã Văn Lang</t>
  </si>
  <si>
    <t>UBND xã Côn Minh</t>
  </si>
  <si>
    <t>UBND xã Cư Lễ</t>
  </si>
  <si>
    <t>UBND xã Cường Lợi</t>
  </si>
  <si>
    <t>UBND xã Dương Sơn</t>
  </si>
  <si>
    <t>UBND xã Kim Lư</t>
  </si>
  <si>
    <t>UBND xã Sơn Thành</t>
  </si>
  <si>
    <t>UBND xã Liêm Thuỷ</t>
  </si>
  <si>
    <t>UBND xã Lương Thượng</t>
  </si>
  <si>
    <t>UBND xã Quang Phong</t>
  </si>
  <si>
    <t>UBND xã Đổng Xá</t>
  </si>
  <si>
    <t>UBND xã Trần Phú</t>
  </si>
  <si>
    <t>UBND xã Kim Hỷ</t>
  </si>
  <si>
    <t>UBND xã Văn Vũ</t>
  </si>
  <si>
    <t>UBND xã Văn Minh</t>
  </si>
  <si>
    <t>UBND xã Xuân Dương</t>
  </si>
  <si>
    <t>Đơn vị: 1.000 đồng</t>
  </si>
  <si>
    <t>Kinh phí thực hiện CCTL còn thiếu cần bổ sung từ ngân sách cấp trên</t>
  </si>
  <si>
    <t>Tổng cộng nhu cầu (đã làm tròn)</t>
  </si>
  <si>
    <t>Hoạt động phí đại biểu HĐND</t>
  </si>
  <si>
    <t>Phụ cấp trách nhiệm cấp ủy</t>
  </si>
  <si>
    <t>Lương, phụ cấp, bảo hiểm cho CBCC</t>
  </si>
  <si>
    <t>3=4+…+13</t>
  </si>
  <si>
    <t>15=3-14</t>
  </si>
  <si>
    <t>BHXH, BHYT cán bộ không chuyên trách cấp xã</t>
  </si>
  <si>
    <t>BHYT cán bộ không chuyên trách cấp thôn</t>
  </si>
  <si>
    <t>Trợ cấp lần đầu theo NĐ 76/2019/NĐ-CP</t>
  </si>
  <si>
    <t>Trợ cấp 1 lần theo NĐ 76/2019/NĐ-CP</t>
  </si>
  <si>
    <t>Sự nghiệp giáo dục - đào tạo</t>
  </si>
  <si>
    <t>Phòng Giáo dục và Đào tạo (sự nghiệp giáo dục)</t>
  </si>
  <si>
    <t>Trung tâm Chính trị</t>
  </si>
  <si>
    <t>Sự nghiệp văn hóa - truyền thông</t>
  </si>
  <si>
    <t>Trung tâm Văn hóa, Thể thao và TT (SN văn hóa TT)</t>
  </si>
  <si>
    <t>Trung tâm Văn hóa, Thể thao và TT (SN truyền thông)</t>
  </si>
  <si>
    <t>Đảm bảo xã hội</t>
  </si>
  <si>
    <t>Sự nghiệp kinh tế</t>
  </si>
  <si>
    <t xml:space="preserve">Trung tâm Dịch vụ nông nghiệp </t>
  </si>
  <si>
    <t>Quản lý nhà nước</t>
  </si>
  <si>
    <t xml:space="preserve">Phòng Tài chính - Kế hoạch </t>
  </si>
  <si>
    <t>Văn phòng HĐND - UBND</t>
  </si>
  <si>
    <t>Phòng Nông nghiệp và PTNT</t>
  </si>
  <si>
    <t xml:space="preserve">Phòng Nội vụ </t>
  </si>
  <si>
    <t xml:space="preserve">Thanh tra huyện </t>
  </si>
  <si>
    <t xml:space="preserve">Phòng Lao động - Thương binh và Xã hội </t>
  </si>
  <si>
    <t>Phòng Giáo dục và Đào tạo</t>
  </si>
  <si>
    <t xml:space="preserve">Phòng Tư pháp </t>
  </si>
  <si>
    <t xml:space="preserve">Phòng Tài nguyên và Môi trường </t>
  </si>
  <si>
    <t>Đảng, đoàn thể</t>
  </si>
  <si>
    <t>Huyện ủy</t>
  </si>
  <si>
    <t>Ủy ban Mặt trận Tổ quốc Việt Nam huyện</t>
  </si>
  <si>
    <t>Đoàn Thanh niên CSHCM</t>
  </si>
  <si>
    <t xml:space="preserve">Hội Nông dân </t>
  </si>
  <si>
    <t>Hội Cựu chiến binh</t>
  </si>
  <si>
    <t>Hội Khuyến học</t>
  </si>
  <si>
    <t>Hội Đông y</t>
  </si>
  <si>
    <t>Hội Cựu Thanh niên xung phong</t>
  </si>
  <si>
    <t>Hội Người cao tuổi</t>
  </si>
  <si>
    <t>4</t>
  </si>
  <si>
    <t>3=4+5+6+7+8</t>
  </si>
  <si>
    <t xml:space="preserve">Phòng Văn hóa và Thông tin </t>
  </si>
  <si>
    <t>Biểu số 02</t>
  </si>
  <si>
    <t>11=3-10</t>
  </si>
  <si>
    <t>Hội đặc thù cấp huyện</t>
  </si>
  <si>
    <t xml:space="preserve">Phòng Kinh tế và Hạ tầng </t>
  </si>
  <si>
    <t>Hội Chữ thập đỏ</t>
  </si>
  <si>
    <t>Trung tâm Giáo dục nghề nghiệp - GDTX</t>
  </si>
  <si>
    <t>Kinh phí thực hiện chính sách tinh giản biên chế theo Nghị định số 29/2023/NĐ-CP (Đợt nghỉ ngày 01/7 và đợt nghỉ ngày 01/9 năm 2024)</t>
  </si>
  <si>
    <t>Nông Thị Ngái</t>
  </si>
  <si>
    <t>Lục Văn Tuyên</t>
  </si>
  <si>
    <t>UBND các xã, thị trấn</t>
  </si>
  <si>
    <t>Kinh phí thực hiện chính sách cải cách tiền lương năm 2024 (Nguồn tỉnh cấp bổ sung)</t>
  </si>
  <si>
    <t>Phòng Giáo dục và Đào tạo (Trường Mầm non Cường Lợi)</t>
  </si>
  <si>
    <t>X</t>
  </si>
  <si>
    <t>Công chức Chỉ huy trưởng Ban CHQS xã Văn Minh, huyện Na Rì</t>
  </si>
  <si>
    <t xml:space="preserve"> </t>
  </si>
  <si>
    <t>Tổng cộng</t>
  </si>
  <si>
    <t>Trợ cấp do đóng BHXH</t>
  </si>
  <si>
    <t>Trợ cấp tìm
việc làm</t>
  </si>
  <si>
    <t>Trợ cấp do sắp xếp lại đơn vị hành chính cấp huyện, xã (theo quy định tại điểm b, khoản 1, Điều 9 Nghị định số 29/2023/NĐ-CP</t>
  </si>
  <si>
    <t>Trợ cấp do sắp xếp lại đơn vị hành chính cấp huyện, xã (theo quy định tại điểm a, khoản 1, Điều 9 Nghị định số 29/2023/NĐ-CP</t>
  </si>
  <si>
    <t>Trợ cấp do có trên 20 năm đóng BHXH</t>
  </si>
  <si>
    <t>Trợ cấp do có đủ 20 năm đóng BHXH</t>
  </si>
  <si>
    <t>Trợ cấp tính cho thời gian nghỉ hưu trước tuổi</t>
  </si>
  <si>
    <t>Cơ quan, đơn vị tự chi trả</t>
  </si>
  <si>
    <t>Ngân sách
nhà nước
cấp bổ sung</t>
  </si>
  <si>
    <t>Thôi việc ngay</t>
  </si>
  <si>
    <t>Nghỉ hưu trước tuổi</t>
  </si>
  <si>
    <t>Nghỉ hưu
trước tuổi</t>
  </si>
  <si>
    <t>Nguồn kinh phí chi trả</t>
  </si>
  <si>
    <t>Kinh phí thực hiện chính sách tinh giản biên chế</t>
  </si>
  <si>
    <t>Thuộc
đối tượng</t>
  </si>
  <si>
    <t>Chức danh chuyên môn,
đơn vị công tác trước khi tinh giản biên chế</t>
  </si>
  <si>
    <t>BIỂU PHÂN BỔ KINH PHÍ CHI TRẢ CHO ĐỐI TƯỢNG TINH GIẢN BIÊN CHẾ THEO NGHỊ ĐỊNH SỐ 29/2023/NĐ-CP, 
ĐỢT NGHỈ 01/7/2024 VÀ ĐỢT NGHỈ 01/9/2024</t>
  </si>
  <si>
    <t>Trường Mầm non Cường Lợi</t>
  </si>
  <si>
    <t>Giáo viên trường Mầm non Cường Lợi, huyện Na Rì</t>
  </si>
  <si>
    <t>*</t>
  </si>
  <si>
    <t>Biểu số 03</t>
  </si>
  <si>
    <t>Trung tâm học tập cộng đồng thị trấn Yến Lạc</t>
  </si>
  <si>
    <t>Trung tâm học tập cộng đồng xã Văn Lang</t>
  </si>
  <si>
    <t>Trung tâm học tập cộng đồng xã Côn Minh</t>
  </si>
  <si>
    <t>Trung tâm học tập cộng đồng xã Cư Lễ</t>
  </si>
  <si>
    <t>Trung tâm học tập cộng đồng xã Cường Lợi</t>
  </si>
  <si>
    <t>Trung tâm học tập cộng đồng xã Dương Sơn</t>
  </si>
  <si>
    <t>Trung tâm học tập cộng đồng xã Kim Lư</t>
  </si>
  <si>
    <t>Trung tâm học tập cộng đồng xã Sơn Thành</t>
  </si>
  <si>
    <t>Trung tâm học tập cộng đồng xã Liêm Thuỷ</t>
  </si>
  <si>
    <t>Trung tâm học tập cộng đồng xã Lương Thượng</t>
  </si>
  <si>
    <t>Trung tâm học tập cộng đồng xã Quang Phong</t>
  </si>
  <si>
    <t>Trung tâm học tập cộng đồng xã Đổng Xá</t>
  </si>
  <si>
    <t>Trung tâm học tập cộng đồng xã Trần Phú</t>
  </si>
  <si>
    <t>Trung tâm học tập cộng đồng xã Kim Hỷ</t>
  </si>
  <si>
    <t>Trung tâm học tập cộng đồng xã Văn Vũ</t>
  </si>
  <si>
    <t>Trung tâm học tập cộng đồng xã Văn Minh</t>
  </si>
  <si>
    <t>Trung tâm học tập cộng đồng xã Xuân Dương</t>
  </si>
  <si>
    <t xml:space="preserve"> BIỂU PHÂN BỔ KINH PHÍ THỰC HIỆN MỨC LƯƠNG CƠ SỞ THEO NGHỊ ĐỊNH SỐ 73/2024/NĐ-CP 
NGÀY 30/6/2024 CỦA CHÍNH PHỦ CHO UBND CÁC XÃ, THỊ TRẤN NĂM 2024 </t>
  </si>
  <si>
    <t>Kinh phí CCTL cấp bổ sung 
(đợt 1)</t>
  </si>
  <si>
    <t>Sự nghiệp đào tạo</t>
  </si>
  <si>
    <t>Chi tiết theo Biểu số 01</t>
  </si>
  <si>
    <t>Chi tiết theo Biểu số 02</t>
  </si>
  <si>
    <t>Trợ cấp một lần theo NĐ 76/2019/NĐ-CP</t>
  </si>
  <si>
    <t>Phụ cấp thôn đội trưởng theo NĐ 72/2020/NĐ-CP</t>
  </si>
  <si>
    <t>Người</t>
  </si>
  <si>
    <t>Tiền thuê trang điểm cho diễn viên</t>
  </si>
  <si>
    <t>Bộ</t>
  </si>
  <si>
    <t>Tiền thuê đạo cụ biểu diễn</t>
  </si>
  <si>
    <t>Tiền thuê trang phục</t>
  </si>
  <si>
    <t>Hỗ trợ</t>
  </si>
  <si>
    <t>Buổi</t>
  </si>
  <si>
    <t>Tiền thuê nhạc công (tổng duyệt và biểu diễn)</t>
  </si>
  <si>
    <t>Cái</t>
  </si>
  <si>
    <t>Tiểu cảnh, đạo cụ phụ họa</t>
  </si>
  <si>
    <t>Két</t>
  </si>
  <si>
    <t>Tiền nước uống luyện tập và biểu diễn</t>
  </si>
  <si>
    <t>Hộp</t>
  </si>
  <si>
    <t>Mua pin micro không dây phục vụ luyện tập và biểu diễn</t>
  </si>
  <si>
    <t>Bồi dưỡng trong chương trình biểu diễn (18 người x 1 ngày)</t>
  </si>
  <si>
    <t>Luyện tập tham gia chương trình (18 người x 10 ngày = 180)</t>
  </si>
  <si>
    <t>Kinh phí luyện tập và biểu diễn ra mắt bài hát</t>
  </si>
  <si>
    <t>d</t>
  </si>
  <si>
    <t>Thông tư số 71/2018/TT-BTC của Bộ Tài chính; và Quy chế chi tiêu nội bộ của đơn vị</t>
  </si>
  <si>
    <t>Kinh phí tiếp khách phục vụ đại biểu dự hội thảo</t>
  </si>
  <si>
    <t>Tiền thù lao Phó Chủ tịch Hội đồng; thành viên Hội đồng</t>
  </si>
  <si>
    <t>Tiền thù lao Thư ký hội thảo</t>
  </si>
  <si>
    <t>Tiền thù lao Chủ trì hội thảo</t>
  </si>
  <si>
    <t>Họp hội đồng nghiệm thu ca khúc về huyện Na Rì</t>
  </si>
  <si>
    <t>c</t>
  </si>
  <si>
    <t>Tiền thù lao cho Đại biểu mời tham dự</t>
  </si>
  <si>
    <t>Hội thảo ca khúc về huyện Na Rì</t>
  </si>
  <si>
    <t>b</t>
  </si>
  <si>
    <t>Khoản 5, Điều 12 Nghị định số 21/2015/NĐ-CP của Chính phủ</t>
  </si>
  <si>
    <t>Nhuận bút khuyến khích tác phẩm (10 đến 20% mức nhuận bút của tác phẩm cùng thể loại và quy mô)</t>
  </si>
  <si>
    <t>Điểm d, Khoản 4, Điều 10 Nghị định số 21/2015/NĐ-CP
(Làm tròn số tiền)</t>
  </si>
  <si>
    <t>Ca khúc</t>
  </si>
  <si>
    <t>Sáng tác ca khúc (=23,8 lần mức lương cơ sở)</t>
  </si>
  <si>
    <t>Chi hợp đồng thuê sáng tác ca khúc về huyện Na Rì</t>
  </si>
  <si>
    <t>a</t>
  </si>
  <si>
    <t>Mục 2, Chương VI Nghị định số 98/2023/NĐ-CP</t>
  </si>
  <si>
    <t>Kinh phí sáng tác ca khúc về huyện Na Rì</t>
  </si>
  <si>
    <t>PHÒNG VĂN HÓA VÀ THÔNG TIN</t>
  </si>
  <si>
    <t>Dự toán còn dư chưa sử dụng</t>
  </si>
  <si>
    <t>Giấy khen và khung</t>
  </si>
  <si>
    <t>Cá nhân</t>
  </si>
  <si>
    <t>Khen thưởng đột xuất, khen thưởng phát sinh ngoài chương trình</t>
  </si>
  <si>
    <t>Tập thể</t>
  </si>
  <si>
    <t>Khen thưởng học sinh có thành tích xuất sắc trong các kỳ thi</t>
  </si>
  <si>
    <t>Danh hiệu Thôn văn hóa</t>
  </si>
  <si>
    <t>Khen thưởng Đợt thi đua cao điểm 75 ngày đêm lao động sáng tạo, thiết thực lập thành tích chào mừng kỷ niệm 75 năm Ngày giải phóng tỉnh Bắc Kạn</t>
  </si>
  <si>
    <t>Khen thưởng hoạt động hè</t>
  </si>
  <si>
    <t>Khen thưởng công tác thuế trên địa bàn</t>
  </si>
  <si>
    <t>Khen thưởng Chương trình mục tiêu quôc gia</t>
  </si>
  <si>
    <t>Khen thưởng Phong trào thi đua Xóa nhà tạm, nhà dột nát</t>
  </si>
  <si>
    <t>Khen thưởng cải cách hành chính năm 202</t>
  </si>
  <si>
    <t>Khen thưởng cải cách hành chính năm 2024</t>
  </si>
  <si>
    <t>Khen thưởng 80 năm ngày thành lập quân đội nhân dân Việt Nam</t>
  </si>
  <si>
    <t>Khen thưởng người có uy tín</t>
  </si>
  <si>
    <t>Tiền thưởng</t>
  </si>
  <si>
    <t>PHÒNG NỘI VỤ</t>
  </si>
  <si>
    <t>Dự toán điều chỉnh từ các nội dung nhiệm vụ còn dư</t>
  </si>
  <si>
    <t>bình</t>
  </si>
  <si>
    <t>Bình cháy chữa cháy</t>
  </si>
  <si>
    <t>Theo giá thị trường</t>
  </si>
  <si>
    <t>lít</t>
  </si>
  <si>
    <t>Dầu đốt</t>
  </si>
  <si>
    <t>Điểm đ Khoản 1 Điều 3 Nghị quyết 21/2018/NQ-HĐND ngày 10/12/2018 của HĐND tỉnh</t>
  </si>
  <si>
    <t>buổi</t>
  </si>
  <si>
    <t xml:space="preserve">Tiền giảng viên </t>
  </si>
  <si>
    <t>Tập huấn phòng cháy chữa cháy</t>
  </si>
  <si>
    <t>h</t>
  </si>
  <si>
    <t>Chi tiếp khách</t>
  </si>
  <si>
    <t>g</t>
  </si>
  <si>
    <t>Quy định 04-QĐ/TU ngày 10/7/2018; Quy định 2002-QĐ/HU ngày 31/7/2023 của Ban Thường vụ Huyện ủy</t>
  </si>
  <si>
    <t>Chi tiền xây dựng văn bản (chỉ thị, nghị quyết, báo cáo...)</t>
  </si>
  <si>
    <t>f</t>
  </si>
  <si>
    <t>Sữa chữa ô tô thường xuyên, lệ phí xe ô tô (03 xe)</t>
  </si>
  <si>
    <t>e</t>
  </si>
  <si>
    <t>Thuê phương tiện vận chuyển các đoàn đi dự Hội nghị, công tác</t>
  </si>
  <si>
    <t>Hội nghị cán bộ chủ chốt</t>
  </si>
  <si>
    <t>Hội nghị Ban chấp hành mở rộng</t>
  </si>
  <si>
    <t>Hội nghị giao ban công tác tổ chức (Kế hoạch số 290-KH/HU, ngày 04/10/2024)</t>
  </si>
  <si>
    <t>Chi bù tiền ăn Hội nghị</t>
  </si>
  <si>
    <t>Tiền thuê hội trường Hội nghị</t>
  </si>
  <si>
    <t>Tiền nhiên liệu xe (xăng xe)</t>
  </si>
  <si>
    <t xml:space="preserve">Làm tròn số </t>
  </si>
  <si>
    <t>HUYỆN ỦY</t>
  </si>
  <si>
    <t>Thành tiền</t>
  </si>
  <si>
    <t>Đơn giá</t>
  </si>
  <si>
    <t>Số lượng</t>
  </si>
  <si>
    <t>Phòng TC-KH thẩm định</t>
  </si>
  <si>
    <t>Số đơn vị đề nghị năm 2024</t>
  </si>
  <si>
    <t>Đơn vị tính</t>
  </si>
  <si>
    <t>DỰ TOÁN THẨM ĐỊNH</t>
  </si>
  <si>
    <t>Phòng Văn hóa và Thông tin</t>
  </si>
  <si>
    <t>Nguồn ngân sách huyện điều hành</t>
  </si>
  <si>
    <t>Kinh phí thực hiện chính sách cải cách tiền lương năm 2024 (Nguồn tại ngân sách huyện)</t>
  </si>
  <si>
    <t xml:space="preserve"> BIỂU  PHÂN BỔ KINH PHÍ THỰC HIỆN CẢI CÁCH TIỀN LƯƠNG NĂM 2024 THEO NGHỊ ĐỊNH SỐ 73/2024/NĐ-CP 
NGÀY 30/6/2024 CỦA CHÍNH PHỦ CHO CÁC ĐƠN VỊ CẤP HUYỆN</t>
  </si>
  <si>
    <t>Điểm a, Khoản 2 Điều 4 Quyết định số 14/2015/QĐ-TTg của Thủ tướng Chính phủ</t>
  </si>
  <si>
    <t>Điểm b, Khoản 1 Điều 4 Quyết định số 14/2015/QĐ-TTg của Thủ tướng Chính phủ</t>
  </si>
  <si>
    <t>Điểm b, Khoản 2 Điều 4 Quyết định số 14/2015/QĐ-TTg của Thủ tướng Chính phủ</t>
  </si>
  <si>
    <t>Mức hỗ trợ (đ/kg)</t>
  </si>
  <si>
    <t>Tổng khối lượng Tiêu hủy (kg)</t>
  </si>
  <si>
    <t>Số lợn bị tiêu hủy (con)</t>
  </si>
  <si>
    <t>Số hộ có dịch</t>
  </si>
  <si>
    <t>Số thôn có dịch</t>
  </si>
  <si>
    <t>TT</t>
  </si>
  <si>
    <t xml:space="preserve">- Biểu tổng hợp ngày 23/9/2024  </t>
  </si>
  <si>
    <t xml:space="preserve">- Biểu tổng hợp ngày 03/7/2024  
- Biểu tổng hợp ngày 23/9/2024  </t>
  </si>
  <si>
    <t xml:space="preserve">- Biểu tổng hợp ngày 08/7/2024  
- Biểu tổng hợp ngày 23/9/2024  </t>
  </si>
  <si>
    <t xml:space="preserve">- Biểu tổng hợp ngày 20/9/2024  </t>
  </si>
  <si>
    <t xml:space="preserve">- Biểu tổng hợp ngày 02/7/2024  
- Biểu tổng hợp ngày 20/7/2024  </t>
  </si>
  <si>
    <t>- Công văn số 205/CV-UBND ngày 25/9/2024</t>
  </si>
  <si>
    <t xml:space="preserve">- Biểu tổng hợp ngày 27/9/2024  </t>
  </si>
  <si>
    <t xml:space="preserve">- Biểu tổng hợp ngày 19/9/2024  </t>
  </si>
  <si>
    <t>- Báo cáo số 259/BC-UBND ngày 23/9/2024</t>
  </si>
  <si>
    <t xml:space="preserve">- Biểu tổng hợp ngày 05/7/2024  
- Biểu tổng hợp ngày 25/9/2024  </t>
  </si>
  <si>
    <t>- Báo cáo số 140/BC-UBND ngày 04/7/2024  
- Báo cáo số 209/BC-UBND ngày 19/9/2024</t>
  </si>
  <si>
    <t>- Báo cáo số 231/BC-UBND ngày 20/9/2024</t>
  </si>
  <si>
    <t>Biểu số 05</t>
  </si>
  <si>
    <t>Chi tiết theo Biểu số 05</t>
  </si>
  <si>
    <t>xã</t>
  </si>
  <si>
    <t>Tỉnh giao</t>
  </si>
  <si>
    <t>Nguồn CCTL tại đơn vị</t>
  </si>
  <si>
    <t>Nguồn CCTL tại huyện</t>
  </si>
  <si>
    <t>Tổng nguồn CCTL</t>
  </si>
  <si>
    <t>Tổng cộng cấp CCTL</t>
  </si>
  <si>
    <t xml:space="preserve">Thành tiền </t>
  </si>
  <si>
    <t>- Biểu tổng hợp ngày 2/7/2024 và 20/9/2024
- Báo cáo số 286/BC-UBND ngày 25/10/2024</t>
  </si>
  <si>
    <t>Kinh phí hỗ trợ người chăn nuôi bị thiệt hại do bệnh Dịch tả lợn Châu Phi năm 2024</t>
  </si>
  <si>
    <t>HỘI CHỮ THẬP ĐỎ HUYỆN</t>
  </si>
  <si>
    <t>Kinh phí thực hiện nhiệm vụ hiến máu tình nguyện</t>
  </si>
  <si>
    <t>Băng dôn tuyên truyền</t>
  </si>
  <si>
    <t>Chi giải khát giữa giờ</t>
  </si>
  <si>
    <t>Bút viết</t>
  </si>
  <si>
    <t>In danh sách người hiến máu</t>
  </si>
  <si>
    <t>Ngày</t>
  </si>
  <si>
    <t>Tờ</t>
  </si>
  <si>
    <t>Thông tư số 40/2017/TT-BTC của Bộ Tài chính</t>
  </si>
  <si>
    <t>Chi tập huấn cán bộ thực hiện nhiệm vụ vận động nhân dân hiến máu tình nguyện</t>
  </si>
  <si>
    <t>Chi tổng kết năm và tọa đàm kỷ niệm 78 năm ngày thành lập Hội Chữ thập đỏ Việt Nam</t>
  </si>
  <si>
    <t>Không phải nhiệm vụ của nhà nước giao theo quy định tại Điểm a, Khoản 1 Điều 28 Quyết định số 282/QĐ-TTg ngày 08/3/2018 của Thủ tướng Chính phủ</t>
  </si>
  <si>
    <t>Hội Chữ thập đỏ huyện Na Rì</t>
  </si>
  <si>
    <t>Theo Kế hoạch số 229/KH-BCĐ ngày 11/9/2024</t>
  </si>
  <si>
    <t>Không có Kế hoạch tổ chức hội nghị tập huấn; Không phải nhiệm vụ được nhà nước giao theo quy định tại Điểm a, Khoản 1 Điều 28 Quyết định số 282/QĐ-TTg ngày 08/3/2018 của Thủ tướng Chính phủ</t>
  </si>
  <si>
    <t>BIỂU PHÂN BỔ KINH PHÍ THỰC HIỆN HỖ TRỢ THIỆT HẠI DO BỆNH DỊCH TẢ LỢN CHÂU PHI TỪ 01/01/2024 ĐẾN 31/8/2024</t>
  </si>
  <si>
    <t>BIỂU PHÂN BỔ KINH PHÍ SỰ NGHIỆP CHO CÁC ĐƠN VỊ, UBND CÁC XÃ, THỊ TRẤN THỰC HIỆN
NHIỆM VỤ NĂM 2024</t>
  </si>
  <si>
    <t>Chi tiết theo Biểu số 03</t>
  </si>
  <si>
    <t>(Quyết định số 1855/QĐ-UBND ngày 25/10/2024 của UBND tỉnh Bắc Kạn)</t>
  </si>
  <si>
    <t>Chi tiết theo Biểu số 04</t>
  </si>
  <si>
    <t>Phòng Nội vụ</t>
  </si>
  <si>
    <t xml:space="preserve">                                    Biểu số 04</t>
  </si>
  <si>
    <t xml:space="preserve">Hỗ trợ tuýp chữ, tiền giải khát giữa giờ theo Thông tư số 40/2017/TT-BTC ngày 28/4/2027 của BTC; hỗ trợ tiền ăn theo Quy định 04-QĐ/TU ngày 10/7/2018; Quy định 2002-QĐ/HU 31/7/2023 của Ban Thường vụ Huyện ủy; </t>
  </si>
  <si>
    <t>Người/ buổi</t>
  </si>
  <si>
    <t>Tuýp chữ</t>
  </si>
  <si>
    <t>Chênh lệch tăng, giảm      (+, -)</t>
  </si>
  <si>
    <t>Kinh phí bổ sung Quỹ Thi đua, khen thưởng của huyện</t>
  </si>
  <si>
    <t>Nhu cầu chi hoạt động của Thường trực Huyện ủy từ ngày 21/10/2024 đến hết năm 2024</t>
  </si>
  <si>
    <t>Nhu cầu chi Quỹ thi đua, khen thưởng của huyện từ ngày 25/10/2024 đến hết năm 2024</t>
  </si>
  <si>
    <t>Kinh phí bổ sung hoạt động của Thường trực Huyện ủy</t>
  </si>
  <si>
    <t>Biểu số 05a</t>
  </si>
  <si>
    <t>Nhu cầu thực hiện từ tháng 10/2024 đến hết năm 2024</t>
  </si>
  <si>
    <t>Kinh phí được giao đầu năm 2024</t>
  </si>
  <si>
    <t>Kinh phí hoạt động của Thường trực Huyện ủy</t>
  </si>
  <si>
    <t>Quỹ thi đua, khen thưởng huyện</t>
  </si>
  <si>
    <t>Dự toán thẩm định</t>
  </si>
  <si>
    <t>Kinh phí cấp bổ sung</t>
  </si>
  <si>
    <t>Kinh phí tiết kiệm, cắt giảm 5% tại Quyết định số 2460/QĐ-UBND ngày 15/8/2024 của UBND huyện</t>
  </si>
  <si>
    <t>Kinh phí điều chỉnh từ các nội dung nhiệm vụ còn dư tại đơn vị</t>
  </si>
  <si>
    <t>Kinh phí được giao còn dư tại đơn vị chưa sử dụng</t>
  </si>
  <si>
    <t>Kinh phí đã sử dụng đến thời điểm đề nghị cấp bổ sung</t>
  </si>
  <si>
    <t>11=7-8-9+10</t>
  </si>
  <si>
    <t>(Quyết định số 1910/QĐ-UBND ngày 05/11/2024 của UBND tỉnh Bắc Kạn)</t>
  </si>
  <si>
    <t>Điều 4 Quy định ban hành kèm theo Nghị quyết số 04/2024/NQ-HĐND của HĐND tỉnh Bắc Kạn</t>
  </si>
  <si>
    <t>(Kèm theo Tờ trình số 190/TTr-UBND ngày 08/11/2024 của UBND huyện Na Rì)</t>
  </si>
  <si>
    <t>BIỂU THUYẾT MINH KINH PHÍ CẤP BỔ SUNG CHO CÁC CƠ QUAN, ĐƠN VỊ NĂM 2024 (HUYỆN ỦY, PHÒNG NỘI VỤ)</t>
  </si>
</sst>
</file>

<file path=xl/styles.xml><?xml version="1.0" encoding="utf-8"?>
<styleSheet xmlns="http://schemas.openxmlformats.org/spreadsheetml/2006/main" xmlns:mc="http://schemas.openxmlformats.org/markup-compatibility/2006" xmlns:x14ac="http://schemas.microsoft.com/office/spreadsheetml/2009/9/ac" mc:Ignorable="x14ac">
  <numFmts count="6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0_-;\-* #,##0_-;_-* &quot;-&quot;_-;_-@_-"/>
    <numFmt numFmtId="167" formatCode="_-* #,##0.00_-;\-* #,##0.00_-;_-* &quot;-&quot;??_-;_-@_-"/>
    <numFmt numFmtId="168" formatCode="_-* #,##0_-;\-* #,##0_-;_-* &quot;-&quot;??_-;_-@_-"/>
    <numFmt numFmtId="169" formatCode="_(* #,##0_);_(* \(#,##0\);_(* &quot;-&quot;??_);_(@_)"/>
    <numFmt numFmtId="170" formatCode="_-* #,##0.000_-;\-* #,##0.000_-;_-* &quot;-&quot;??_-;_-@_-"/>
    <numFmt numFmtId="171" formatCode="_-* #,##0.000000_-;\-* #,##0.000000_-;_-* &quot;-&quot;??_-;_-@_-"/>
    <numFmt numFmtId="172" formatCode="0.000"/>
    <numFmt numFmtId="173" formatCode="_(* #,##0.0000_);_(* \(#,##0.0000\);_(* &quot;-&quot;??_);_(@_)"/>
    <numFmt numFmtId="174" formatCode="_(* #,##0.0_);_(* \(#,##0.0\);_(* &quot;-&quot;??_);_(@_)"/>
    <numFmt numFmtId="175" formatCode="#,##0;[Red]#,##0"/>
    <numFmt numFmtId="176" formatCode="_-* #,##0.00\ _€_-;\-* #,##0.00\ _€_-;_-* &quot;-&quot;??\ _€_-;_-@_-"/>
    <numFmt numFmtId="177" formatCode="_-&quot;€&quot;* #,##0_-;\-&quot;€&quot;* #,##0_-;_-&quot;€&quot;* &quot;-&quot;_-;_-@_-"/>
    <numFmt numFmtId="178" formatCode="&quot;\&quot;#,##0.00;[Red]&quot;\&quot;&quot;\&quot;&quot;\&quot;&quot;\&quot;&quot;\&quot;&quot;\&quot;\-#,##0.00"/>
    <numFmt numFmtId="179" formatCode="&quot;\&quot;#,##0;[Red]&quot;\&quot;&quot;\&quot;\-#,##0"/>
    <numFmt numFmtId="180" formatCode="_-* #,##0\ &quot;€&quot;_-;\-* #,##0\ &quot;€&quot;_-;_-* &quot;-&quot;\ &quot;€&quot;_-;_-@_-"/>
    <numFmt numFmtId="181" formatCode="_-* #,##0\ _F_-;\-* #,##0\ _F_-;_-* &quot;-&quot;\ _F_-;_-@_-"/>
    <numFmt numFmtId="182" formatCode="_ &quot;\&quot;* #,##0_ ;_ &quot;\&quot;* \-#,##0_ ;_ &quot;\&quot;* &quot;-&quot;_ ;_ @_ "/>
    <numFmt numFmtId="183" formatCode="_ &quot;\&quot;* #,##0.00_ ;_ &quot;\&quot;* \-#,##0.00_ ;_ &quot;\&quot;* &quot;-&quot;??_ ;_ @_ "/>
    <numFmt numFmtId="184" formatCode="_ * #,##0_ ;_ * \-#,##0_ ;_ * &quot;-&quot;_ ;_ @_ "/>
    <numFmt numFmtId="185" formatCode="_ * #,##0.00_ ;_ * \-#,##0.00_ ;_ * &quot;-&quot;??_ ;_ @_ "/>
    <numFmt numFmtId="186" formatCode="#,##0.0_);\(#,##0.0\)"/>
    <numFmt numFmtId="187" formatCode="0.0%;[Red]\(0.0%\)"/>
    <numFmt numFmtId="188" formatCode="_ * #,##0.00_)&quot;£&quot;_ ;_ * \(#,##0.00\)&quot;£&quot;_ ;_ * &quot;-&quot;??_)&quot;£&quot;_ ;_ @_ "/>
    <numFmt numFmtId="189" formatCode="_-&quot;$&quot;* #,##0.00_-;\-&quot;$&quot;* #,##0.00_-;_-&quot;$&quot;* &quot;-&quot;??_-;_-@_-"/>
    <numFmt numFmtId="190" formatCode="0.0%;\(0.0%\)"/>
    <numFmt numFmtId="191" formatCode="0.000_)"/>
    <numFmt numFmtId="192" formatCode="&quot;C&quot;#,##0.00_);\(&quot;C&quot;#,##0.00\)"/>
    <numFmt numFmtId="193" formatCode="_ &quot;\&quot;* #,##0.00_ ;_ &quot;\&quot;* &quot;\&quot;&quot;\&quot;&quot;\&quot;&quot;\&quot;&quot;\&quot;&quot;\&quot;&quot;\&quot;&quot;\&quot;&quot;\&quot;\-#,##0.00_ ;_ &quot;\&quot;* &quot;-&quot;??_ ;_ @_ "/>
    <numFmt numFmtId="194" formatCode="&quot;C&quot;#,##0_);\(&quot;C&quot;#,##0\)"/>
    <numFmt numFmtId="195" formatCode="&quot;$&quot;\ \ \ \ #,##0_);\(&quot;$&quot;\ \ \ #,##0\)"/>
    <numFmt numFmtId="196" formatCode="&quot;$&quot;\ \ \ \ \ #,##0_);\(&quot;$&quot;\ \ \ \ \ #,##0\)"/>
    <numFmt numFmtId="197" formatCode="&quot;C&quot;#,##0_);[Red]\(&quot;C&quot;#,##0\)"/>
    <numFmt numFmtId="198" formatCode="#,###;\-#,###;&quot;&quot;;_(@_)"/>
    <numFmt numFmtId="199" formatCode="#,##0_ ;[Red]\-#,##0\ "/>
    <numFmt numFmtId="200" formatCode="#,##0\ &quot;$&quot;_);[Red]\(#,##0\ &quot;$&quot;\)"/>
    <numFmt numFmtId="201" formatCode="&quot;$&quot;###,0&quot;.&quot;00_);[Red]\(&quot;$&quot;###,0&quot;.&quot;00\)"/>
    <numFmt numFmtId="202" formatCode="&quot;\&quot;#,##0;[Red]\-&quot;\&quot;#,##0"/>
    <numFmt numFmtId="203" formatCode="&quot;\&quot;#,##0.00;\-&quot;\&quot;#,##0.00"/>
    <numFmt numFmtId="204" formatCode="#,##0.000_);\(#,##0.000\)"/>
    <numFmt numFmtId="205" formatCode="#,##0.00\ &quot;F&quot;;[Red]\-#,##0.00\ &quot;F&quot;"/>
    <numFmt numFmtId="206" formatCode="#,##0\ &quot;F&quot;;\-#,##0\ &quot;F&quot;"/>
    <numFmt numFmtId="207" formatCode="#,##0\ &quot;F&quot;;[Red]\-#,##0\ &quot;F&quot;"/>
    <numFmt numFmtId="208" formatCode="_-* #,##0\ &quot;F&quot;_-;\-* #,##0\ &quot;F&quot;_-;_-* &quot;-&quot;\ &quot;F&quot;_-;_-@_-"/>
    <numFmt numFmtId="209" formatCode="#,##0.00\ &quot;F&quot;;\-#,##0.00\ &quot;F&quot;"/>
    <numFmt numFmtId="210" formatCode="&quot;\&quot;#,##0.00;[Red]&quot;\&quot;\-#,##0.00"/>
    <numFmt numFmtId="211" formatCode="&quot;\&quot;#,##0;[Red]&quot;\&quot;\-#,##0"/>
    <numFmt numFmtId="212" formatCode="_-&quot;$&quot;* #,##0_-;\-&quot;$&quot;* #,##0_-;_-&quot;$&quot;* &quot;-&quot;_-;_-@_-"/>
    <numFmt numFmtId="213" formatCode="_-* #,##0.00\ _K_M_-;\-* #,##0.00\ _K_M_-;_-* &quot;-&quot;??\ _K_M_-;_-@_-"/>
    <numFmt numFmtId="214" formatCode="_(* #,##0.000_);_(* \(#,##0.000\);_(* &quot;-&quot;???_);_(@_)"/>
    <numFmt numFmtId="215" formatCode="0.0000"/>
    <numFmt numFmtId="216" formatCode="m/d/yyyy;@"/>
    <numFmt numFmtId="217" formatCode="#,##0.0"/>
  </numFmts>
  <fonts count="141">
    <font>
      <sz val="11"/>
      <color theme="1"/>
      <name val="Arial"/>
      <family val="2"/>
      <charset val="163"/>
      <scheme val="minor"/>
    </font>
    <font>
      <sz val="12"/>
      <color theme="1"/>
      <name val="Times New Roman"/>
      <family val="2"/>
    </font>
    <font>
      <sz val="12"/>
      <color theme="1"/>
      <name val="Times New Roman"/>
      <family val="2"/>
    </font>
    <font>
      <sz val="12"/>
      <color theme="1"/>
      <name val="Times New Roman"/>
      <family val="2"/>
    </font>
    <font>
      <b/>
      <sz val="12"/>
      <color theme="1"/>
      <name val="Times New Roman"/>
      <family val="1"/>
    </font>
    <font>
      <sz val="12"/>
      <color theme="1"/>
      <name val="Times New Roman"/>
      <family val="1"/>
    </font>
    <font>
      <b/>
      <i/>
      <sz val="12"/>
      <color theme="1"/>
      <name val="Times New Roman"/>
      <family val="1"/>
    </font>
    <font>
      <i/>
      <sz val="12"/>
      <color theme="1"/>
      <name val="Times New Roman"/>
      <family val="1"/>
    </font>
    <font>
      <sz val="11"/>
      <color theme="1"/>
      <name val="Times New Roman"/>
      <family val="1"/>
    </font>
    <font>
      <sz val="14"/>
      <color theme="1"/>
      <name val="Times New Roman"/>
      <family val="1"/>
    </font>
    <font>
      <sz val="12"/>
      <name val="Times New Roman"/>
      <family val="1"/>
    </font>
    <font>
      <b/>
      <sz val="12"/>
      <name val="Times New Roman"/>
      <family val="1"/>
    </font>
    <font>
      <sz val="10"/>
      <name val="Arial"/>
      <family val="2"/>
    </font>
    <font>
      <sz val="11"/>
      <color theme="1"/>
      <name val="Arial"/>
      <family val="2"/>
      <charset val="163"/>
      <scheme val="minor"/>
    </font>
    <font>
      <b/>
      <i/>
      <sz val="12"/>
      <name val="Times New Roman"/>
      <family val="1"/>
    </font>
    <font>
      <sz val="14"/>
      <name val="Times New Roman"/>
      <family val="1"/>
    </font>
    <font>
      <b/>
      <sz val="13"/>
      <name val="Times New Roman"/>
      <family val="1"/>
    </font>
    <font>
      <sz val="11"/>
      <color theme="1"/>
      <name val="Arial"/>
      <family val="2"/>
      <scheme val="minor"/>
    </font>
    <font>
      <b/>
      <sz val="10"/>
      <name val="Times New Roman"/>
      <family val="1"/>
    </font>
    <font>
      <sz val="10"/>
      <name val="Times New Roman"/>
      <family val="1"/>
    </font>
    <font>
      <u/>
      <sz val="11"/>
      <color theme="10"/>
      <name val="Arial"/>
      <family val="2"/>
      <scheme val="minor"/>
    </font>
    <font>
      <sz val="9"/>
      <color indexed="81"/>
      <name val="Tahoma"/>
      <family val="2"/>
    </font>
    <font>
      <b/>
      <sz val="9"/>
      <color indexed="81"/>
      <name val="Tahoma"/>
      <family val="2"/>
    </font>
    <font>
      <sz val="12"/>
      <color theme="1"/>
      <name val="Times New Roman"/>
      <family val="2"/>
    </font>
    <font>
      <sz val="12"/>
      <color theme="1"/>
      <name val="Arial"/>
      <family val="1"/>
      <scheme val="minor"/>
    </font>
    <font>
      <sz val="12"/>
      <name val=".VnTime"/>
      <family val="2"/>
    </font>
    <font>
      <sz val="12"/>
      <name val=".VnTime"/>
      <family val="2"/>
    </font>
    <font>
      <sz val="11"/>
      <color theme="1"/>
      <name val="Times New Roman"/>
      <family val="2"/>
      <charset val="163"/>
    </font>
    <font>
      <i/>
      <sz val="12"/>
      <name val="Times New Roman"/>
      <family val="1"/>
    </font>
    <font>
      <sz val="12"/>
      <color theme="1"/>
      <name val="Times New Roman"/>
      <family val="2"/>
      <charset val="163"/>
    </font>
    <font>
      <sz val="12"/>
      <color theme="1"/>
      <name val=".VnTime"/>
      <family val="2"/>
    </font>
    <font>
      <sz val="11"/>
      <color rgb="FF000000"/>
      <name val="Arial"/>
      <family val="2"/>
      <scheme val="minor"/>
    </font>
    <font>
      <sz val="10"/>
      <name val="Arial"/>
      <family val="2"/>
      <charset val="163"/>
    </font>
    <font>
      <sz val="10"/>
      <color theme="1"/>
      <name val="Times New Roman"/>
      <family val="1"/>
    </font>
    <font>
      <b/>
      <sz val="10"/>
      <color indexed="8"/>
      <name val="Times New Roman"/>
      <family val="1"/>
    </font>
    <font>
      <sz val="10"/>
      <color indexed="8"/>
      <name val="Times New Roman"/>
      <family val="1"/>
    </font>
    <font>
      <sz val="10"/>
      <color rgb="FF0070C0"/>
      <name val="Times New Roman"/>
      <family val="1"/>
    </font>
    <font>
      <i/>
      <sz val="10"/>
      <color indexed="8"/>
      <name val="Times New Roman"/>
      <family val="1"/>
    </font>
    <font>
      <b/>
      <sz val="9"/>
      <color indexed="8"/>
      <name val="Times New Roman"/>
      <family val="1"/>
    </font>
    <font>
      <sz val="8"/>
      <color indexed="8"/>
      <name val="Times New Roman"/>
      <family val="1"/>
    </font>
    <font>
      <sz val="13"/>
      <name val=".VnTime"/>
      <family val="2"/>
    </font>
    <font>
      <sz val="12"/>
      <name val=".VnArial Narrow"/>
      <family val="2"/>
    </font>
    <font>
      <sz val="12"/>
      <color indexed="8"/>
      <name val="Times New Roman"/>
      <family val="2"/>
    </font>
    <font>
      <sz val="8"/>
      <name val="Times New Roman"/>
      <family val="1"/>
    </font>
    <font>
      <sz val="10"/>
      <name val=".VnTime"/>
      <family val="2"/>
    </font>
    <font>
      <sz val="11"/>
      <color indexed="8"/>
      <name val="Calibri"/>
      <family val="2"/>
    </font>
    <font>
      <b/>
      <sz val="10"/>
      <name val=".VnTime"/>
      <family val="2"/>
    </font>
    <font>
      <sz val="12"/>
      <name val="VNI-Times"/>
    </font>
    <font>
      <sz val="10"/>
      <name val="?? ??"/>
      <family val="1"/>
      <charset val="136"/>
    </font>
    <font>
      <sz val="14"/>
      <name val="??"/>
      <family val="3"/>
      <charset val="129"/>
    </font>
    <font>
      <sz val="12"/>
      <name val="????"/>
      <family val="1"/>
      <charset val="136"/>
    </font>
    <font>
      <sz val="12"/>
      <name val="Courier"/>
      <family val="3"/>
    </font>
    <font>
      <sz val="12"/>
      <name val="|??¢¥¢¬¨Ï"/>
      <family val="1"/>
      <charset val="129"/>
    </font>
    <font>
      <sz val="10"/>
      <name val="VNI-Times"/>
    </font>
    <font>
      <sz val="10"/>
      <name val="MS Sans Serif"/>
      <family val="2"/>
    </font>
    <font>
      <sz val="10"/>
      <color indexed="8"/>
      <name val="Arial"/>
      <family val="2"/>
    </font>
    <font>
      <sz val="11"/>
      <name val="VNI-Aptima"/>
    </font>
    <font>
      <sz val="12"/>
      <name val="???"/>
    </font>
    <font>
      <sz val="14"/>
      <name val="VnTime"/>
    </font>
    <font>
      <sz val="12"/>
      <name val="¹ÙÅÁÃ¼"/>
      <family val="1"/>
    </font>
    <font>
      <i/>
      <sz val="12"/>
      <color indexed="8"/>
      <name val=".VnBook-AntiquaH"/>
      <family val="2"/>
    </font>
    <font>
      <b/>
      <sz val="12"/>
      <color indexed="8"/>
      <name val=".VnBook-Antiqua"/>
      <family val="2"/>
    </font>
    <font>
      <i/>
      <sz val="12"/>
      <color indexed="8"/>
      <name val=".VnBook-Antiqua"/>
      <family val="2"/>
    </font>
    <font>
      <sz val="12"/>
      <name val="±¼¸²Ã¼"/>
      <family val="3"/>
      <charset val="129"/>
    </font>
    <font>
      <sz val="12"/>
      <name val="¹UAAA¼"/>
      <family val="3"/>
      <charset val="129"/>
    </font>
    <font>
      <sz val="11"/>
      <name val="±¼¸²Ã¼"/>
      <family val="3"/>
      <charset val="129"/>
    </font>
    <font>
      <sz val="12"/>
      <name val="Tms Rmn"/>
    </font>
    <font>
      <sz val="11"/>
      <name val="µ¸¿ò"/>
      <charset val="129"/>
    </font>
    <font>
      <sz val="12"/>
      <name val="µ¸¿òÃ¼"/>
      <family val="3"/>
      <charset val="129"/>
    </font>
    <font>
      <sz val="10"/>
      <name val="±¼¸²A¼"/>
      <family val="3"/>
      <charset val="129"/>
    </font>
    <font>
      <sz val="10"/>
      <name val="Helv"/>
    </font>
    <font>
      <b/>
      <sz val="10"/>
      <name val="Helv"/>
    </font>
    <font>
      <sz val="10"/>
      <name val=".VnArial"/>
      <family val="2"/>
    </font>
    <font>
      <sz val="11"/>
      <name val="Tms Rmn"/>
    </font>
    <font>
      <sz val="10"/>
      <name val="MS Serif"/>
      <family val="1"/>
    </font>
    <font>
      <sz val="10"/>
      <name val="Arial CE"/>
      <charset val="238"/>
    </font>
    <font>
      <sz val="10"/>
      <color indexed="16"/>
      <name val="MS Serif"/>
      <family val="1"/>
    </font>
    <font>
      <sz val="10"/>
      <color indexed="8"/>
      <name val="Arial"/>
      <family val="2"/>
      <charset val="1"/>
    </font>
    <font>
      <sz val="8"/>
      <name val="Arial"/>
      <family val="2"/>
      <charset val="163"/>
    </font>
    <font>
      <b/>
      <sz val="12"/>
      <color indexed="9"/>
      <name val="Tms Rmn"/>
    </font>
    <font>
      <b/>
      <sz val="12"/>
      <name val="Helv"/>
    </font>
    <font>
      <b/>
      <sz val="12"/>
      <name val="Arial"/>
      <family val="2"/>
    </font>
    <font>
      <b/>
      <sz val="18"/>
      <name val="Arial"/>
      <family val="2"/>
    </font>
    <font>
      <b/>
      <sz val="8"/>
      <name val="MS Sans Serif"/>
      <family val="2"/>
    </font>
    <font>
      <b/>
      <sz val="14"/>
      <name val=".VnTimeH"/>
      <family val="2"/>
    </font>
    <font>
      <b/>
      <sz val="11"/>
      <name val="Helv"/>
    </font>
    <font>
      <sz val="12"/>
      <name val="Arial"/>
      <family val="2"/>
    </font>
    <font>
      <sz val="7"/>
      <name val="Small Fonts"/>
      <family val="2"/>
    </font>
    <font>
      <sz val="13"/>
      <name val="Times New Roman"/>
      <family val="1"/>
    </font>
    <font>
      <b/>
      <sz val="11"/>
      <name val="Arial"/>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8"/>
      <name val="MS Sans Serif"/>
      <family val="2"/>
    </font>
    <font>
      <sz val="8"/>
      <name val="Tms Rmn"/>
    </font>
    <font>
      <b/>
      <sz val="8"/>
      <color indexed="8"/>
      <name val="Helv"/>
    </font>
    <font>
      <b/>
      <sz val="13"/>
      <color indexed="8"/>
      <name val=".VnTimeH"/>
      <family val="2"/>
    </font>
    <font>
      <sz val="14"/>
      <name val="VnTime"/>
      <family val="2"/>
    </font>
    <font>
      <b/>
      <sz val="8"/>
      <name val="VN Helvetica"/>
    </font>
    <font>
      <b/>
      <sz val="12"/>
      <name val=".VnTime"/>
      <family val="2"/>
    </font>
    <font>
      <b/>
      <sz val="10"/>
      <name val="VN AvantGBook"/>
    </font>
    <font>
      <b/>
      <sz val="16"/>
      <name val=".VnTime"/>
      <family val="2"/>
    </font>
    <font>
      <sz val="9"/>
      <name val=".VnTime"/>
      <family val="2"/>
    </font>
    <font>
      <sz val="14"/>
      <name val=".VnArial"/>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b/>
      <sz val="10"/>
      <color theme="1"/>
      <name val="Times New Roman"/>
      <family val="1"/>
    </font>
    <font>
      <b/>
      <i/>
      <sz val="10"/>
      <color theme="1"/>
      <name val="Times New Roman"/>
      <family val="1"/>
    </font>
    <font>
      <i/>
      <sz val="13"/>
      <name val="Times New Roman"/>
      <family val="1"/>
    </font>
    <font>
      <i/>
      <sz val="12"/>
      <color indexed="8"/>
      <name val="Times New Roman"/>
      <family val="1"/>
    </font>
    <font>
      <b/>
      <sz val="13"/>
      <color indexed="8"/>
      <name val="Times New Roman"/>
      <family val="1"/>
    </font>
    <font>
      <b/>
      <sz val="13"/>
      <color rgb="FFFF0000"/>
      <name val="Times New Roman"/>
      <family val="1"/>
    </font>
    <font>
      <b/>
      <sz val="14"/>
      <color theme="1"/>
      <name val="Times New Roman"/>
      <family val="1"/>
    </font>
    <font>
      <sz val="10"/>
      <name val="Arial"/>
    </font>
    <font>
      <b/>
      <sz val="12"/>
      <color indexed="8"/>
      <name val="Times New Roman"/>
      <family val="1"/>
    </font>
    <font>
      <sz val="12"/>
      <color indexed="8"/>
      <name val="Times New Roman"/>
      <family val="1"/>
    </font>
    <font>
      <b/>
      <i/>
      <sz val="12"/>
      <color indexed="8"/>
      <name val="Times New Roman"/>
      <family val="1"/>
    </font>
    <font>
      <sz val="13"/>
      <color theme="1"/>
      <name val="Times New Roman"/>
      <family val="1"/>
    </font>
    <font>
      <b/>
      <sz val="13"/>
      <color theme="1"/>
      <name val="Times New Roman"/>
      <family val="1"/>
    </font>
    <font>
      <b/>
      <i/>
      <sz val="13"/>
      <color indexed="8"/>
      <name val="Times New Roman"/>
      <family val="1"/>
    </font>
    <font>
      <b/>
      <sz val="11"/>
      <color theme="1"/>
      <name val="Times New Roman"/>
      <family val="1"/>
    </font>
    <font>
      <i/>
      <sz val="10"/>
      <name val="Times New Roman"/>
      <family val="1"/>
    </font>
    <font>
      <b/>
      <sz val="12"/>
      <color rgb="FF000000"/>
      <name val="Times New Roman"/>
      <family val="1"/>
    </font>
    <font>
      <sz val="11"/>
      <name val="Times New Roman"/>
      <family val="1"/>
    </font>
    <font>
      <b/>
      <i/>
      <sz val="11"/>
      <color theme="1"/>
      <name val="Times New Roman"/>
      <family val="1"/>
    </font>
    <font>
      <i/>
      <sz val="12"/>
      <color rgb="FF000000"/>
      <name val="Times New Roman"/>
      <family val="1"/>
    </font>
    <font>
      <i/>
      <sz val="8"/>
      <color indexed="8"/>
      <name val="Times New Roman"/>
      <family val="1"/>
    </font>
    <font>
      <i/>
      <sz val="11"/>
      <color indexed="8"/>
      <name val="Times New Roman"/>
      <family val="1"/>
    </font>
    <font>
      <i/>
      <sz val="10"/>
      <color theme="1"/>
      <name val="Times New Roman"/>
      <family val="1"/>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40"/>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s>
  <cellStyleXfs count="475">
    <xf numFmtId="0" fontId="0" fillId="0" borderId="0"/>
    <xf numFmtId="0" fontId="12" fillId="0" borderId="0"/>
    <xf numFmtId="167" fontId="13" fillId="0" borderId="0" applyFont="0" applyFill="0" applyBorder="0" applyAlignment="0" applyProtection="0"/>
    <xf numFmtId="0" fontId="17" fillId="0" borderId="0"/>
    <xf numFmtId="167" fontId="17" fillId="0" borderId="0" applyFont="0" applyFill="0" applyBorder="0" applyAlignment="0" applyProtection="0"/>
    <xf numFmtId="166" fontId="17" fillId="0" borderId="0" applyFont="0" applyFill="0" applyBorder="0" applyAlignment="0" applyProtection="0"/>
    <xf numFmtId="0" fontId="12" fillId="0" borderId="0"/>
    <xf numFmtId="167" fontId="17" fillId="0" borderId="0" applyFont="0" applyFill="0" applyBorder="0" applyAlignment="0" applyProtection="0"/>
    <xf numFmtId="0" fontId="12" fillId="0" borderId="0"/>
    <xf numFmtId="0" fontId="13" fillId="0" borderId="0"/>
    <xf numFmtId="9" fontId="17" fillId="0" borderId="0" applyFont="0" applyFill="0" applyBorder="0" applyAlignment="0" applyProtection="0"/>
    <xf numFmtId="0" fontId="20" fillId="0" borderId="0" applyNumberFormat="0" applyFill="0" applyBorder="0" applyAlignment="0" applyProtection="0"/>
    <xf numFmtId="0" fontId="17" fillId="0" borderId="0"/>
    <xf numFmtId="166" fontId="17" fillId="0" borderId="0" applyFont="0" applyFill="0" applyBorder="0" applyAlignment="0" applyProtection="0"/>
    <xf numFmtId="0" fontId="17" fillId="0" borderId="0"/>
    <xf numFmtId="167" fontId="17" fillId="0" borderId="0" applyFont="0" applyFill="0" applyBorder="0" applyAlignment="0" applyProtection="0"/>
    <xf numFmtId="0" fontId="17" fillId="0" borderId="0"/>
    <xf numFmtId="166" fontId="17" fillId="0" borderId="0" applyFont="0" applyFill="0" applyBorder="0" applyAlignment="0" applyProtection="0"/>
    <xf numFmtId="0" fontId="23" fillId="0" borderId="0"/>
    <xf numFmtId="0" fontId="24" fillId="0" borderId="0"/>
    <xf numFmtId="0" fontId="24" fillId="0" borderId="0"/>
    <xf numFmtId="167" fontId="24" fillId="0" borderId="0" applyFont="0" applyFill="0" applyBorder="0" applyAlignment="0" applyProtection="0"/>
    <xf numFmtId="0" fontId="24" fillId="0" borderId="0"/>
    <xf numFmtId="0" fontId="24" fillId="0" borderId="0"/>
    <xf numFmtId="0" fontId="24" fillId="0" borderId="0"/>
    <xf numFmtId="0" fontId="25" fillId="0" borderId="0"/>
    <xf numFmtId="43" fontId="26" fillId="0" borderId="0" applyFont="0" applyFill="0" applyBorder="0" applyAlignment="0" applyProtection="0"/>
    <xf numFmtId="0" fontId="26" fillId="0" borderId="0"/>
    <xf numFmtId="43" fontId="12" fillId="0" borderId="0" applyFont="0" applyFill="0" applyBorder="0" applyAlignment="0" applyProtection="0"/>
    <xf numFmtId="0" fontId="12" fillId="0" borderId="0"/>
    <xf numFmtId="0" fontId="15" fillId="0" borderId="0"/>
    <xf numFmtId="0" fontId="26" fillId="0" borderId="0"/>
    <xf numFmtId="43" fontId="26" fillId="0" borderId="0" applyFont="0" applyFill="0" applyBorder="0" applyAlignment="0" applyProtection="0"/>
    <xf numFmtId="0" fontId="26" fillId="0" borderId="0"/>
    <xf numFmtId="165" fontId="27" fillId="0" borderId="0" applyFont="0" applyFill="0" applyBorder="0" applyAlignment="0" applyProtection="0"/>
    <xf numFmtId="43" fontId="12" fillId="0" borderId="0" applyFont="0" applyFill="0" applyBorder="0" applyAlignment="0" applyProtection="0"/>
    <xf numFmtId="0" fontId="27" fillId="0" borderId="0"/>
    <xf numFmtId="165" fontId="27" fillId="0" borderId="0" applyFont="0" applyFill="0" applyBorder="0" applyAlignment="0" applyProtection="0"/>
    <xf numFmtId="165" fontId="27" fillId="0" borderId="0" applyFont="0" applyFill="0" applyBorder="0" applyAlignment="0" applyProtection="0"/>
    <xf numFmtId="0" fontId="29" fillId="0" borderId="0"/>
    <xf numFmtId="43" fontId="29" fillId="0" borderId="0" applyFont="0" applyFill="0" applyBorder="0" applyAlignment="0" applyProtection="0"/>
    <xf numFmtId="9" fontId="29" fillId="0" borderId="0" applyFont="0" applyFill="0" applyBorder="0" applyAlignment="0" applyProtection="0"/>
    <xf numFmtId="9" fontId="23" fillId="0" borderId="0" applyFont="0" applyFill="0" applyBorder="0" applyAlignment="0" applyProtection="0"/>
    <xf numFmtId="165" fontId="23" fillId="0" borderId="0" applyFont="0" applyFill="0" applyBorder="0" applyAlignment="0" applyProtection="0"/>
    <xf numFmtId="0" fontId="23" fillId="0" borderId="0"/>
    <xf numFmtId="0" fontId="25" fillId="0" borderId="0"/>
    <xf numFmtId="0" fontId="30" fillId="0" borderId="0"/>
    <xf numFmtId="0" fontId="25" fillId="0" borderId="0"/>
    <xf numFmtId="43" fontId="17" fillId="0" borderId="0" applyFont="0" applyFill="0" applyBorder="0" applyAlignment="0" applyProtection="0"/>
    <xf numFmtId="0" fontId="10" fillId="0" borderId="0"/>
    <xf numFmtId="0" fontId="10" fillId="0" borderId="0"/>
    <xf numFmtId="0" fontId="10" fillId="0" borderId="0"/>
    <xf numFmtId="0" fontId="31" fillId="0" borderId="0"/>
    <xf numFmtId="167" fontId="31" fillId="0" borderId="0" applyFont="0" applyFill="0" applyBorder="0" applyAlignment="0" applyProtection="0"/>
    <xf numFmtId="43" fontId="25" fillId="0" borderId="0" applyFont="0" applyFill="0" applyBorder="0" applyAlignment="0" applyProtection="0"/>
    <xf numFmtId="43" fontId="23" fillId="0" borderId="0" applyFont="0" applyFill="0" applyBorder="0" applyAlignment="0" applyProtection="0"/>
    <xf numFmtId="170" fontId="24" fillId="0" borderId="0" applyFont="0" applyFill="0" applyBorder="0" applyAlignment="0" applyProtection="0"/>
    <xf numFmtId="41" fontId="23" fillId="0" borderId="0" applyFont="0" applyFill="0" applyBorder="0" applyAlignment="0" applyProtection="0"/>
    <xf numFmtId="0" fontId="25" fillId="0" borderId="0"/>
    <xf numFmtId="171" fontId="25"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0" fontId="12" fillId="0" borderId="0"/>
    <xf numFmtId="0" fontId="10"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32" fillId="0" borderId="0"/>
    <xf numFmtId="0" fontId="12" fillId="0" borderId="0"/>
    <xf numFmtId="0" fontId="10" fillId="0" borderId="0"/>
    <xf numFmtId="0" fontId="25" fillId="0" borderId="0"/>
    <xf numFmtId="165" fontId="13" fillId="0" borderId="0" applyFont="0" applyFill="0" applyBorder="0" applyAlignment="0" applyProtection="0"/>
    <xf numFmtId="165" fontId="29" fillId="0" borderId="0" applyFont="0" applyFill="0" applyBorder="0" applyAlignment="0" applyProtection="0"/>
    <xf numFmtId="0" fontId="12" fillId="0" borderId="0"/>
    <xf numFmtId="0" fontId="17" fillId="0" borderId="0"/>
    <xf numFmtId="43" fontId="25" fillId="0" borderId="0" applyFont="0" applyFill="0" applyBorder="0" applyAlignment="0" applyProtection="0"/>
    <xf numFmtId="43" fontId="13" fillId="0" borderId="0" applyFont="0" applyFill="0" applyBorder="0" applyAlignment="0" applyProtection="0"/>
    <xf numFmtId="0" fontId="25" fillId="0" borderId="0"/>
    <xf numFmtId="0" fontId="15" fillId="0" borderId="0"/>
    <xf numFmtId="0" fontId="41" fillId="0" borderId="0"/>
    <xf numFmtId="43" fontId="13" fillId="0" borderId="0" applyFont="0" applyFill="0" applyBorder="0" applyAlignment="0" applyProtection="0"/>
    <xf numFmtId="0" fontId="25" fillId="0" borderId="0"/>
    <xf numFmtId="0" fontId="25" fillId="0" borderId="0"/>
    <xf numFmtId="43" fontId="25" fillId="0" borderId="0" applyFont="0" applyFill="0" applyBorder="0" applyAlignment="0" applyProtection="0"/>
    <xf numFmtId="0" fontId="12" fillId="0" borderId="0"/>
    <xf numFmtId="0" fontId="10" fillId="0" borderId="0"/>
    <xf numFmtId="0" fontId="42" fillId="0" borderId="0"/>
    <xf numFmtId="176" fontId="32" fillId="0" borderId="0" applyFont="0" applyFill="0" applyBorder="0" applyAlignment="0" applyProtection="0"/>
    <xf numFmtId="43" fontId="25"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43" fontId="25" fillId="0" borderId="0" applyFont="0" applyFill="0" applyBorder="0" applyAlignment="0" applyProtection="0"/>
    <xf numFmtId="43" fontId="32" fillId="0" borderId="0" applyFont="0" applyFill="0" applyBorder="0" applyAlignment="0" applyProtection="0"/>
    <xf numFmtId="0" fontId="32" fillId="0" borderId="0"/>
    <xf numFmtId="0" fontId="15" fillId="0" borderId="0"/>
    <xf numFmtId="0" fontId="15" fillId="0" borderId="0"/>
    <xf numFmtId="0" fontId="12" fillId="0" borderId="0"/>
    <xf numFmtId="0" fontId="12" fillId="0" borderId="0"/>
    <xf numFmtId="0" fontId="12" fillId="0" borderId="0"/>
    <xf numFmtId="0" fontId="41" fillId="0" borderId="0"/>
    <xf numFmtId="0" fontId="17" fillId="0" borderId="0"/>
    <xf numFmtId="0" fontId="25" fillId="0" borderId="0"/>
    <xf numFmtId="0" fontId="41" fillId="0" borderId="0"/>
    <xf numFmtId="0" fontId="41" fillId="0" borderId="0"/>
    <xf numFmtId="41" fontId="12" fillId="0" borderId="0" applyFont="0" applyFill="0" applyBorder="0" applyAlignment="0" applyProtection="0"/>
    <xf numFmtId="0" fontId="32" fillId="0" borderId="0"/>
    <xf numFmtId="43" fontId="12" fillId="0" borderId="0" applyFont="0" applyFill="0" applyBorder="0" applyAlignment="0" applyProtection="0"/>
    <xf numFmtId="0" fontId="12" fillId="0" borderId="0"/>
    <xf numFmtId="43" fontId="45" fillId="0" borderId="0" applyFont="0" applyFill="0" applyBorder="0" applyAlignment="0" applyProtection="0"/>
    <xf numFmtId="167" fontId="12" fillId="0" borderId="0" applyFont="0" applyFill="0" applyBorder="0" applyAlignment="0" applyProtection="0"/>
    <xf numFmtId="43" fontId="25"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1" fillId="0" borderId="0"/>
    <xf numFmtId="0" fontId="41" fillId="0" borderId="0"/>
    <xf numFmtId="0" fontId="41" fillId="0" borderId="0"/>
    <xf numFmtId="177" fontId="47" fillId="0" borderId="0" applyFont="0" applyFill="0" applyBorder="0" applyAlignment="0" applyProtection="0"/>
    <xf numFmtId="178" fontId="12" fillId="0" borderId="0" applyFont="0" applyFill="0" applyBorder="0" applyAlignment="0" applyProtection="0"/>
    <xf numFmtId="0" fontId="48" fillId="0" borderId="0" applyFont="0" applyFill="0" applyBorder="0" applyAlignment="0" applyProtection="0"/>
    <xf numFmtId="179" fontId="12"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40" fontId="49" fillId="0" borderId="0" applyFont="0" applyFill="0" applyBorder="0" applyAlignment="0" applyProtection="0"/>
    <xf numFmtId="38" fontId="49" fillId="0" borderId="0" applyFont="0" applyFill="0" applyBorder="0" applyAlignment="0" applyProtection="0"/>
    <xf numFmtId="166" fontId="50" fillId="0" borderId="0" applyFont="0" applyFill="0" applyBorder="0" applyAlignment="0" applyProtection="0"/>
    <xf numFmtId="167" fontId="50" fillId="0" borderId="0" applyFont="0" applyFill="0" applyBorder="0" applyAlignment="0" applyProtection="0"/>
    <xf numFmtId="6" fontId="51" fillId="0" borderId="0" applyFont="0" applyFill="0" applyBorder="0" applyAlignment="0" applyProtection="0"/>
    <xf numFmtId="0" fontId="10" fillId="0" borderId="0">
      <alignment vertical="center"/>
    </xf>
    <xf numFmtId="0" fontId="12" fillId="0" borderId="0" applyFont="0" applyFill="0" applyBorder="0" applyAlignment="0" applyProtection="0"/>
    <xf numFmtId="0" fontId="12" fillId="0" borderId="0" applyFont="0" applyFill="0" applyBorder="0" applyAlignment="0" applyProtection="0"/>
    <xf numFmtId="0" fontId="52" fillId="0" borderId="0"/>
    <xf numFmtId="0" fontId="12" fillId="0" borderId="0" applyNumberFormat="0" applyFill="0" applyBorder="0" applyAlignment="0" applyProtection="0"/>
    <xf numFmtId="180" fontId="53" fillId="0" borderId="0" applyFont="0" applyFill="0" applyBorder="0" applyAlignment="0" applyProtection="0"/>
    <xf numFmtId="180" fontId="53" fillId="0" borderId="0" applyFont="0" applyFill="0" applyBorder="0" applyAlignment="0" applyProtection="0"/>
    <xf numFmtId="0" fontId="54" fillId="0" borderId="0"/>
    <xf numFmtId="181" fontId="25" fillId="0" borderId="0" applyFont="0" applyFill="0" applyBorder="0" applyAlignment="0" applyProtection="0"/>
    <xf numFmtId="0" fontId="55" fillId="0" borderId="0">
      <alignment vertical="top"/>
    </xf>
    <xf numFmtId="0" fontId="55" fillId="0" borderId="0">
      <alignment vertical="top"/>
    </xf>
    <xf numFmtId="180" fontId="53" fillId="0" borderId="0" applyFont="0" applyFill="0" applyBorder="0" applyAlignment="0" applyProtection="0"/>
    <xf numFmtId="177" fontId="47" fillId="0" borderId="0" applyFont="0" applyFill="0" applyBorder="0" applyAlignment="0" applyProtection="0"/>
    <xf numFmtId="167" fontId="47" fillId="0" borderId="0" applyFont="0" applyFill="0" applyBorder="0" applyAlignment="0" applyProtection="0"/>
    <xf numFmtId="0" fontId="53" fillId="0" borderId="0" applyFont="0" applyFill="0" applyBorder="0" applyAlignment="0" applyProtection="0"/>
    <xf numFmtId="166" fontId="47" fillId="0" borderId="0" applyFont="0" applyFill="0" applyBorder="0" applyAlignment="0" applyProtection="0"/>
    <xf numFmtId="180" fontId="53" fillId="0" borderId="0" applyFont="0" applyFill="0" applyBorder="0" applyAlignment="0" applyProtection="0"/>
    <xf numFmtId="0" fontId="53" fillId="0" borderId="0" applyFont="0" applyFill="0" applyBorder="0" applyAlignment="0" applyProtection="0"/>
    <xf numFmtId="167" fontId="47" fillId="0" borderId="0" applyFont="0" applyFill="0" applyBorder="0" applyAlignment="0" applyProtection="0"/>
    <xf numFmtId="181" fontId="53" fillId="0" borderId="0" applyFont="0" applyFill="0" applyBorder="0" applyAlignment="0" applyProtection="0"/>
    <xf numFmtId="166" fontId="47" fillId="0" borderId="0" applyFont="0" applyFill="0" applyBorder="0" applyAlignment="0" applyProtection="0"/>
    <xf numFmtId="167" fontId="47" fillId="0" borderId="0" applyFont="0" applyFill="0" applyBorder="0" applyAlignment="0" applyProtection="0"/>
    <xf numFmtId="181" fontId="53" fillId="0" borderId="0" applyFont="0" applyFill="0" applyBorder="0" applyAlignment="0" applyProtection="0"/>
    <xf numFmtId="0" fontId="53" fillId="0" borderId="0" applyFont="0" applyFill="0" applyBorder="0" applyAlignment="0" applyProtection="0"/>
    <xf numFmtId="166" fontId="47" fillId="0" borderId="0" applyFont="0" applyFill="0" applyBorder="0" applyAlignment="0" applyProtection="0"/>
    <xf numFmtId="177" fontId="47" fillId="0" borderId="0" applyFont="0" applyFill="0" applyBorder="0" applyAlignment="0" applyProtection="0"/>
    <xf numFmtId="0" fontId="56" fillId="0" borderId="0"/>
    <xf numFmtId="166" fontId="47" fillId="0" borderId="0" applyFont="0" applyFill="0" applyBorder="0" applyAlignment="0" applyProtection="0"/>
    <xf numFmtId="181" fontId="53" fillId="0" borderId="0" applyFont="0" applyFill="0" applyBorder="0" applyAlignment="0" applyProtection="0"/>
    <xf numFmtId="0" fontId="53" fillId="0" borderId="0" applyFont="0" applyFill="0" applyBorder="0" applyAlignment="0" applyProtection="0"/>
    <xf numFmtId="177" fontId="47" fillId="0" borderId="0" applyFont="0" applyFill="0" applyBorder="0" applyAlignment="0" applyProtection="0"/>
    <xf numFmtId="167" fontId="47" fillId="0" borderId="0" applyFont="0" applyFill="0" applyBorder="0" applyAlignment="0" applyProtection="0"/>
    <xf numFmtId="182" fontId="57" fillId="0" borderId="0" applyFont="0" applyFill="0" applyBorder="0" applyAlignment="0" applyProtection="0"/>
    <xf numFmtId="1" fontId="58" fillId="0" borderId="1" applyBorder="0" applyAlignment="0">
      <alignment horizontal="center"/>
    </xf>
    <xf numFmtId="182" fontId="57" fillId="0" borderId="0" applyFont="0" applyFill="0" applyBorder="0" applyAlignment="0" applyProtection="0"/>
    <xf numFmtId="182" fontId="57" fillId="0" borderId="0" applyFont="0" applyFill="0" applyBorder="0" applyAlignment="0" applyProtection="0"/>
    <xf numFmtId="182" fontId="57" fillId="0" borderId="0" applyFont="0" applyFill="0" applyBorder="0" applyAlignment="0" applyProtection="0"/>
    <xf numFmtId="182" fontId="57" fillId="0" borderId="0" applyFont="0" applyFill="0" applyBorder="0" applyAlignment="0" applyProtection="0"/>
    <xf numFmtId="9" fontId="59" fillId="0" borderId="0" applyFont="0" applyFill="0" applyBorder="0" applyAlignment="0" applyProtection="0"/>
    <xf numFmtId="0" fontId="60" fillId="4" borderId="0"/>
    <xf numFmtId="0" fontId="25" fillId="0" borderId="0"/>
    <xf numFmtId="0" fontId="61" fillId="4" borderId="0"/>
    <xf numFmtId="0" fontId="62" fillId="0" borderId="0">
      <alignment wrapText="1"/>
    </xf>
    <xf numFmtId="182" fontId="63" fillId="0" borderId="0" applyFont="0" applyFill="0" applyBorder="0" applyAlignment="0" applyProtection="0"/>
    <xf numFmtId="0" fontId="64" fillId="0" borderId="0" applyFont="0" applyFill="0" applyBorder="0" applyAlignment="0" applyProtection="0"/>
    <xf numFmtId="182" fontId="65" fillId="0" borderId="0" applyFont="0" applyFill="0" applyBorder="0" applyAlignment="0" applyProtection="0"/>
    <xf numFmtId="183" fontId="63" fillId="0" borderId="0" applyFont="0" applyFill="0" applyBorder="0" applyAlignment="0" applyProtection="0"/>
    <xf numFmtId="0" fontId="64" fillId="0" borderId="0" applyFont="0" applyFill="0" applyBorder="0" applyAlignment="0" applyProtection="0"/>
    <xf numFmtId="183" fontId="65" fillId="0" borderId="0" applyFont="0" applyFill="0" applyBorder="0" applyAlignment="0" applyProtection="0"/>
    <xf numFmtId="0" fontId="43" fillId="0" borderId="0">
      <alignment horizontal="center" wrapText="1"/>
      <protection locked="0"/>
    </xf>
    <xf numFmtId="184" fontId="63" fillId="0" borderId="0" applyFont="0" applyFill="0" applyBorder="0" applyAlignment="0" applyProtection="0"/>
    <xf numFmtId="0" fontId="64" fillId="0" borderId="0" applyFont="0" applyFill="0" applyBorder="0" applyAlignment="0" applyProtection="0"/>
    <xf numFmtId="184" fontId="65" fillId="0" borderId="0" applyFont="0" applyFill="0" applyBorder="0" applyAlignment="0" applyProtection="0"/>
    <xf numFmtId="185" fontId="63" fillId="0" borderId="0" applyFont="0" applyFill="0" applyBorder="0" applyAlignment="0" applyProtection="0"/>
    <xf numFmtId="0" fontId="64" fillId="0" borderId="0" applyFont="0" applyFill="0" applyBorder="0" applyAlignment="0" applyProtection="0"/>
    <xf numFmtId="185" fontId="65" fillId="0" borderId="0" applyFont="0" applyFill="0" applyBorder="0" applyAlignment="0" applyProtection="0"/>
    <xf numFmtId="177" fontId="47" fillId="0" borderId="0" applyFont="0" applyFill="0" applyBorder="0" applyAlignment="0" applyProtection="0"/>
    <xf numFmtId="0" fontId="66" fillId="0" borderId="0" applyNumberFormat="0" applyFill="0" applyBorder="0" applyAlignment="0" applyProtection="0"/>
    <xf numFmtId="0" fontId="64" fillId="0" borderId="0"/>
    <xf numFmtId="0" fontId="67" fillId="0" borderId="0"/>
    <xf numFmtId="0" fontId="64" fillId="0" borderId="0"/>
    <xf numFmtId="0" fontId="68" fillId="0" borderId="0"/>
    <xf numFmtId="0" fontId="69" fillId="0" borderId="0"/>
    <xf numFmtId="172" fontId="32" fillId="0" borderId="0" applyFill="0" applyBorder="0" applyAlignment="0"/>
    <xf numFmtId="186" fontId="70" fillId="0" borderId="0" applyFill="0" applyBorder="0" applyAlignment="0"/>
    <xf numFmtId="173" fontId="70" fillId="0" borderId="0" applyFill="0" applyBorder="0" applyAlignment="0"/>
    <xf numFmtId="187" fontId="70" fillId="0" borderId="0" applyFill="0" applyBorder="0" applyAlignment="0"/>
    <xf numFmtId="188" fontId="32" fillId="0" borderId="0" applyFill="0" applyBorder="0" applyAlignment="0"/>
    <xf numFmtId="189" fontId="70" fillId="0" borderId="0" applyFill="0" applyBorder="0" applyAlignment="0"/>
    <xf numFmtId="190" fontId="70" fillId="0" borderId="0" applyFill="0" applyBorder="0" applyAlignment="0"/>
    <xf numFmtId="186" fontId="70" fillId="0" borderId="0" applyFill="0" applyBorder="0" applyAlignment="0"/>
    <xf numFmtId="0" fontId="71" fillId="0" borderId="0"/>
    <xf numFmtId="169" fontId="72" fillId="0" borderId="0" applyFont="0" applyFill="0" applyBorder="0" applyAlignment="0" applyProtection="0"/>
    <xf numFmtId="191" fontId="73" fillId="0" borderId="0"/>
    <xf numFmtId="191" fontId="73" fillId="0" borderId="0"/>
    <xf numFmtId="191" fontId="73" fillId="0" borderId="0"/>
    <xf numFmtId="191" fontId="73" fillId="0" borderId="0"/>
    <xf numFmtId="191" fontId="73" fillId="0" borderId="0"/>
    <xf numFmtId="191" fontId="73" fillId="0" borderId="0"/>
    <xf numFmtId="191" fontId="73" fillId="0" borderId="0"/>
    <xf numFmtId="191" fontId="73" fillId="0" borderId="0"/>
    <xf numFmtId="189" fontId="70"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1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167" fontId="41" fillId="0" borderId="0" applyFont="0" applyFill="0" applyBorder="0" applyAlignment="0" applyProtection="0"/>
    <xf numFmtId="43" fontId="45"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43" fontId="2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192" fontId="54" fillId="0" borderId="0"/>
    <xf numFmtId="3" fontId="12" fillId="0" borderId="0" applyFont="0" applyFill="0" applyBorder="0" applyAlignment="0" applyProtection="0"/>
    <xf numFmtId="0" fontId="74" fillId="0" borderId="0" applyNumberFormat="0" applyAlignment="0">
      <alignment horizontal="left"/>
    </xf>
    <xf numFmtId="186" fontId="70" fillId="0" borderId="0" applyFont="0" applyFill="0" applyBorder="0" applyAlignment="0" applyProtection="0"/>
    <xf numFmtId="193" fontId="47" fillId="0" borderId="0" applyFont="0" applyFill="0" applyBorder="0" applyAlignment="0" applyProtection="0"/>
    <xf numFmtId="194" fontId="54" fillId="0" borderId="0"/>
    <xf numFmtId="0" fontId="12" fillId="0" borderId="0" applyFont="0" applyFill="0" applyBorder="0" applyAlignment="0" applyProtection="0"/>
    <xf numFmtId="14" fontId="55" fillId="0" borderId="0" applyFill="0" applyBorder="0" applyAlignment="0"/>
    <xf numFmtId="195" fontId="54" fillId="0" borderId="0" applyFont="0" applyFill="0" applyBorder="0" applyAlignment="0" applyProtection="0"/>
    <xf numFmtId="196" fontId="54" fillId="0" borderId="0" applyFont="0" applyFill="0" applyBorder="0" applyAlignment="0" applyProtection="0"/>
    <xf numFmtId="197" fontId="54" fillId="0" borderId="0"/>
    <xf numFmtId="166" fontId="75" fillId="0" borderId="0" applyFont="0" applyFill="0" applyBorder="0" applyAlignment="0" applyProtection="0"/>
    <xf numFmtId="167" fontId="75" fillId="0" borderId="0" applyFont="0" applyFill="0" applyBorder="0" applyAlignment="0" applyProtection="0"/>
    <xf numFmtId="166" fontId="75" fillId="0" borderId="0" applyFont="0" applyFill="0" applyBorder="0" applyAlignment="0" applyProtection="0"/>
    <xf numFmtId="41"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164" fontId="75" fillId="0" borderId="0" applyFont="0" applyFill="0" applyBorder="0" applyAlignment="0" applyProtection="0"/>
    <xf numFmtId="164" fontId="75" fillId="0" borderId="0" applyFont="0" applyFill="0" applyBorder="0" applyAlignment="0" applyProtection="0"/>
    <xf numFmtId="41" fontId="75" fillId="0" borderId="0" applyFont="0" applyFill="0" applyBorder="0" applyAlignment="0" applyProtection="0"/>
    <xf numFmtId="167" fontId="75" fillId="0" borderId="0" applyFont="0" applyFill="0" applyBorder="0" applyAlignment="0" applyProtection="0"/>
    <xf numFmtId="43" fontId="75" fillId="0" borderId="0" applyFont="0" applyFill="0" applyBorder="0" applyAlignment="0" applyProtection="0"/>
    <xf numFmtId="167" fontId="75" fillId="0" borderId="0" applyFont="0" applyFill="0" applyBorder="0" applyAlignment="0" applyProtection="0"/>
    <xf numFmtId="167"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167" fontId="75" fillId="0" borderId="0" applyFont="0" applyFill="0" applyBorder="0" applyAlignment="0" applyProtection="0"/>
    <xf numFmtId="167" fontId="75" fillId="0" borderId="0" applyFont="0" applyFill="0" applyBorder="0" applyAlignment="0" applyProtection="0"/>
    <xf numFmtId="167"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165" fontId="75" fillId="0" borderId="0" applyFont="0" applyFill="0" applyBorder="0" applyAlignment="0" applyProtection="0"/>
    <xf numFmtId="165" fontId="75" fillId="0" borderId="0" applyFont="0" applyFill="0" applyBorder="0" applyAlignment="0" applyProtection="0"/>
    <xf numFmtId="43" fontId="75" fillId="0" borderId="0" applyFont="0" applyFill="0" applyBorder="0" applyAlignment="0" applyProtection="0"/>
    <xf numFmtId="189" fontId="70" fillId="0" borderId="0" applyFill="0" applyBorder="0" applyAlignment="0"/>
    <xf numFmtId="186" fontId="70" fillId="0" borderId="0" applyFill="0" applyBorder="0" applyAlignment="0"/>
    <xf numFmtId="189" fontId="70" fillId="0" borderId="0" applyFill="0" applyBorder="0" applyAlignment="0"/>
    <xf numFmtId="190" fontId="70" fillId="0" borderId="0" applyFill="0" applyBorder="0" applyAlignment="0"/>
    <xf numFmtId="186" fontId="70" fillId="0" borderId="0" applyFill="0" applyBorder="0" applyAlignment="0"/>
    <xf numFmtId="0" fontId="76" fillId="0" borderId="0" applyNumberFormat="0" applyAlignment="0">
      <alignment horizontal="left"/>
    </xf>
    <xf numFmtId="0" fontId="77" fillId="0" borderId="0"/>
    <xf numFmtId="2" fontId="12" fillId="0" borderId="0" applyFont="0" applyFill="0" applyBorder="0" applyAlignment="0" applyProtection="0"/>
    <xf numFmtId="38" fontId="78" fillId="3" borderId="0" applyNumberFormat="0" applyBorder="0" applyAlignment="0" applyProtection="0"/>
    <xf numFmtId="198" fontId="40" fillId="0" borderId="0" applyFont="0" applyFill="0" applyBorder="0" applyAlignment="0" applyProtection="0"/>
    <xf numFmtId="0" fontId="79" fillId="5" borderId="0"/>
    <xf numFmtId="0" fontId="80" fillId="0" borderId="0">
      <alignment horizontal="left"/>
    </xf>
    <xf numFmtId="0" fontId="81" fillId="0" borderId="14" applyNumberFormat="0" applyAlignment="0" applyProtection="0">
      <alignment horizontal="left" vertical="center"/>
    </xf>
    <xf numFmtId="0" fontId="81" fillId="0" borderId="7">
      <alignment horizontal="left" vertical="center"/>
    </xf>
    <xf numFmtId="0" fontId="82" fillId="0" borderId="0" applyProtection="0"/>
    <xf numFmtId="0" fontId="81" fillId="0" borderId="0" applyProtection="0"/>
    <xf numFmtId="0" fontId="83" fillId="0" borderId="15">
      <alignment horizontal="center"/>
    </xf>
    <xf numFmtId="0" fontId="83" fillId="0" borderId="0">
      <alignment horizontal="center"/>
    </xf>
    <xf numFmtId="5" fontId="46" fillId="6" borderId="1" applyNumberFormat="0" applyAlignment="0">
      <alignment horizontal="left" vertical="top"/>
    </xf>
    <xf numFmtId="49" fontId="84" fillId="0" borderId="1">
      <alignment vertical="center"/>
    </xf>
    <xf numFmtId="181" fontId="53" fillId="0" borderId="0" applyFont="0" applyFill="0" applyBorder="0" applyAlignment="0" applyProtection="0"/>
    <xf numFmtId="10" fontId="78" fillId="3" borderId="1" applyNumberFormat="0" applyBorder="0" applyAlignment="0" applyProtection="0"/>
    <xf numFmtId="0" fontId="25" fillId="0" borderId="0"/>
    <xf numFmtId="0" fontId="54" fillId="0" borderId="0"/>
    <xf numFmtId="189" fontId="70" fillId="0" borderId="0" applyFill="0" applyBorder="0" applyAlignment="0"/>
    <xf numFmtId="186" fontId="70" fillId="0" borderId="0" applyFill="0" applyBorder="0" applyAlignment="0"/>
    <xf numFmtId="189" fontId="70" fillId="0" borderId="0" applyFill="0" applyBorder="0" applyAlignment="0"/>
    <xf numFmtId="190" fontId="70" fillId="0" borderId="0" applyFill="0" applyBorder="0" applyAlignment="0"/>
    <xf numFmtId="186" fontId="70" fillId="0" borderId="0" applyFill="0" applyBorder="0" applyAlignment="0"/>
    <xf numFmtId="38" fontId="54" fillId="0" borderId="0" applyFont="0" applyFill="0" applyBorder="0" applyAlignment="0" applyProtection="0"/>
    <xf numFmtId="40" fontId="54" fillId="0" borderId="0" applyFont="0" applyFill="0" applyBorder="0" applyAlignment="0" applyProtection="0"/>
    <xf numFmtId="166" fontId="32" fillId="0" borderId="0" applyFont="0" applyFill="0" applyBorder="0" applyAlignment="0" applyProtection="0"/>
    <xf numFmtId="167" fontId="32" fillId="0" borderId="0" applyFont="0" applyFill="0" applyBorder="0" applyAlignment="0" applyProtection="0"/>
    <xf numFmtId="0" fontId="85" fillId="0" borderId="15"/>
    <xf numFmtId="199" fontId="44" fillId="0" borderId="9"/>
    <xf numFmtId="200" fontId="54" fillId="0" borderId="0" applyFont="0" applyFill="0" applyBorder="0" applyAlignment="0" applyProtection="0"/>
    <xf numFmtId="201" fontId="54" fillId="0" borderId="0" applyFont="0" applyFill="0" applyBorder="0" applyAlignment="0" applyProtection="0"/>
    <xf numFmtId="202" fontId="32" fillId="0" borderId="0" applyFont="0" applyFill="0" applyBorder="0" applyAlignment="0" applyProtection="0"/>
    <xf numFmtId="203" fontId="32" fillId="0" borderId="0" applyFont="0" applyFill="0" applyBorder="0" applyAlignment="0" applyProtection="0"/>
    <xf numFmtId="0" fontId="86" fillId="0" borderId="0" applyNumberFormat="0" applyFont="0" applyFill="0" applyAlignment="0"/>
    <xf numFmtId="0" fontId="19" fillId="0" borderId="0"/>
    <xf numFmtId="37" fontId="87" fillId="0" borderId="0"/>
    <xf numFmtId="0" fontId="88" fillId="0" borderId="0"/>
    <xf numFmtId="0" fontId="27" fillId="0" borderId="0"/>
    <xf numFmtId="0" fontId="27" fillId="0" borderId="0"/>
    <xf numFmtId="0" fontId="15" fillId="0" borderId="0"/>
    <xf numFmtId="0" fontId="41" fillId="0" borderId="0"/>
    <xf numFmtId="0" fontId="41" fillId="0" borderId="0"/>
    <xf numFmtId="0" fontId="41" fillId="0" borderId="0"/>
    <xf numFmtId="0" fontId="41" fillId="0" borderId="0"/>
    <xf numFmtId="0" fontId="27" fillId="0" borderId="0"/>
    <xf numFmtId="0" fontId="41" fillId="0" borderId="0"/>
    <xf numFmtId="0" fontId="41" fillId="0" borderId="0"/>
    <xf numFmtId="0" fontId="13" fillId="0" borderId="0"/>
    <xf numFmtId="0" fontId="13" fillId="0" borderId="0"/>
    <xf numFmtId="0" fontId="17" fillId="0" borderId="0"/>
    <xf numFmtId="0" fontId="25" fillId="0" borderId="0"/>
    <xf numFmtId="0" fontId="75" fillId="0" borderId="0"/>
    <xf numFmtId="0" fontId="89" fillId="0" borderId="0" applyNumberFormat="0" applyFill="0" applyBorder="0" applyAlignment="0" applyProtection="0"/>
    <xf numFmtId="0" fontId="89" fillId="0" borderId="0" applyNumberFormat="0" applyFill="0" applyBorder="0" applyAlignment="0" applyProtection="0"/>
    <xf numFmtId="14" fontId="43" fillId="0" borderId="0">
      <alignment horizontal="center" wrapText="1"/>
      <protection locked="0"/>
    </xf>
    <xf numFmtId="188" fontId="32" fillId="0" borderId="0" applyFont="0" applyFill="0" applyBorder="0" applyAlignment="0" applyProtection="0"/>
    <xf numFmtId="204" fontId="32" fillId="0" borderId="0" applyFont="0" applyFill="0" applyBorder="0" applyAlignment="0" applyProtection="0"/>
    <xf numFmtId="10" fontId="32" fillId="0" borderId="0" applyFont="0" applyFill="0" applyBorder="0" applyAlignment="0" applyProtection="0"/>
    <xf numFmtId="9" fontId="12" fillId="0" borderId="0" applyFont="0" applyFill="0" applyBorder="0" applyAlignment="0" applyProtection="0"/>
    <xf numFmtId="9" fontId="54" fillId="0" borderId="16" applyNumberFormat="0" applyBorder="0"/>
    <xf numFmtId="189" fontId="70" fillId="0" borderId="0" applyFill="0" applyBorder="0" applyAlignment="0"/>
    <xf numFmtId="186" fontId="70" fillId="0" borderId="0" applyFill="0" applyBorder="0" applyAlignment="0"/>
    <xf numFmtId="189" fontId="70" fillId="0" borderId="0" applyFill="0" applyBorder="0" applyAlignment="0"/>
    <xf numFmtId="190" fontId="70" fillId="0" borderId="0" applyFill="0" applyBorder="0" applyAlignment="0"/>
    <xf numFmtId="186" fontId="70" fillId="0" borderId="0" applyFill="0" applyBorder="0" applyAlignment="0"/>
    <xf numFmtId="0" fontId="90" fillId="0" borderId="0"/>
    <xf numFmtId="0" fontId="54" fillId="0" borderId="0" applyNumberFormat="0" applyFont="0" applyFill="0" applyBorder="0" applyAlignment="0" applyProtection="0">
      <alignment horizontal="left"/>
    </xf>
    <xf numFmtId="0" fontId="91" fillId="0" borderId="15">
      <alignment horizontal="center"/>
    </xf>
    <xf numFmtId="0" fontId="92" fillId="7" borderId="0" applyNumberFormat="0" applyFont="0" applyBorder="0" applyAlignment="0">
      <alignment horizontal="center"/>
    </xf>
    <xf numFmtId="14" fontId="93" fillId="0" borderId="0" applyNumberFormat="0" applyFill="0" applyBorder="0" applyAlignment="0" applyProtection="0">
      <alignment horizontal="left"/>
    </xf>
    <xf numFmtId="181" fontId="53" fillId="0" borderId="0" applyFont="0" applyFill="0" applyBorder="0" applyAlignment="0" applyProtection="0"/>
    <xf numFmtId="4" fontId="94" fillId="8" borderId="17" applyNumberFormat="0" applyProtection="0">
      <alignment vertical="center"/>
    </xf>
    <xf numFmtId="4" fontId="95" fillId="8" borderId="17" applyNumberFormat="0" applyProtection="0">
      <alignment vertical="center"/>
    </xf>
    <xf numFmtId="4" fontId="96" fillId="8" borderId="17" applyNumberFormat="0" applyProtection="0">
      <alignment horizontal="left" vertical="center" indent="1"/>
    </xf>
    <xf numFmtId="4" fontId="96" fillId="9" borderId="0" applyNumberFormat="0" applyProtection="0">
      <alignment horizontal="left" vertical="center" indent="1"/>
    </xf>
    <xf numFmtId="4" fontId="96" fillId="10" borderId="17" applyNumberFormat="0" applyProtection="0">
      <alignment horizontal="right" vertical="center"/>
    </xf>
    <xf numFmtId="4" fontId="96" fillId="11" borderId="17" applyNumberFormat="0" applyProtection="0">
      <alignment horizontal="right" vertical="center"/>
    </xf>
    <xf numFmtId="4" fontId="96" fillId="12" borderId="17" applyNumberFormat="0" applyProtection="0">
      <alignment horizontal="right" vertical="center"/>
    </xf>
    <xf numFmtId="4" fontId="96" fillId="13" borderId="17" applyNumberFormat="0" applyProtection="0">
      <alignment horizontal="right" vertical="center"/>
    </xf>
    <xf numFmtId="4" fontId="96" fillId="14" borderId="17" applyNumberFormat="0" applyProtection="0">
      <alignment horizontal="right" vertical="center"/>
    </xf>
    <xf numFmtId="4" fontId="96" fillId="15" borderId="17" applyNumberFormat="0" applyProtection="0">
      <alignment horizontal="right" vertical="center"/>
    </xf>
    <xf numFmtId="4" fontId="96" fillId="16" borderId="17" applyNumberFormat="0" applyProtection="0">
      <alignment horizontal="right" vertical="center"/>
    </xf>
    <xf numFmtId="4" fontId="96" fillId="17" borderId="17" applyNumberFormat="0" applyProtection="0">
      <alignment horizontal="right" vertical="center"/>
    </xf>
    <xf numFmtId="4" fontId="96" fillId="18" borderId="17" applyNumberFormat="0" applyProtection="0">
      <alignment horizontal="right" vertical="center"/>
    </xf>
    <xf numFmtId="4" fontId="94" fillId="19" borderId="18" applyNumberFormat="0" applyProtection="0">
      <alignment horizontal="left" vertical="center" indent="1"/>
    </xf>
    <xf numFmtId="4" fontId="94" fillId="20" borderId="0" applyNumberFormat="0" applyProtection="0">
      <alignment horizontal="left" vertical="center" indent="1"/>
    </xf>
    <xf numFmtId="4" fontId="94" fillId="9" borderId="0" applyNumberFormat="0" applyProtection="0">
      <alignment horizontal="left" vertical="center" indent="1"/>
    </xf>
    <xf numFmtId="4" fontId="96" fillId="20" borderId="17" applyNumberFormat="0" applyProtection="0">
      <alignment horizontal="right" vertical="center"/>
    </xf>
    <xf numFmtId="4" fontId="55" fillId="20" borderId="0" applyNumberFormat="0" applyProtection="0">
      <alignment horizontal="left" vertical="center" indent="1"/>
    </xf>
    <xf numFmtId="4" fontId="55" fillId="9" borderId="0" applyNumberFormat="0" applyProtection="0">
      <alignment horizontal="left" vertical="center" indent="1"/>
    </xf>
    <xf numFmtId="4" fontId="96" fillId="21" borderId="17" applyNumberFormat="0" applyProtection="0">
      <alignment vertical="center"/>
    </xf>
    <xf numFmtId="4" fontId="97" fillId="21" borderId="17" applyNumberFormat="0" applyProtection="0">
      <alignment vertical="center"/>
    </xf>
    <xf numFmtId="4" fontId="94" fillId="20" borderId="19" applyNumberFormat="0" applyProtection="0">
      <alignment horizontal="left" vertical="center" indent="1"/>
    </xf>
    <xf numFmtId="4" fontId="96" fillId="21" borderId="17" applyNumberFormat="0" applyProtection="0">
      <alignment horizontal="right" vertical="center"/>
    </xf>
    <xf numFmtId="4" fontId="97" fillId="21" borderId="17" applyNumberFormat="0" applyProtection="0">
      <alignment horizontal="right" vertical="center"/>
    </xf>
    <xf numFmtId="4" fontId="94" fillId="20" borderId="17" applyNumberFormat="0" applyProtection="0">
      <alignment horizontal="left" vertical="center" indent="1"/>
    </xf>
    <xf numFmtId="4" fontId="98" fillId="6" borderId="19" applyNumberFormat="0" applyProtection="0">
      <alignment horizontal="left" vertical="center" indent="1"/>
    </xf>
    <xf numFmtId="4" fontId="99" fillId="21" borderId="17" applyNumberFormat="0" applyProtection="0">
      <alignment horizontal="right" vertical="center"/>
    </xf>
    <xf numFmtId="0" fontId="92" fillId="1" borderId="7" applyNumberFormat="0" applyFont="0" applyAlignment="0">
      <alignment horizontal="center"/>
    </xf>
    <xf numFmtId="0" fontId="100" fillId="0" borderId="0" applyNumberFormat="0" applyFill="0" applyBorder="0" applyAlignment="0">
      <alignment horizontal="center"/>
    </xf>
    <xf numFmtId="0" fontId="101" fillId="0" borderId="20" applyNumberFormat="0" applyFill="0" applyBorder="0" applyAlignment="0" applyProtection="0"/>
    <xf numFmtId="180"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0" fontId="53" fillId="0" borderId="0" applyFont="0" applyFill="0" applyBorder="0" applyAlignment="0" applyProtection="0"/>
    <xf numFmtId="180" fontId="53" fillId="0" borderId="0" applyFont="0" applyFill="0" applyBorder="0" applyAlignment="0" applyProtection="0"/>
    <xf numFmtId="0" fontId="85" fillId="0" borderId="0"/>
    <xf numFmtId="40" fontId="102" fillId="0" borderId="0" applyBorder="0">
      <alignment horizontal="right"/>
    </xf>
    <xf numFmtId="205" fontId="40" fillId="0" borderId="2">
      <alignment horizontal="right" vertical="center"/>
    </xf>
    <xf numFmtId="205" fontId="40" fillId="0" borderId="2">
      <alignment horizontal="right" vertical="center"/>
    </xf>
    <xf numFmtId="205" fontId="40" fillId="0" borderId="2">
      <alignment horizontal="right" vertical="center"/>
    </xf>
    <xf numFmtId="49" fontId="55" fillId="0" borderId="0" applyFill="0" applyBorder="0" applyAlignment="0"/>
    <xf numFmtId="206" fontId="32" fillId="0" borderId="0" applyFill="0" applyBorder="0" applyAlignment="0"/>
    <xf numFmtId="207" fontId="32" fillId="0" borderId="0" applyFill="0" applyBorder="0" applyAlignment="0"/>
    <xf numFmtId="208" fontId="40" fillId="0" borderId="2">
      <alignment horizontal="center"/>
    </xf>
    <xf numFmtId="0" fontId="89" fillId="0" borderId="0" applyNumberFormat="0" applyFill="0" applyBorder="0" applyAlignment="0" applyProtection="0"/>
    <xf numFmtId="3" fontId="103" fillId="0" borderId="12" applyNumberFormat="0" applyBorder="0" applyAlignment="0"/>
    <xf numFmtId="207" fontId="40" fillId="0" borderId="0"/>
    <xf numFmtId="209" fontId="40" fillId="0" borderId="1"/>
    <xf numFmtId="3" fontId="40" fillId="0" borderId="0" applyNumberFormat="0" applyBorder="0" applyAlignment="0" applyProtection="0">
      <alignment horizontal="centerContinuous"/>
      <protection locked="0"/>
    </xf>
    <xf numFmtId="3" fontId="104" fillId="0" borderId="0">
      <protection locked="0"/>
    </xf>
    <xf numFmtId="5" fontId="105" fillId="22" borderId="4">
      <alignment vertical="top"/>
    </xf>
    <xf numFmtId="0" fontId="106" fillId="23" borderId="1">
      <alignment horizontal="left" vertical="center"/>
    </xf>
    <xf numFmtId="6" fontId="107" fillId="24" borderId="4"/>
    <xf numFmtId="5" fontId="46" fillId="0" borderId="4">
      <alignment horizontal="left" vertical="top"/>
    </xf>
    <xf numFmtId="0" fontId="108" fillId="25" borderId="0">
      <alignment horizontal="left" vertical="center"/>
    </xf>
    <xf numFmtId="5" fontId="44" fillId="0" borderId="6">
      <alignment horizontal="left" vertical="top"/>
    </xf>
    <xf numFmtId="0" fontId="109" fillId="0" borderId="6">
      <alignment horizontal="left" vertical="center"/>
    </xf>
    <xf numFmtId="42" fontId="75" fillId="0" borderId="0" applyFont="0" applyFill="0" applyBorder="0" applyAlignment="0" applyProtection="0"/>
    <xf numFmtId="44" fontId="75" fillId="0" borderId="0" applyFont="0" applyFill="0" applyBorder="0" applyAlignment="0" applyProtection="0"/>
    <xf numFmtId="0" fontId="110" fillId="0" borderId="0" applyNumberFormat="0" applyFill="0" applyBorder="0" applyAlignment="0" applyProtection="0"/>
    <xf numFmtId="0" fontId="111" fillId="0" borderId="0" applyFont="0" applyFill="0" applyBorder="0" applyAlignment="0" applyProtection="0"/>
    <xf numFmtId="0" fontId="111" fillId="0" borderId="0" applyFont="0" applyFill="0" applyBorder="0" applyAlignment="0" applyProtection="0"/>
    <xf numFmtId="0" fontId="10" fillId="0" borderId="0">
      <alignment vertical="center"/>
    </xf>
    <xf numFmtId="40" fontId="112" fillId="0" borderId="0" applyFont="0" applyFill="0" applyBorder="0" applyAlignment="0" applyProtection="0"/>
    <xf numFmtId="38" fontId="112" fillId="0" borderId="0" applyFont="0" applyFill="0" applyBorder="0" applyAlignment="0" applyProtection="0"/>
    <xf numFmtId="0" fontId="112" fillId="0" borderId="0" applyFont="0" applyFill="0" applyBorder="0" applyAlignment="0" applyProtection="0"/>
    <xf numFmtId="0" fontId="112" fillId="0" borderId="0" applyFont="0" applyFill="0" applyBorder="0" applyAlignment="0" applyProtection="0"/>
    <xf numFmtId="9" fontId="113" fillId="0" borderId="0" applyFont="0" applyFill="0" applyBorder="0" applyAlignment="0" applyProtection="0"/>
    <xf numFmtId="0" fontId="114" fillId="0" borderId="0"/>
    <xf numFmtId="179" fontId="12" fillId="0" borderId="0" applyFont="0" applyFill="0" applyBorder="0" applyAlignment="0" applyProtection="0"/>
    <xf numFmtId="178" fontId="12" fillId="0" borderId="0" applyFont="0" applyFill="0" applyBorder="0" applyAlignment="0" applyProtection="0"/>
    <xf numFmtId="210" fontId="115" fillId="0" borderId="0" applyFont="0" applyFill="0" applyBorder="0" applyAlignment="0" applyProtection="0"/>
    <xf numFmtId="211" fontId="115" fillId="0" borderId="0" applyFont="0" applyFill="0" applyBorder="0" applyAlignment="0" applyProtection="0"/>
    <xf numFmtId="0" fontId="116" fillId="0" borderId="0"/>
    <xf numFmtId="0" fontId="86" fillId="0" borderId="0"/>
    <xf numFmtId="166" fontId="117" fillId="0" borderId="0" applyFont="0" applyFill="0" applyBorder="0" applyAlignment="0" applyProtection="0"/>
    <xf numFmtId="167" fontId="117" fillId="0" borderId="0" applyFont="0" applyFill="0" applyBorder="0" applyAlignment="0" applyProtection="0"/>
    <xf numFmtId="0" fontId="19" fillId="0" borderId="0"/>
    <xf numFmtId="212" fontId="117" fillId="0" borderId="0" applyFont="0" applyFill="0" applyBorder="0" applyAlignment="0" applyProtection="0"/>
    <xf numFmtId="6" fontId="51" fillId="0" borderId="0" applyFont="0" applyFill="0" applyBorder="0" applyAlignment="0" applyProtection="0"/>
    <xf numFmtId="189" fontId="117" fillId="0" borderId="0" applyFont="0" applyFill="0" applyBorder="0" applyAlignment="0" applyProtection="0"/>
    <xf numFmtId="213" fontId="17" fillId="0" borderId="0" applyFont="0" applyFill="0" applyBorder="0" applyAlignment="0" applyProtection="0"/>
    <xf numFmtId="0" fontId="25" fillId="0" borderId="0"/>
    <xf numFmtId="0" fontId="17" fillId="0" borderId="0"/>
    <xf numFmtId="167" fontId="17" fillId="0" borderId="0" applyFont="0" applyFill="0" applyBorder="0" applyAlignment="0" applyProtection="0"/>
    <xf numFmtId="0" fontId="125" fillId="0" borderId="0"/>
    <xf numFmtId="0" fontId="2" fillId="0" borderId="0"/>
    <xf numFmtId="0" fontId="17" fillId="0" borderId="0"/>
  </cellStyleXfs>
  <cellXfs count="346">
    <xf numFmtId="0" fontId="0" fillId="0" borderId="0" xfId="0"/>
    <xf numFmtId="0" fontId="23" fillId="0" borderId="0" xfId="18" applyAlignment="1">
      <alignment vertical="center" wrapText="1"/>
    </xf>
    <xf numFmtId="3" fontId="23" fillId="0" borderId="0" xfId="18" applyNumberFormat="1" applyAlignment="1">
      <alignment vertical="center" wrapText="1"/>
    </xf>
    <xf numFmtId="0" fontId="23" fillId="0" borderId="0" xfId="18" applyAlignment="1">
      <alignment horizontal="center" vertical="center" wrapText="1"/>
    </xf>
    <xf numFmtId="0" fontId="5" fillId="0" borderId="0" xfId="18" applyFont="1" applyAlignment="1">
      <alignment vertical="center" wrapText="1"/>
    </xf>
    <xf numFmtId="0" fontId="4" fillId="0" borderId="1" xfId="18" applyFont="1" applyBorder="1" applyAlignment="1">
      <alignment horizontal="center" vertical="center" wrapText="1"/>
    </xf>
    <xf numFmtId="3" fontId="4" fillId="0" borderId="1" xfId="18" applyNumberFormat="1" applyFont="1" applyBorder="1" applyAlignment="1">
      <alignment horizontal="center" vertical="center" wrapText="1"/>
    </xf>
    <xf numFmtId="0" fontId="9" fillId="0" borderId="0" xfId="18" applyFont="1" applyAlignment="1">
      <alignment vertical="center" wrapText="1"/>
    </xf>
    <xf numFmtId="0" fontId="9" fillId="0" borderId="0" xfId="18" applyFont="1" applyAlignment="1">
      <alignment horizontal="center" vertical="center" wrapText="1"/>
    </xf>
    <xf numFmtId="3" fontId="4" fillId="0" borderId="0" xfId="18" applyNumberFormat="1" applyFont="1" applyAlignment="1">
      <alignment horizontal="center" vertical="center" wrapText="1"/>
    </xf>
    <xf numFmtId="4" fontId="23" fillId="0" borderId="0" xfId="18" applyNumberFormat="1" applyAlignment="1">
      <alignment vertical="center" wrapText="1"/>
    </xf>
    <xf numFmtId="0" fontId="6" fillId="0" borderId="10" xfId="18" applyFont="1" applyBorder="1" applyAlignment="1">
      <alignment horizontal="center" vertical="center" wrapText="1"/>
    </xf>
    <xf numFmtId="0" fontId="5" fillId="0" borderId="10" xfId="18" applyFont="1" applyBorder="1" applyAlignment="1">
      <alignment horizontal="left" vertical="center" wrapText="1"/>
    </xf>
    <xf numFmtId="167" fontId="23" fillId="0" borderId="0" xfId="2" applyFont="1" applyFill="1" applyAlignment="1">
      <alignment vertical="center" wrapText="1"/>
    </xf>
    <xf numFmtId="0" fontId="4" fillId="0" borderId="0" xfId="18" applyFont="1" applyAlignment="1">
      <alignment vertical="center" wrapText="1"/>
    </xf>
    <xf numFmtId="0" fontId="4" fillId="0" borderId="10" xfId="18" applyFont="1" applyBorder="1" applyAlignment="1">
      <alignment vertical="center" wrapText="1"/>
    </xf>
    <xf numFmtId="0" fontId="10" fillId="0" borderId="10" xfId="18" applyFont="1" applyBorder="1" applyAlignment="1">
      <alignment horizontal="center" vertical="center" wrapText="1"/>
    </xf>
    <xf numFmtId="3" fontId="10" fillId="0" borderId="10" xfId="18" applyNumberFormat="1" applyFont="1" applyBorder="1" applyAlignment="1">
      <alignment vertical="center" wrapText="1"/>
    </xf>
    <xf numFmtId="0" fontId="5" fillId="0" borderId="10" xfId="18" applyFont="1" applyBorder="1" applyAlignment="1">
      <alignment vertical="center" wrapText="1"/>
    </xf>
    <xf numFmtId="3" fontId="4" fillId="0" borderId="1" xfId="18" applyNumberFormat="1" applyFont="1" applyBorder="1" applyAlignment="1">
      <alignment horizontal="right" vertical="center" wrapText="1"/>
    </xf>
    <xf numFmtId="0" fontId="11" fillId="0" borderId="10" xfId="18" applyFont="1" applyBorder="1" applyAlignment="1">
      <alignment horizontal="center" vertical="center" wrapText="1"/>
    </xf>
    <xf numFmtId="3" fontId="11" fillId="0" borderId="10" xfId="18" applyNumberFormat="1" applyFont="1" applyBorder="1" applyAlignment="1">
      <alignment vertical="center" wrapText="1"/>
    </xf>
    <xf numFmtId="167" fontId="4" fillId="0" borderId="0" xfId="2" applyFont="1" applyFill="1" applyAlignment="1">
      <alignment vertical="center" wrapText="1"/>
    </xf>
    <xf numFmtId="0" fontId="33" fillId="2" borderId="9" xfId="89" applyFont="1" applyFill="1" applyBorder="1" applyAlignment="1">
      <alignment horizontal="center" vertical="center" wrapText="1"/>
    </xf>
    <xf numFmtId="0" fontId="33" fillId="2" borderId="10" xfId="89" applyFont="1" applyFill="1" applyBorder="1" applyAlignment="1">
      <alignment horizontal="center" vertical="center" wrapText="1"/>
    </xf>
    <xf numFmtId="0" fontId="33" fillId="2" borderId="11" xfId="89" applyFont="1" applyFill="1" applyBorder="1" applyAlignment="1">
      <alignment horizontal="center" vertical="center" wrapText="1"/>
    </xf>
    <xf numFmtId="0" fontId="11" fillId="0" borderId="1" xfId="18" applyFont="1" applyBorder="1" applyAlignment="1">
      <alignment horizontal="center" vertical="center" wrapText="1"/>
    </xf>
    <xf numFmtId="0" fontId="4" fillId="0" borderId="1" xfId="18" applyFont="1" applyBorder="1" applyAlignment="1">
      <alignment vertical="center" wrapText="1"/>
    </xf>
    <xf numFmtId="3" fontId="11" fillId="0" borderId="1" xfId="18" applyNumberFormat="1" applyFont="1" applyBorder="1" applyAlignment="1">
      <alignment vertical="center" wrapText="1"/>
    </xf>
    <xf numFmtId="0" fontId="34" fillId="2" borderId="1" xfId="0" applyFont="1" applyFill="1" applyBorder="1" applyAlignment="1">
      <alignment horizontal="center" vertical="center" wrapText="1"/>
    </xf>
    <xf numFmtId="169" fontId="38" fillId="2" borderId="4" xfId="88" applyNumberFormat="1" applyFont="1" applyFill="1" applyBorder="1" applyAlignment="1">
      <alignment horizontal="center" vertical="center" wrapText="1"/>
    </xf>
    <xf numFmtId="169" fontId="38" fillId="2" borderId="1" xfId="88" applyNumberFormat="1" applyFont="1" applyFill="1" applyBorder="1" applyAlignment="1">
      <alignment horizontal="center" vertical="center" wrapText="1"/>
    </xf>
    <xf numFmtId="49" fontId="33" fillId="2" borderId="10" xfId="0" applyNumberFormat="1" applyFont="1" applyFill="1" applyBorder="1" applyAlignment="1">
      <alignment horizontal="left" vertical="center" wrapText="1" shrinkToFit="1"/>
    </xf>
    <xf numFmtId="0" fontId="35" fillId="2" borderId="0" xfId="0" applyFont="1" applyFill="1" applyAlignment="1">
      <alignment horizontal="center" vertical="center" wrapText="1"/>
    </xf>
    <xf numFmtId="169" fontId="35" fillId="2" borderId="0" xfId="88" applyNumberFormat="1" applyFont="1" applyFill="1" applyAlignment="1">
      <alignment horizontal="center" vertical="center" wrapText="1"/>
    </xf>
    <xf numFmtId="173" fontId="35" fillId="2" borderId="0" xfId="88" applyNumberFormat="1" applyFont="1" applyFill="1" applyAlignment="1">
      <alignment horizontal="center" vertical="center" wrapText="1"/>
    </xf>
    <xf numFmtId="174" fontId="35" fillId="2" borderId="0" xfId="88" applyNumberFormat="1" applyFont="1" applyFill="1" applyAlignment="1">
      <alignment horizontal="center" vertical="center" wrapText="1"/>
    </xf>
    <xf numFmtId="49" fontId="39" fillId="2" borderId="0" xfId="0" applyNumberFormat="1" applyFont="1" applyFill="1" applyAlignment="1">
      <alignment horizontal="center" vertical="center" wrapText="1"/>
    </xf>
    <xf numFmtId="0" fontId="33" fillId="2" borderId="0" xfId="0" applyFont="1" applyFill="1" applyAlignment="1">
      <alignment horizontal="center" vertical="center" wrapText="1"/>
    </xf>
    <xf numFmtId="0" fontId="19" fillId="2" borderId="0" xfId="0" applyFont="1" applyFill="1" applyAlignment="1">
      <alignment horizontal="center" vertical="center" wrapText="1"/>
    </xf>
    <xf numFmtId="0" fontId="36" fillId="2" borderId="0" xfId="0" applyFont="1" applyFill="1" applyAlignment="1">
      <alignment horizontal="center" vertical="center" wrapText="1"/>
    </xf>
    <xf numFmtId="175" fontId="35" fillId="2" borderId="0" xfId="0" applyNumberFormat="1" applyFont="1" applyFill="1" applyAlignment="1">
      <alignment horizontal="center" vertical="center" wrapText="1"/>
    </xf>
    <xf numFmtId="214" fontId="33" fillId="0" borderId="10" xfId="0" applyNumberFormat="1" applyFont="1" applyBorder="1" applyAlignment="1">
      <alignment horizontal="right" vertical="center" wrapText="1"/>
    </xf>
    <xf numFmtId="215" fontId="33" fillId="2" borderId="0" xfId="0" applyNumberFormat="1" applyFont="1" applyFill="1" applyAlignment="1">
      <alignment horizontal="center" vertical="center" wrapText="1"/>
    </xf>
    <xf numFmtId="215" fontId="19" fillId="2" borderId="0" xfId="0" applyNumberFormat="1" applyFont="1" applyFill="1" applyAlignment="1">
      <alignment horizontal="center" vertical="center" wrapText="1"/>
    </xf>
    <xf numFmtId="215" fontId="36" fillId="2" borderId="0" xfId="0" applyNumberFormat="1" applyFont="1" applyFill="1" applyAlignment="1">
      <alignment horizontal="center" vertical="center" wrapText="1"/>
    </xf>
    <xf numFmtId="49" fontId="33" fillId="2" borderId="9" xfId="0" applyNumberFormat="1" applyFont="1" applyFill="1" applyBorder="1" applyAlignment="1">
      <alignment horizontal="left" vertical="center" wrapText="1" shrinkToFit="1"/>
    </xf>
    <xf numFmtId="49" fontId="33" fillId="2" borderId="11" xfId="0" applyNumberFormat="1" applyFont="1" applyFill="1" applyBorder="1" applyAlignment="1">
      <alignment horizontal="left" vertical="center" wrapText="1" shrinkToFit="1"/>
    </xf>
    <xf numFmtId="0" fontId="34" fillId="2" borderId="1" xfId="0" applyFont="1" applyFill="1" applyBorder="1" applyAlignment="1">
      <alignment horizontal="center" vertical="center" wrapText="1"/>
    </xf>
    <xf numFmtId="169" fontId="38" fillId="2" borderId="1" xfId="88" applyNumberFormat="1"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19" fillId="0" borderId="0" xfId="39" applyFont="1" applyAlignment="1">
      <alignment horizontal="center" vertical="center" wrapText="1"/>
    </xf>
    <xf numFmtId="0" fontId="118" fillId="2" borderId="9" xfId="0" applyFont="1" applyFill="1" applyBorder="1" applyAlignment="1">
      <alignment horizontal="center" vertical="center" wrapText="1"/>
    </xf>
    <xf numFmtId="0" fontId="34" fillId="2" borderId="0" xfId="0" applyFont="1" applyFill="1" applyAlignment="1">
      <alignment horizontal="center" vertical="center" wrapText="1"/>
    </xf>
    <xf numFmtId="0" fontId="19" fillId="2" borderId="11" xfId="0" applyFont="1" applyFill="1" applyBorder="1" applyAlignment="1">
      <alignment horizontal="center" vertical="center" wrapText="1"/>
    </xf>
    <xf numFmtId="0" fontId="18" fillId="2" borderId="10" xfId="0" applyNumberFormat="1" applyFont="1" applyFill="1" applyBorder="1" applyAlignment="1">
      <alignment horizontal="left" vertical="center" wrapText="1"/>
    </xf>
    <xf numFmtId="3" fontId="34" fillId="2" borderId="1" xfId="2" applyNumberFormat="1" applyFont="1" applyFill="1" applyBorder="1" applyAlignment="1">
      <alignment horizontal="right" vertical="center" wrapText="1"/>
    </xf>
    <xf numFmtId="3" fontId="118" fillId="2" borderId="9" xfId="2" applyNumberFormat="1" applyFont="1" applyFill="1" applyBorder="1" applyAlignment="1">
      <alignment horizontal="right" vertical="center" wrapText="1"/>
    </xf>
    <xf numFmtId="3" fontId="19" fillId="2" borderId="10" xfId="2" applyNumberFormat="1" applyFont="1" applyFill="1" applyBorder="1" applyAlignment="1">
      <alignment horizontal="right" vertical="center" wrapText="1" shrinkToFit="1"/>
    </xf>
    <xf numFmtId="3" fontId="35" fillId="2" borderId="10" xfId="88" applyNumberFormat="1" applyFont="1" applyFill="1" applyBorder="1" applyAlignment="1">
      <alignment horizontal="right" vertical="center" wrapText="1"/>
    </xf>
    <xf numFmtId="3" fontId="18" fillId="2" borderId="10" xfId="2" applyNumberFormat="1" applyFont="1" applyFill="1" applyBorder="1" applyAlignment="1">
      <alignment horizontal="right" vertical="center" wrapText="1"/>
    </xf>
    <xf numFmtId="3" fontId="18" fillId="2" borderId="10" xfId="2" applyNumberFormat="1" applyFont="1" applyFill="1" applyBorder="1" applyAlignment="1">
      <alignment horizontal="right" vertical="center" wrapText="1" shrinkToFit="1"/>
    </xf>
    <xf numFmtId="3" fontId="19" fillId="2" borderId="11" xfId="2" applyNumberFormat="1" applyFont="1" applyFill="1" applyBorder="1" applyAlignment="1">
      <alignment horizontal="right" vertical="center" wrapText="1" shrinkToFit="1"/>
    </xf>
    <xf numFmtId="3" fontId="35" fillId="2" borderId="11" xfId="88" applyNumberFormat="1" applyFont="1" applyFill="1" applyBorder="1" applyAlignment="1">
      <alignment horizontal="right" vertical="center" wrapText="1"/>
    </xf>
    <xf numFmtId="3" fontId="34" fillId="2" borderId="1" xfId="88" applyNumberFormat="1" applyFont="1" applyFill="1" applyBorder="1" applyAlignment="1">
      <alignment horizontal="right" vertical="center" wrapText="1"/>
    </xf>
    <xf numFmtId="3" fontId="33" fillId="2" borderId="9" xfId="2" applyNumberFormat="1" applyFont="1" applyFill="1" applyBorder="1" applyAlignment="1">
      <alignment horizontal="right" vertical="center" wrapText="1" shrinkToFit="1"/>
    </xf>
    <xf numFmtId="3" fontId="33" fillId="2" borderId="9" xfId="88" applyNumberFormat="1" applyFont="1" applyFill="1" applyBorder="1" applyAlignment="1">
      <alignment horizontal="right" vertical="center" wrapText="1"/>
    </xf>
    <xf numFmtId="3" fontId="35" fillId="2" borderId="9" xfId="88" applyNumberFormat="1" applyFont="1" applyFill="1" applyBorder="1" applyAlignment="1">
      <alignment horizontal="right" vertical="center" wrapText="1"/>
    </xf>
    <xf numFmtId="3" fontId="33" fillId="2" borderId="10" xfId="2" applyNumberFormat="1" applyFont="1" applyFill="1" applyBorder="1" applyAlignment="1">
      <alignment horizontal="right" vertical="center" wrapText="1" shrinkToFit="1"/>
    </xf>
    <xf numFmtId="3" fontId="33" fillId="2" borderId="10" xfId="88" applyNumberFormat="1" applyFont="1" applyFill="1" applyBorder="1" applyAlignment="1">
      <alignment horizontal="right" vertical="center" wrapText="1"/>
    </xf>
    <xf numFmtId="3" fontId="19" fillId="2" borderId="10" xfId="88" applyNumberFormat="1" applyFont="1" applyFill="1" applyBorder="1" applyAlignment="1">
      <alignment horizontal="right" vertical="center" wrapText="1"/>
    </xf>
    <xf numFmtId="3" fontId="33" fillId="2" borderId="11" xfId="2" applyNumberFormat="1" applyFont="1" applyFill="1" applyBorder="1" applyAlignment="1">
      <alignment horizontal="right" vertical="center" wrapText="1" shrinkToFit="1"/>
    </xf>
    <xf numFmtId="3" fontId="33" fillId="2" borderId="11" xfId="88" applyNumberFormat="1" applyFont="1" applyFill="1" applyBorder="1" applyAlignment="1">
      <alignment horizontal="right" vertical="center" wrapText="1"/>
    </xf>
    <xf numFmtId="3" fontId="35" fillId="2" borderId="0" xfId="0" applyNumberFormat="1" applyFont="1" applyFill="1" applyAlignment="1">
      <alignment horizontal="center" vertical="center" wrapText="1"/>
    </xf>
    <xf numFmtId="3" fontId="35" fillId="0" borderId="10" xfId="88" applyNumberFormat="1" applyFont="1" applyFill="1" applyBorder="1" applyAlignment="1">
      <alignment horizontal="right" vertical="center" wrapText="1"/>
    </xf>
    <xf numFmtId="0" fontId="118" fillId="2" borderId="9" xfId="0" applyNumberFormat="1" applyFont="1" applyFill="1" applyBorder="1" applyAlignment="1">
      <alignment horizontal="left" vertical="center" wrapText="1"/>
    </xf>
    <xf numFmtId="0" fontId="19" fillId="2" borderId="10" xfId="0" applyNumberFormat="1" applyFont="1" applyFill="1" applyBorder="1" applyAlignment="1">
      <alignment horizontal="left" vertical="center" wrapText="1" shrinkToFit="1"/>
    </xf>
    <xf numFmtId="0" fontId="19" fillId="2" borderId="10" xfId="0" applyNumberFormat="1" applyFont="1" applyFill="1" applyBorder="1" applyAlignment="1">
      <alignment horizontal="left" vertical="center" wrapText="1"/>
    </xf>
    <xf numFmtId="0" fontId="18" fillId="2" borderId="10" xfId="0" applyNumberFormat="1" applyFont="1" applyFill="1" applyBorder="1" applyAlignment="1">
      <alignment horizontal="left" vertical="center" wrapText="1" shrinkToFit="1"/>
    </xf>
    <xf numFmtId="0" fontId="19" fillId="2" borderId="10" xfId="469" applyNumberFormat="1" applyFont="1" applyFill="1" applyBorder="1" applyAlignment="1">
      <alignment horizontal="left" vertical="center" wrapText="1"/>
    </xf>
    <xf numFmtId="0" fontId="19" fillId="2" borderId="11" xfId="469" applyNumberFormat="1" applyFont="1" applyFill="1" applyBorder="1" applyAlignment="1">
      <alignment horizontal="left" vertical="center" wrapText="1"/>
    </xf>
    <xf numFmtId="0" fontId="10" fillId="0" borderId="10" xfId="18" quotePrefix="1" applyFont="1" applyBorder="1" applyAlignment="1">
      <alignment horizontal="center" vertical="center" wrapText="1"/>
    </xf>
    <xf numFmtId="0" fontId="10" fillId="2" borderId="10" xfId="0" applyNumberFormat="1" applyFont="1" applyFill="1" applyBorder="1" applyAlignment="1">
      <alignment horizontal="left" vertical="center" wrapText="1" shrinkToFit="1"/>
    </xf>
    <xf numFmtId="0" fontId="11" fillId="2" borderId="10" xfId="0" applyNumberFormat="1" applyFont="1" applyFill="1" applyBorder="1" applyAlignment="1">
      <alignment horizontal="left" vertical="center" wrapText="1" shrinkToFit="1"/>
    </xf>
    <xf numFmtId="0" fontId="10" fillId="2" borderId="10" xfId="0" applyNumberFormat="1" applyFont="1" applyFill="1" applyBorder="1" applyAlignment="1">
      <alignment horizontal="left" vertical="center" wrapText="1"/>
    </xf>
    <xf numFmtId="0" fontId="11" fillId="2" borderId="10" xfId="0" applyNumberFormat="1" applyFont="1" applyFill="1" applyBorder="1" applyAlignment="1">
      <alignment horizontal="left" vertical="center" wrapText="1"/>
    </xf>
    <xf numFmtId="0" fontId="10" fillId="2" borderId="10" xfId="469"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shrinkToFit="1"/>
    </xf>
    <xf numFmtId="0" fontId="11" fillId="0" borderId="9" xfId="18" applyFont="1" applyBorder="1" applyAlignment="1">
      <alignment horizontal="center" vertical="center" wrapText="1"/>
    </xf>
    <xf numFmtId="0" fontId="4" fillId="0" borderId="9" xfId="18" applyFont="1" applyBorder="1" applyAlignment="1">
      <alignment vertical="center" wrapText="1"/>
    </xf>
    <xf numFmtId="3" fontId="11" fillId="0" borderId="9" xfId="18" applyNumberFormat="1" applyFont="1" applyBorder="1" applyAlignment="1">
      <alignment vertical="center" wrapText="1"/>
    </xf>
    <xf numFmtId="0" fontId="4" fillId="0" borderId="9" xfId="18" applyFont="1" applyBorder="1" applyAlignment="1">
      <alignment horizontal="center" vertical="center" wrapText="1"/>
    </xf>
    <xf numFmtId="0" fontId="11" fillId="2" borderId="10" xfId="469" applyNumberFormat="1" applyFont="1" applyFill="1" applyBorder="1" applyAlignment="1">
      <alignment horizontal="left" vertical="center" wrapText="1"/>
    </xf>
    <xf numFmtId="0" fontId="4" fillId="0" borderId="10" xfId="18" applyFont="1" applyBorder="1" applyAlignment="1">
      <alignment horizontal="left" vertical="center" wrapText="1"/>
    </xf>
    <xf numFmtId="0" fontId="17" fillId="2" borderId="0" xfId="16" applyFill="1"/>
    <xf numFmtId="0" fontId="10" fillId="2" borderId="0" xfId="16" applyFont="1" applyFill="1" applyAlignment="1">
      <alignment vertical="center"/>
    </xf>
    <xf numFmtId="0" fontId="10" fillId="0" borderId="0" xfId="16" applyFont="1" applyFill="1" applyAlignment="1">
      <alignment vertical="center"/>
    </xf>
    <xf numFmtId="0" fontId="10" fillId="2" borderId="0" xfId="16" applyFont="1" applyFill="1" applyAlignment="1">
      <alignment vertical="center" wrapText="1"/>
    </xf>
    <xf numFmtId="0" fontId="10" fillId="2" borderId="0" xfId="16" applyFont="1" applyFill="1" applyAlignment="1">
      <alignment horizontal="center" vertical="center" wrapText="1"/>
    </xf>
    <xf numFmtId="49" fontId="11" fillId="2" borderId="0" xfId="16" applyNumberFormat="1" applyFont="1" applyFill="1" applyAlignment="1">
      <alignment horizontal="center" vertical="center"/>
    </xf>
    <xf numFmtId="3" fontId="17" fillId="2" borderId="0" xfId="16" applyNumberFormat="1" applyFill="1"/>
    <xf numFmtId="49" fontId="11" fillId="2" borderId="0" xfId="16" applyNumberFormat="1" applyFont="1" applyFill="1" applyAlignment="1">
      <alignment horizontal="center" vertical="center" wrapText="1"/>
    </xf>
    <xf numFmtId="0" fontId="11" fillId="2" borderId="1" xfId="16" applyFont="1" applyFill="1" applyBorder="1" applyAlignment="1">
      <alignment horizontal="center" vertical="center" wrapText="1"/>
    </xf>
    <xf numFmtId="49" fontId="11" fillId="2" borderId="1" xfId="16" applyNumberFormat="1" applyFont="1" applyFill="1" applyBorder="1" applyAlignment="1">
      <alignment horizontal="center" vertical="center" wrapText="1"/>
    </xf>
    <xf numFmtId="168" fontId="11" fillId="2" borderId="1" xfId="2" applyNumberFormat="1" applyFont="1" applyFill="1" applyBorder="1" applyAlignment="1">
      <alignment horizontal="right" vertical="center" wrapText="1"/>
    </xf>
    <xf numFmtId="49" fontId="11" fillId="2" borderId="1" xfId="16" applyNumberFormat="1" applyFont="1" applyFill="1" applyBorder="1" applyAlignment="1" applyProtection="1">
      <alignment vertical="center" wrapText="1"/>
    </xf>
    <xf numFmtId="49" fontId="11" fillId="2" borderId="1" xfId="16" applyNumberFormat="1" applyFont="1" applyFill="1" applyBorder="1" applyAlignment="1" applyProtection="1">
      <alignment horizontal="center" vertical="center" wrapText="1"/>
    </xf>
    <xf numFmtId="49" fontId="10" fillId="2" borderId="12" xfId="16" applyNumberFormat="1" applyFont="1" applyFill="1" applyBorder="1" applyAlignment="1">
      <alignment horizontal="center" vertical="center" wrapText="1"/>
    </xf>
    <xf numFmtId="49" fontId="10" fillId="2" borderId="12" xfId="16" applyNumberFormat="1" applyFont="1" applyFill="1" applyBorder="1" applyAlignment="1" applyProtection="1">
      <alignment vertical="center" wrapText="1"/>
    </xf>
    <xf numFmtId="49" fontId="10" fillId="2" borderId="12" xfId="16" applyNumberFormat="1" applyFont="1" applyFill="1" applyBorder="1" applyAlignment="1" applyProtection="1">
      <alignment horizontal="center" vertical="center" wrapText="1"/>
    </xf>
    <xf numFmtId="0" fontId="10" fillId="2" borderId="10" xfId="16" applyFont="1" applyFill="1" applyBorder="1" applyAlignment="1">
      <alignment horizontal="center" vertical="center" wrapText="1"/>
    </xf>
    <xf numFmtId="168" fontId="10" fillId="2" borderId="10" xfId="2" applyNumberFormat="1" applyFont="1" applyFill="1" applyBorder="1" applyAlignment="1">
      <alignment horizontal="right" vertical="center" wrapText="1"/>
    </xf>
    <xf numFmtId="168" fontId="10" fillId="0" borderId="9" xfId="2" applyNumberFormat="1" applyFont="1" applyFill="1" applyBorder="1" applyAlignment="1">
      <alignment horizontal="right" vertical="center" wrapText="1"/>
    </xf>
    <xf numFmtId="0" fontId="11" fillId="2" borderId="1" xfId="16" applyFont="1" applyFill="1" applyBorder="1" applyAlignment="1">
      <alignment horizontal="left" vertical="center" wrapText="1"/>
    </xf>
    <xf numFmtId="49" fontId="28" fillId="2" borderId="6" xfId="16" applyNumberFormat="1" applyFont="1" applyFill="1" applyBorder="1" applyAlignment="1">
      <alignment horizontal="center" vertical="center" wrapText="1"/>
    </xf>
    <xf numFmtId="0" fontId="28" fillId="2" borderId="6" xfId="16" applyFont="1" applyFill="1" applyBorder="1" applyAlignment="1">
      <alignment horizontal="left" vertical="center" wrapText="1"/>
    </xf>
    <xf numFmtId="49" fontId="28" fillId="2" borderId="6" xfId="16" applyNumberFormat="1" applyFont="1" applyFill="1" applyBorder="1" applyAlignment="1" applyProtection="1">
      <alignment horizontal="center" vertical="center" wrapText="1"/>
    </xf>
    <xf numFmtId="0" fontId="28" fillId="2" borderId="6" xfId="16" applyFont="1" applyFill="1" applyBorder="1" applyAlignment="1">
      <alignment horizontal="center" vertical="center" wrapText="1"/>
    </xf>
    <xf numFmtId="168" fontId="28" fillId="2" borderId="6" xfId="2" applyNumberFormat="1" applyFont="1" applyFill="1" applyBorder="1" applyAlignment="1">
      <alignment horizontal="right" vertical="center" wrapText="1"/>
    </xf>
    <xf numFmtId="168" fontId="28" fillId="2" borderId="4" xfId="2" applyNumberFormat="1" applyFont="1" applyFill="1" applyBorder="1" applyAlignment="1">
      <alignment horizontal="right" vertical="center" wrapText="1"/>
    </xf>
    <xf numFmtId="49" fontId="10" fillId="2" borderId="1" xfId="470" applyNumberFormat="1" applyFont="1" applyFill="1" applyBorder="1" applyAlignment="1">
      <alignment horizontal="center" vertical="center" wrapText="1"/>
    </xf>
    <xf numFmtId="49" fontId="10" fillId="2" borderId="1" xfId="470" applyNumberFormat="1" applyFont="1" applyFill="1" applyBorder="1" applyAlignment="1" applyProtection="1">
      <alignment vertical="center" wrapText="1"/>
    </xf>
    <xf numFmtId="49" fontId="10" fillId="2" borderId="1" xfId="470" applyNumberFormat="1" applyFont="1" applyFill="1" applyBorder="1" applyAlignment="1" applyProtection="1">
      <alignment horizontal="center" vertical="center" wrapText="1"/>
    </xf>
    <xf numFmtId="0" fontId="10" fillId="2" borderId="1" xfId="470" applyFont="1" applyFill="1" applyBorder="1" applyAlignment="1">
      <alignment horizontal="center" vertical="center" wrapText="1"/>
    </xf>
    <xf numFmtId="168" fontId="10" fillId="2" borderId="1" xfId="2" applyNumberFormat="1" applyFont="1" applyFill="1" applyBorder="1" applyAlignment="1">
      <alignment horizontal="right" vertical="center" wrapText="1"/>
    </xf>
    <xf numFmtId="168" fontId="10" fillId="0" borderId="1" xfId="2" applyNumberFormat="1" applyFont="1" applyFill="1" applyBorder="1" applyAlignment="1">
      <alignment horizontal="right" vertical="center" wrapText="1"/>
    </xf>
    <xf numFmtId="0" fontId="7" fillId="0" borderId="1" xfId="18" applyFont="1" applyBorder="1" applyAlignment="1">
      <alignment horizontal="center" vertical="center" wrapText="1"/>
    </xf>
    <xf numFmtId="3" fontId="7" fillId="0" borderId="1" xfId="18" applyNumberFormat="1" applyFont="1" applyBorder="1" applyAlignment="1">
      <alignment horizontal="center" vertical="center" wrapText="1"/>
    </xf>
    <xf numFmtId="0" fontId="123" fillId="0" borderId="0" xfId="18" applyFont="1" applyAlignment="1">
      <alignment horizontal="center" vertical="center" wrapText="1"/>
    </xf>
    <xf numFmtId="0" fontId="7" fillId="0" borderId="0" xfId="18" applyFont="1" applyAlignment="1">
      <alignment horizontal="center" vertical="center" wrapText="1"/>
    </xf>
    <xf numFmtId="4" fontId="35" fillId="2" borderId="10" xfId="88" applyNumberFormat="1" applyFont="1" applyFill="1" applyBorder="1" applyAlignment="1">
      <alignment horizontal="right" vertical="center" wrapText="1"/>
    </xf>
    <xf numFmtId="43" fontId="4" fillId="0" borderId="0" xfId="18" applyNumberFormat="1" applyFont="1" applyAlignment="1">
      <alignment vertical="center" wrapText="1"/>
    </xf>
    <xf numFmtId="0" fontId="7" fillId="0" borderId="0" xfId="18" applyFont="1" applyBorder="1" applyAlignment="1">
      <alignment horizontal="right" vertical="center" wrapText="1"/>
    </xf>
    <xf numFmtId="0" fontId="4" fillId="0" borderId="0" xfId="18" applyFont="1" applyBorder="1" applyAlignment="1">
      <alignment horizontal="center" vertical="center" wrapText="1"/>
    </xf>
    <xf numFmtId="0" fontId="7" fillId="0" borderId="0" xfId="18" applyFont="1" applyBorder="1" applyAlignment="1">
      <alignment horizontal="center" vertical="center" wrapText="1"/>
    </xf>
    <xf numFmtId="0" fontId="4" fillId="0" borderId="0" xfId="18" applyFont="1" applyBorder="1" applyAlignment="1">
      <alignment vertical="center" wrapText="1"/>
    </xf>
    <xf numFmtId="0" fontId="6" fillId="0" borderId="0" xfId="18" applyFont="1" applyBorder="1" applyAlignment="1">
      <alignment horizontal="center" vertical="center" wrapText="1"/>
    </xf>
    <xf numFmtId="0" fontId="3" fillId="0" borderId="0" xfId="18" applyFont="1" applyAlignment="1">
      <alignment vertical="center" wrapText="1"/>
    </xf>
    <xf numFmtId="49" fontId="4" fillId="2" borderId="10" xfId="0" applyNumberFormat="1" applyFont="1" applyFill="1" applyBorder="1" applyAlignment="1">
      <alignment horizontal="left" vertical="center" wrapText="1" shrinkToFit="1"/>
    </xf>
    <xf numFmtId="0" fontId="6" fillId="0" borderId="1" xfId="18" applyFont="1" applyBorder="1" applyAlignment="1">
      <alignment horizontal="center" vertical="center" wrapText="1"/>
    </xf>
    <xf numFmtId="0" fontId="4" fillId="0" borderId="1" xfId="18" applyFont="1" applyBorder="1" applyAlignment="1">
      <alignment horizontal="left" vertical="center" wrapText="1"/>
    </xf>
    <xf numFmtId="3" fontId="4" fillId="0" borderId="1" xfId="18" applyNumberFormat="1" applyFont="1" applyBorder="1" applyAlignment="1">
      <alignment vertical="center" wrapText="1"/>
    </xf>
    <xf numFmtId="49" fontId="4" fillId="2" borderId="1" xfId="0" applyNumberFormat="1" applyFont="1" applyFill="1" applyBorder="1" applyAlignment="1">
      <alignment horizontal="left" vertical="center" wrapText="1" shrinkToFit="1"/>
    </xf>
    <xf numFmtId="3" fontId="33" fillId="0" borderId="10" xfId="88" applyNumberFormat="1" applyFont="1" applyFill="1" applyBorder="1" applyAlignment="1">
      <alignment horizontal="right" vertical="center" wrapText="1"/>
    </xf>
    <xf numFmtId="3" fontId="35" fillId="0" borderId="11" xfId="88" applyNumberFormat="1" applyFont="1" applyFill="1" applyBorder="1" applyAlignment="1">
      <alignment horizontal="right" vertical="center" wrapText="1"/>
    </xf>
    <xf numFmtId="43" fontId="23" fillId="0" borderId="0" xfId="18" applyNumberFormat="1" applyAlignment="1">
      <alignment vertical="center" wrapText="1"/>
    </xf>
    <xf numFmtId="0" fontId="10" fillId="0" borderId="11" xfId="18" applyFont="1" applyBorder="1" applyAlignment="1">
      <alignment horizontal="center" vertical="center" wrapText="1"/>
    </xf>
    <xf numFmtId="49" fontId="5" fillId="2" borderId="11" xfId="0" applyNumberFormat="1" applyFont="1" applyFill="1" applyBorder="1" applyAlignment="1">
      <alignment horizontal="left" vertical="center" wrapText="1" shrinkToFit="1"/>
    </xf>
    <xf numFmtId="3" fontId="10" fillId="0" borderId="11" xfId="18" applyNumberFormat="1" applyFont="1" applyBorder="1" applyAlignment="1">
      <alignment vertical="center" wrapText="1"/>
    </xf>
    <xf numFmtId="0" fontId="11" fillId="2" borderId="9" xfId="469" applyNumberFormat="1" applyFont="1" applyFill="1" applyBorder="1" applyAlignment="1">
      <alignment horizontal="left" vertical="center" wrapText="1"/>
    </xf>
    <xf numFmtId="0" fontId="6" fillId="0" borderId="9" xfId="18" applyFont="1" applyBorder="1" applyAlignment="1">
      <alignment horizontal="center" vertical="center" wrapText="1"/>
    </xf>
    <xf numFmtId="0" fontId="4" fillId="0" borderId="9" xfId="18" applyFont="1" applyBorder="1" applyAlignment="1">
      <alignment horizontal="left" vertical="center" wrapText="1"/>
    </xf>
    <xf numFmtId="0" fontId="10" fillId="0" borderId="11" xfId="18" quotePrefix="1" applyFont="1" applyBorder="1" applyAlignment="1">
      <alignment horizontal="center" vertical="center" wrapText="1"/>
    </xf>
    <xf numFmtId="0" fontId="5" fillId="0" borderId="11" xfId="18" applyFont="1" applyBorder="1" applyAlignment="1">
      <alignment horizontal="left" vertical="center" wrapText="1"/>
    </xf>
    <xf numFmtId="49" fontId="33" fillId="0" borderId="10" xfId="0" applyNumberFormat="1" applyFont="1" applyFill="1" applyBorder="1" applyAlignment="1">
      <alignment horizontal="left" vertical="center" wrapText="1" shrinkToFit="1"/>
    </xf>
    <xf numFmtId="0" fontId="88" fillId="0" borderId="0" xfId="472" applyFont="1" applyAlignment="1">
      <alignment horizontal="center" vertical="center" wrapText="1"/>
    </xf>
    <xf numFmtId="0" fontId="126" fillId="0" borderId="11" xfId="473" applyFont="1" applyBorder="1" applyAlignment="1">
      <alignment horizontal="center" vertical="center" wrapText="1"/>
    </xf>
    <xf numFmtId="3" fontId="126" fillId="0" borderId="11" xfId="473" applyNumberFormat="1" applyFont="1" applyBorder="1" applyAlignment="1">
      <alignment horizontal="right" vertical="center" wrapText="1"/>
    </xf>
    <xf numFmtId="217" fontId="126" fillId="0" borderId="11" xfId="473" applyNumberFormat="1" applyFont="1" applyBorder="1" applyAlignment="1">
      <alignment horizontal="right" vertical="center" wrapText="1"/>
    </xf>
    <xf numFmtId="217" fontId="126" fillId="0" borderId="11" xfId="473" applyNumberFormat="1" applyFont="1" applyBorder="1" applyAlignment="1">
      <alignment horizontal="center" vertical="center" wrapText="1"/>
    </xf>
    <xf numFmtId="2" fontId="126" fillId="0" borderId="11" xfId="473" applyNumberFormat="1" applyFont="1" applyBorder="1" applyAlignment="1">
      <alignment horizontal="center" vertical="center" wrapText="1"/>
    </xf>
    <xf numFmtId="0" fontId="126" fillId="0" borderId="11" xfId="473" applyFont="1" applyBorder="1" applyAlignment="1">
      <alignment horizontal="left" vertical="center" wrapText="1"/>
    </xf>
    <xf numFmtId="0" fontId="127" fillId="0" borderId="10" xfId="473" applyFont="1" applyBorder="1" applyAlignment="1">
      <alignment horizontal="center" vertical="center" wrapText="1"/>
    </xf>
    <xf numFmtId="3" fontId="127" fillId="0" borderId="10" xfId="473" applyNumberFormat="1" applyFont="1" applyBorder="1" applyAlignment="1">
      <alignment horizontal="right" vertical="center" wrapText="1"/>
    </xf>
    <xf numFmtId="217" fontId="127" fillId="0" borderId="10" xfId="473" applyNumberFormat="1" applyFont="1" applyBorder="1" applyAlignment="1">
      <alignment horizontal="center" vertical="center" wrapText="1"/>
    </xf>
    <xf numFmtId="2" fontId="127" fillId="0" borderId="10" xfId="473" applyNumberFormat="1" applyFont="1" applyBorder="1" applyAlignment="1">
      <alignment horizontal="center" vertical="center" wrapText="1"/>
    </xf>
    <xf numFmtId="0" fontId="10" fillId="0" borderId="10" xfId="473" applyFont="1" applyBorder="1" applyAlignment="1">
      <alignment horizontal="left" vertical="center" wrapText="1"/>
    </xf>
    <xf numFmtId="0" fontId="128" fillId="0" borderId="10" xfId="473" applyFont="1" applyBorder="1" applyAlignment="1">
      <alignment horizontal="center" vertical="center" wrapText="1"/>
    </xf>
    <xf numFmtId="3" fontId="128" fillId="0" borderId="10" xfId="473" applyNumberFormat="1" applyFont="1" applyBorder="1" applyAlignment="1">
      <alignment horizontal="right" vertical="center" wrapText="1"/>
    </xf>
    <xf numFmtId="217" fontId="128" fillId="0" borderId="10" xfId="473" applyNumberFormat="1" applyFont="1" applyBorder="1" applyAlignment="1">
      <alignment horizontal="right" vertical="center" wrapText="1"/>
    </xf>
    <xf numFmtId="217" fontId="128" fillId="0" borderId="10" xfId="473" applyNumberFormat="1" applyFont="1" applyBorder="1" applyAlignment="1">
      <alignment horizontal="center" vertical="center" wrapText="1"/>
    </xf>
    <xf numFmtId="2" fontId="128" fillId="0" borderId="10" xfId="473" applyNumberFormat="1" applyFont="1" applyBorder="1" applyAlignment="1">
      <alignment horizontal="center" vertical="center" wrapText="1"/>
    </xf>
    <xf numFmtId="0" fontId="6" fillId="0" borderId="10" xfId="473" applyFont="1" applyBorder="1" applyAlignment="1">
      <alignment horizontal="left" vertical="center" wrapText="1"/>
    </xf>
    <xf numFmtId="0" fontId="5" fillId="0" borderId="10" xfId="473" applyFont="1" applyBorder="1" applyAlignment="1">
      <alignment horizontal="left" vertical="center" wrapText="1"/>
    </xf>
    <xf numFmtId="0" fontId="127" fillId="0" borderId="10" xfId="473" applyFont="1" applyBorder="1" applyAlignment="1">
      <alignment horizontal="center" vertical="center" wrapText="1"/>
    </xf>
    <xf numFmtId="9" fontId="127" fillId="0" borderId="10" xfId="473" applyNumberFormat="1" applyFont="1" applyBorder="1" applyAlignment="1">
      <alignment horizontal="center" vertical="center" wrapText="1"/>
    </xf>
    <xf numFmtId="0" fontId="128" fillId="0" borderId="10" xfId="473" applyFont="1" applyBorder="1" applyAlignment="1">
      <alignment horizontal="left" vertical="center" wrapText="1"/>
    </xf>
    <xf numFmtId="3" fontId="126" fillId="0" borderId="10" xfId="473" applyNumberFormat="1" applyFont="1" applyBorder="1" applyAlignment="1">
      <alignment horizontal="right" vertical="center" wrapText="1"/>
    </xf>
    <xf numFmtId="217" fontId="126" fillId="0" borderId="10" xfId="473" applyNumberFormat="1" applyFont="1" applyBorder="1" applyAlignment="1">
      <alignment horizontal="right" vertical="center" wrapText="1"/>
    </xf>
    <xf numFmtId="217" fontId="126" fillId="0" borderId="10" xfId="473" applyNumberFormat="1" applyFont="1" applyBorder="1" applyAlignment="1">
      <alignment horizontal="center" vertical="center" wrapText="1"/>
    </xf>
    <xf numFmtId="2" fontId="126" fillId="0" borderId="10" xfId="473" applyNumberFormat="1" applyFont="1" applyBorder="1" applyAlignment="1">
      <alignment horizontal="center" vertical="center" wrapText="1"/>
    </xf>
    <xf numFmtId="0" fontId="126" fillId="0" borderId="10" xfId="473" applyFont="1" applyBorder="1" applyAlignment="1">
      <alignment horizontal="left" vertical="center" wrapText="1"/>
    </xf>
    <xf numFmtId="0" fontId="126" fillId="0" borderId="10" xfId="473" applyFont="1" applyBorder="1" applyAlignment="1">
      <alignment horizontal="center" vertical="center" wrapText="1"/>
    </xf>
    <xf numFmtId="0" fontId="129" fillId="0" borderId="0" xfId="473" applyFont="1" applyAlignment="1">
      <alignment horizontal="center" vertical="center" wrapText="1"/>
    </xf>
    <xf numFmtId="0" fontId="14" fillId="0" borderId="10" xfId="473" applyFont="1" applyBorder="1" applyAlignment="1">
      <alignment horizontal="left" vertical="center" wrapText="1"/>
    </xf>
    <xf numFmtId="217" fontId="127" fillId="0" borderId="10" xfId="473" applyNumberFormat="1" applyFont="1" applyBorder="1" applyAlignment="1">
      <alignment horizontal="right" vertical="center" wrapText="1"/>
    </xf>
    <xf numFmtId="0" fontId="16" fillId="0" borderId="0" xfId="472" applyFont="1" applyAlignment="1">
      <alignment horizontal="center" vertical="center" wrapText="1"/>
    </xf>
    <xf numFmtId="0" fontId="130" fillId="0" borderId="0" xfId="473" applyFont="1" applyAlignment="1">
      <alignment horizontal="center" vertical="center" wrapText="1"/>
    </xf>
    <xf numFmtId="0" fontId="127" fillId="0" borderId="10" xfId="473" applyFont="1" applyBorder="1" applyAlignment="1">
      <alignment horizontal="left" vertical="center" wrapText="1"/>
    </xf>
    <xf numFmtId="0" fontId="127" fillId="0" borderId="10" xfId="473" quotePrefix="1" applyFont="1" applyBorder="1" applyAlignment="1">
      <alignment horizontal="center" vertical="center" wrapText="1"/>
    </xf>
    <xf numFmtId="0" fontId="127" fillId="0" borderId="9" xfId="473" applyFont="1" applyBorder="1" applyAlignment="1">
      <alignment horizontal="center" vertical="center" wrapText="1"/>
    </xf>
    <xf numFmtId="3" fontId="126" fillId="0" borderId="9" xfId="473" applyNumberFormat="1" applyFont="1" applyBorder="1" applyAlignment="1">
      <alignment horizontal="right" vertical="center" wrapText="1"/>
    </xf>
    <xf numFmtId="217" fontId="126" fillId="0" borderId="9" xfId="473" applyNumberFormat="1" applyFont="1" applyBorder="1" applyAlignment="1">
      <alignment horizontal="right" vertical="center" wrapText="1"/>
    </xf>
    <xf numFmtId="217" fontId="126" fillId="0" borderId="9" xfId="473" applyNumberFormat="1" applyFont="1" applyBorder="1" applyAlignment="1">
      <alignment horizontal="center" vertical="center" wrapText="1"/>
    </xf>
    <xf numFmtId="2" fontId="126" fillId="0" borderId="9" xfId="473" applyNumberFormat="1" applyFont="1" applyBorder="1" applyAlignment="1">
      <alignment horizontal="center" vertical="center" wrapText="1"/>
    </xf>
    <xf numFmtId="0" fontId="126" fillId="0" borderId="9" xfId="473" applyFont="1" applyBorder="1" applyAlignment="1">
      <alignment horizontal="left" vertical="center" wrapText="1"/>
    </xf>
    <xf numFmtId="0" fontId="126" fillId="0" borderId="9" xfId="473" applyFont="1" applyBorder="1" applyAlignment="1">
      <alignment horizontal="center" vertical="center" wrapText="1"/>
    </xf>
    <xf numFmtId="0" fontId="127" fillId="0" borderId="1" xfId="473" applyFont="1" applyBorder="1" applyAlignment="1">
      <alignment horizontal="center" vertical="center" wrapText="1"/>
    </xf>
    <xf numFmtId="3" fontId="126" fillId="0" borderId="1" xfId="473" applyNumberFormat="1" applyFont="1" applyBorder="1" applyAlignment="1">
      <alignment horizontal="right" vertical="center" wrapText="1"/>
    </xf>
    <xf numFmtId="217" fontId="126" fillId="0" borderId="1" xfId="473" applyNumberFormat="1" applyFont="1" applyBorder="1" applyAlignment="1">
      <alignment horizontal="right" vertical="center" wrapText="1"/>
    </xf>
    <xf numFmtId="217" fontId="126" fillId="0" borderId="1" xfId="473" applyNumberFormat="1" applyFont="1" applyBorder="1" applyAlignment="1">
      <alignment horizontal="center" vertical="center" wrapText="1"/>
    </xf>
    <xf numFmtId="2" fontId="126" fillId="0" borderId="1" xfId="473" applyNumberFormat="1" applyFont="1" applyBorder="1" applyAlignment="1">
      <alignment horizontal="center" vertical="center" wrapText="1"/>
    </xf>
    <xf numFmtId="0" fontId="126" fillId="0" borderId="1" xfId="473" applyFont="1" applyBorder="1" applyAlignment="1">
      <alignment horizontal="center" vertical="center" wrapText="1"/>
    </xf>
    <xf numFmtId="0" fontId="126" fillId="0" borderId="1" xfId="473" applyFont="1" applyBorder="1" applyAlignment="1">
      <alignment horizontal="center" vertical="center" wrapText="1"/>
    </xf>
    <xf numFmtId="3" fontId="126" fillId="0" borderId="1" xfId="473" applyNumberFormat="1" applyFont="1" applyBorder="1" applyAlignment="1">
      <alignment horizontal="center" vertical="center" wrapText="1"/>
    </xf>
    <xf numFmtId="0" fontId="120" fillId="0" borderId="8" xfId="472" applyFont="1" applyBorder="1" applyAlignment="1">
      <alignment horizontal="center" vertical="center" wrapText="1"/>
    </xf>
    <xf numFmtId="0" fontId="131" fillId="0" borderId="0" xfId="473" applyFont="1" applyFill="1" applyAlignment="1">
      <alignment horizontal="center" vertical="center" wrapText="1"/>
    </xf>
    <xf numFmtId="0" fontId="130" fillId="0" borderId="0" xfId="473" applyFont="1" applyFill="1" applyAlignment="1">
      <alignment horizontal="center" vertical="center" wrapText="1"/>
    </xf>
    <xf numFmtId="0" fontId="122" fillId="0" borderId="0" xfId="473" applyFont="1" applyAlignment="1">
      <alignment horizontal="center" vertical="center" wrapText="1"/>
    </xf>
    <xf numFmtId="0" fontId="130" fillId="0" borderId="10" xfId="472" applyFont="1" applyBorder="1" applyAlignment="1">
      <alignment horizontal="left" vertical="center" wrapText="1"/>
    </xf>
    <xf numFmtId="0" fontId="129" fillId="0" borderId="10" xfId="472" applyFont="1" applyBorder="1" applyAlignment="1">
      <alignment horizontal="left" vertical="center" wrapText="1"/>
    </xf>
    <xf numFmtId="0" fontId="4" fillId="0" borderId="6" xfId="18" applyFont="1" applyBorder="1" applyAlignment="1">
      <alignment horizontal="left" vertical="center" wrapText="1"/>
    </xf>
    <xf numFmtId="0" fontId="4" fillId="0" borderId="4" xfId="18" applyFont="1" applyBorder="1" applyAlignment="1">
      <alignment horizontal="center" vertical="center" wrapText="1"/>
    </xf>
    <xf numFmtId="3" fontId="4" fillId="0" borderId="4" xfId="18" applyNumberFormat="1" applyFont="1" applyBorder="1" applyAlignment="1">
      <alignment horizontal="right" vertical="center" wrapText="1"/>
    </xf>
    <xf numFmtId="0" fontId="130" fillId="0" borderId="9" xfId="472" applyFont="1" applyBorder="1" applyAlignment="1">
      <alignment horizontal="left" vertical="center" wrapText="1"/>
    </xf>
    <xf numFmtId="3" fontId="4" fillId="0" borderId="9" xfId="18" applyNumberFormat="1" applyFont="1" applyBorder="1" applyAlignment="1">
      <alignment horizontal="right" vertical="center" wrapText="1"/>
    </xf>
    <xf numFmtId="0" fontId="4" fillId="0" borderId="10" xfId="18" applyFont="1" applyBorder="1" applyAlignment="1">
      <alignment horizontal="center" vertical="center" wrapText="1"/>
    </xf>
    <xf numFmtId="3" fontId="4" fillId="0" borderId="10" xfId="18" applyNumberFormat="1" applyFont="1" applyBorder="1" applyAlignment="1">
      <alignment horizontal="right" vertical="center" wrapText="1"/>
    </xf>
    <xf numFmtId="3" fontId="5" fillId="0" borderId="11" xfId="18" applyNumberFormat="1" applyFont="1" applyBorder="1" applyAlignment="1">
      <alignment horizontal="right" vertical="center" wrapText="1"/>
    </xf>
    <xf numFmtId="3" fontId="5" fillId="0" borderId="10" xfId="18" applyNumberFormat="1" applyFont="1" applyBorder="1" applyAlignment="1">
      <alignment horizontal="right" vertical="center" wrapText="1"/>
    </xf>
    <xf numFmtId="3" fontId="11" fillId="0" borderId="1" xfId="18" applyNumberFormat="1" applyFont="1" applyFill="1" applyBorder="1" applyAlignment="1">
      <alignment vertical="center" wrapText="1"/>
    </xf>
    <xf numFmtId="0" fontId="127" fillId="0" borderId="10" xfId="473" applyFont="1" applyBorder="1" applyAlignment="1">
      <alignment horizontal="center" vertical="center" wrapText="1"/>
    </xf>
    <xf numFmtId="0" fontId="34" fillId="0" borderId="0" xfId="0" applyFont="1" applyAlignment="1">
      <alignment horizontal="center" vertical="center" wrapText="1"/>
    </xf>
    <xf numFmtId="0" fontId="8" fillId="0" borderId="0" xfId="0" applyFont="1" applyAlignment="1">
      <alignment horizontal="center" vertical="center" wrapText="1"/>
    </xf>
    <xf numFmtId="0" fontId="134" fillId="0" borderId="1" xfId="474" applyFont="1" applyBorder="1" applyAlignment="1">
      <alignment horizontal="center" vertical="center" wrapText="1"/>
    </xf>
    <xf numFmtId="0" fontId="135" fillId="0" borderId="0" xfId="0" applyFont="1" applyAlignment="1">
      <alignment horizontal="center" vertical="center" wrapText="1"/>
    </xf>
    <xf numFmtId="0" fontId="8" fillId="0" borderId="0" xfId="474" applyFont="1" applyAlignment="1">
      <alignment horizontal="center" vertical="center" wrapText="1"/>
    </xf>
    <xf numFmtId="169" fontId="8" fillId="0" borderId="0" xfId="474" applyNumberFormat="1" applyFont="1" applyAlignment="1">
      <alignment horizontal="center" vertical="center" wrapText="1"/>
    </xf>
    <xf numFmtId="0" fontId="136" fillId="0" borderId="0" xfId="0" applyFont="1" applyAlignment="1">
      <alignment horizontal="center" vertical="center" wrapText="1"/>
    </xf>
    <xf numFmtId="0" fontId="133" fillId="0" borderId="8" xfId="0" applyFont="1" applyBorder="1" applyAlignment="1">
      <alignment horizontal="center" vertical="center" wrapText="1"/>
    </xf>
    <xf numFmtId="0" fontId="132" fillId="0" borderId="1" xfId="0" applyFont="1" applyBorder="1" applyAlignment="1">
      <alignment horizontal="center" vertical="center" wrapText="1"/>
    </xf>
    <xf numFmtId="3" fontId="134" fillId="0" borderId="1" xfId="474" applyNumberFormat="1" applyFont="1" applyBorder="1" applyAlignment="1">
      <alignment horizontal="right" vertical="center" wrapText="1"/>
    </xf>
    <xf numFmtId="0" fontId="11" fillId="0" borderId="1" xfId="18" quotePrefix="1" applyFont="1" applyBorder="1" applyAlignment="1">
      <alignment horizontal="center" vertical="center" wrapText="1"/>
    </xf>
    <xf numFmtId="0" fontId="10" fillId="0" borderId="9" xfId="18" quotePrefix="1" applyFont="1" applyBorder="1" applyAlignment="1">
      <alignment horizontal="center" vertical="center" wrapText="1"/>
    </xf>
    <xf numFmtId="3" fontId="5" fillId="0" borderId="9" xfId="18" applyNumberFormat="1" applyFont="1" applyBorder="1" applyAlignment="1">
      <alignment horizontal="righ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2" borderId="10" xfId="0" applyFont="1" applyFill="1" applyBorder="1" applyAlignment="1">
      <alignment horizontal="left" vertical="center" wrapText="1"/>
    </xf>
    <xf numFmtId="0" fontId="8" fillId="0" borderId="11" xfId="0" applyFont="1" applyBorder="1" applyAlignment="1">
      <alignment horizontal="left" vertical="center" wrapText="1"/>
    </xf>
    <xf numFmtId="0" fontId="137" fillId="0" borderId="1" xfId="474" applyFont="1" applyBorder="1" applyAlignment="1">
      <alignment horizontal="center" vertical="center" wrapText="1"/>
    </xf>
    <xf numFmtId="3" fontId="1" fillId="0" borderId="0" xfId="18" applyNumberFormat="1" applyFont="1" applyAlignment="1">
      <alignment vertical="center" wrapText="1"/>
    </xf>
    <xf numFmtId="167" fontId="1" fillId="0" borderId="0" xfId="2" applyFont="1" applyFill="1" applyAlignment="1">
      <alignment vertical="center" wrapText="1"/>
    </xf>
    <xf numFmtId="0" fontId="1" fillId="0" borderId="0" xfId="18" applyFont="1" applyAlignment="1">
      <alignment vertical="center" wrapText="1"/>
    </xf>
    <xf numFmtId="0" fontId="5" fillId="0" borderId="1" xfId="0" applyFont="1" applyBorder="1" applyAlignment="1">
      <alignment horizontal="center" vertical="center" wrapText="1"/>
    </xf>
    <xf numFmtId="0" fontId="10" fillId="0" borderId="9" xfId="474" applyFont="1" applyBorder="1" applyAlignment="1">
      <alignment horizontal="center" vertical="center" wrapText="1"/>
    </xf>
    <xf numFmtId="0" fontId="5" fillId="0" borderId="9" xfId="0" applyFont="1" applyBorder="1" applyAlignment="1">
      <alignment horizontal="left" vertical="center" wrapText="1"/>
    </xf>
    <xf numFmtId="3" fontId="10" fillId="0" borderId="9" xfId="474" applyNumberFormat="1" applyFont="1" applyBorder="1" applyAlignment="1">
      <alignment horizontal="right" vertical="center" wrapText="1"/>
    </xf>
    <xf numFmtId="0" fontId="10" fillId="0" borderId="10" xfId="474" applyFont="1" applyBorder="1" applyAlignment="1">
      <alignment horizontal="center" vertical="center" wrapText="1"/>
    </xf>
    <xf numFmtId="0" fontId="5" fillId="0" borderId="10" xfId="0" applyFont="1" applyBorder="1" applyAlignment="1">
      <alignment horizontal="left" vertical="center" wrapText="1"/>
    </xf>
    <xf numFmtId="3" fontId="10" fillId="0" borderId="10" xfId="474" applyNumberFormat="1" applyFont="1" applyBorder="1" applyAlignment="1">
      <alignment horizontal="right" vertical="center" wrapText="1"/>
    </xf>
    <xf numFmtId="0" fontId="5" fillId="2" borderId="10" xfId="0" applyFont="1" applyFill="1" applyBorder="1" applyAlignment="1">
      <alignment horizontal="left" vertical="center" wrapText="1"/>
    </xf>
    <xf numFmtId="0" fontId="5" fillId="0" borderId="10" xfId="474" applyFont="1" applyBorder="1" applyAlignment="1">
      <alignment horizontal="center" vertical="center" wrapText="1"/>
    </xf>
    <xf numFmtId="3" fontId="5" fillId="0" borderId="10" xfId="474" applyNumberFormat="1" applyFont="1" applyBorder="1" applyAlignment="1">
      <alignment horizontal="right" vertical="center" wrapText="1"/>
    </xf>
    <xf numFmtId="0" fontId="10" fillId="0" borderId="11" xfId="474" applyFont="1" applyBorder="1" applyAlignment="1">
      <alignment horizontal="center" vertical="center" wrapText="1"/>
    </xf>
    <xf numFmtId="0" fontId="5" fillId="0" borderId="11" xfId="0" applyFont="1" applyBorder="1" applyAlignment="1">
      <alignment horizontal="left" vertical="center" wrapText="1"/>
    </xf>
    <xf numFmtId="3" fontId="10" fillId="0" borderId="11" xfId="474" applyNumberFormat="1" applyFont="1" applyBorder="1" applyAlignment="1">
      <alignment horizontal="right" vertical="center" wrapText="1"/>
    </xf>
    <xf numFmtId="0" fontId="11" fillId="0" borderId="2" xfId="0" applyFont="1" applyBorder="1" applyAlignment="1">
      <alignment horizontal="center" vertical="center" wrapText="1"/>
    </xf>
    <xf numFmtId="3" fontId="134" fillId="0" borderId="1" xfId="474" applyNumberFormat="1" applyFont="1" applyBorder="1" applyAlignment="1">
      <alignment horizontal="center" vertical="center" wrapText="1"/>
    </xf>
    <xf numFmtId="3" fontId="10" fillId="0" borderId="9" xfId="474" applyNumberFormat="1" applyFont="1" applyBorder="1" applyAlignment="1">
      <alignment horizontal="center" vertical="center" wrapText="1"/>
    </xf>
    <xf numFmtId="3" fontId="10" fillId="0" borderId="10" xfId="474" applyNumberFormat="1" applyFont="1" applyBorder="1" applyAlignment="1">
      <alignment horizontal="center" vertical="center" wrapText="1"/>
    </xf>
    <xf numFmtId="3" fontId="5" fillId="0" borderId="10" xfId="474" applyNumberFormat="1" applyFont="1" applyBorder="1" applyAlignment="1">
      <alignment horizontal="center" vertical="center" wrapText="1"/>
    </xf>
    <xf numFmtId="3" fontId="10" fillId="0" borderId="11" xfId="474" applyNumberFormat="1" applyFont="1" applyBorder="1" applyAlignment="1">
      <alignment horizontal="center" vertical="center" wrapText="1"/>
    </xf>
    <xf numFmtId="3" fontId="4" fillId="0" borderId="0" xfId="18" applyNumberFormat="1" applyFont="1" applyBorder="1" applyAlignment="1">
      <alignment vertical="center" wrapText="1"/>
    </xf>
    <xf numFmtId="0" fontId="127" fillId="0" borderId="10" xfId="473" applyFont="1" applyBorder="1" applyAlignment="1">
      <alignment horizontal="center" vertical="center" wrapText="1"/>
    </xf>
    <xf numFmtId="0" fontId="127" fillId="0" borderId="13" xfId="473" applyFont="1" applyBorder="1" applyAlignment="1">
      <alignment horizontal="center" vertical="center" wrapText="1"/>
    </xf>
    <xf numFmtId="0" fontId="10" fillId="0" borderId="13" xfId="473" applyFont="1" applyBorder="1" applyAlignment="1">
      <alignment horizontal="left" vertical="center" wrapText="1"/>
    </xf>
    <xf numFmtId="2" fontId="127" fillId="0" borderId="13" xfId="473" applyNumberFormat="1" applyFont="1" applyBorder="1" applyAlignment="1">
      <alignment horizontal="center" vertical="center" wrapText="1"/>
    </xf>
    <xf numFmtId="217" fontId="127" fillId="0" borderId="13" xfId="473" applyNumberFormat="1" applyFont="1" applyBorder="1" applyAlignment="1">
      <alignment horizontal="center" vertical="center" wrapText="1"/>
    </xf>
    <xf numFmtId="3" fontId="127" fillId="0" borderId="13" xfId="473" applyNumberFormat="1" applyFont="1" applyBorder="1" applyAlignment="1">
      <alignment horizontal="right" vertical="center" wrapText="1"/>
    </xf>
    <xf numFmtId="0" fontId="126" fillId="0" borderId="13" xfId="473" applyFont="1" applyBorder="1" applyAlignment="1">
      <alignment horizontal="center" vertical="center" wrapText="1"/>
    </xf>
    <xf numFmtId="0" fontId="11" fillId="0" borderId="13" xfId="473" applyFont="1" applyBorder="1" applyAlignment="1">
      <alignment horizontal="left" vertical="center" wrapText="1"/>
    </xf>
    <xf numFmtId="2" fontId="126" fillId="0" borderId="13" xfId="473" applyNumberFormat="1" applyFont="1" applyBorder="1" applyAlignment="1">
      <alignment horizontal="center" vertical="center" wrapText="1"/>
    </xf>
    <xf numFmtId="217" fontId="126" fillId="0" borderId="13" xfId="473" applyNumberFormat="1" applyFont="1" applyBorder="1" applyAlignment="1">
      <alignment horizontal="center" vertical="center" wrapText="1"/>
    </xf>
    <xf numFmtId="3" fontId="126" fillId="0" borderId="13" xfId="473" applyNumberFormat="1" applyFont="1" applyBorder="1" applyAlignment="1">
      <alignment horizontal="right" vertical="center" wrapText="1"/>
    </xf>
    <xf numFmtId="3" fontId="88" fillId="0" borderId="0" xfId="472" applyNumberFormat="1" applyFont="1" applyAlignment="1">
      <alignment horizontal="center" vertical="center" wrapText="1"/>
    </xf>
    <xf numFmtId="0" fontId="11" fillId="0" borderId="10" xfId="18" quotePrefix="1" applyFont="1" applyBorder="1" applyAlignment="1">
      <alignment horizontal="center" vertical="center" wrapText="1"/>
    </xf>
    <xf numFmtId="0" fontId="138" fillId="2" borderId="1" xfId="0" applyNumberFormat="1" applyFont="1" applyFill="1" applyBorder="1" applyAlignment="1">
      <alignment horizontal="center" vertical="center" wrapText="1"/>
    </xf>
    <xf numFmtId="0" fontId="138" fillId="2" borderId="1" xfId="88" applyNumberFormat="1" applyFont="1" applyFill="1" applyBorder="1" applyAlignment="1">
      <alignment horizontal="center" vertical="center" wrapText="1"/>
    </xf>
    <xf numFmtId="0" fontId="133" fillId="2" borderId="1" xfId="16" applyNumberFormat="1" applyFont="1" applyFill="1" applyBorder="1" applyAlignment="1">
      <alignment horizontal="center" vertical="center" wrapText="1"/>
    </xf>
    <xf numFmtId="0" fontId="133" fillId="2" borderId="1" xfId="16" applyNumberFormat="1" applyFont="1" applyFill="1" applyBorder="1" applyAlignment="1" applyProtection="1">
      <alignment horizontal="center" vertical="center" wrapText="1"/>
    </xf>
    <xf numFmtId="0" fontId="139" fillId="0" borderId="1" xfId="473" applyFont="1" applyBorder="1" applyAlignment="1">
      <alignment horizontal="center" vertical="center" wrapText="1"/>
    </xf>
    <xf numFmtId="3" fontId="139" fillId="0" borderId="1" xfId="473" applyNumberFormat="1" applyFont="1" applyBorder="1" applyAlignment="1">
      <alignment horizontal="center" vertical="center" wrapText="1"/>
    </xf>
    <xf numFmtId="0" fontId="5"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3" fontId="5" fillId="0" borderId="1" xfId="0" applyNumberFormat="1" applyFont="1" applyBorder="1" applyAlignment="1">
      <alignment horizontal="right" vertical="center" wrapText="1"/>
    </xf>
    <xf numFmtId="0" fontId="7" fillId="0" borderId="0" xfId="0" applyFont="1" applyAlignment="1">
      <alignment horizontal="center" vertical="center" wrapText="1"/>
    </xf>
    <xf numFmtId="0" fontId="4" fillId="0" borderId="1" xfId="0" applyFont="1" applyBorder="1" applyAlignment="1">
      <alignment horizontal="left" vertical="center" wrapText="1"/>
    </xf>
    <xf numFmtId="0" fontId="7" fillId="0" borderId="8" xfId="0" applyFont="1" applyBorder="1" applyAlignment="1">
      <alignment vertical="center" wrapText="1"/>
    </xf>
    <xf numFmtId="3" fontId="5" fillId="0" borderId="0" xfId="0" applyNumberFormat="1" applyFont="1" applyAlignment="1">
      <alignment horizontal="center" vertical="center" wrapText="1"/>
    </xf>
    <xf numFmtId="0" fontId="5" fillId="0" borderId="9" xfId="0" quotePrefix="1" applyFont="1" applyBorder="1" applyAlignment="1">
      <alignment horizontal="center" vertical="center" wrapText="1"/>
    </xf>
    <xf numFmtId="0" fontId="5" fillId="0" borderId="10" xfId="0" quotePrefix="1" applyFont="1" applyBorder="1" applyAlignment="1">
      <alignment horizontal="center" vertical="center" wrapText="1"/>
    </xf>
    <xf numFmtId="0" fontId="5" fillId="2" borderId="10" xfId="0" quotePrefix="1" applyFont="1" applyFill="1" applyBorder="1" applyAlignment="1">
      <alignment horizontal="center" vertical="center" wrapText="1"/>
    </xf>
    <xf numFmtId="0" fontId="5" fillId="2" borderId="11" xfId="0" quotePrefix="1" applyFont="1" applyFill="1" applyBorder="1" applyAlignment="1">
      <alignment horizontal="center" vertical="center" wrapText="1"/>
    </xf>
    <xf numFmtId="0" fontId="124" fillId="0" borderId="0" xfId="18" applyFont="1" applyAlignment="1">
      <alignment horizontal="center" vertical="center" wrapText="1"/>
    </xf>
    <xf numFmtId="0" fontId="7" fillId="0" borderId="0" xfId="18" applyFont="1" applyAlignment="1">
      <alignment horizontal="center" vertical="center" wrapText="1"/>
    </xf>
    <xf numFmtId="0" fontId="7" fillId="0" borderId="8" xfId="18" applyFont="1" applyBorder="1" applyAlignment="1">
      <alignment horizontal="right" vertical="center" wrapText="1"/>
    </xf>
    <xf numFmtId="0" fontId="7" fillId="0" borderId="9" xfId="18" applyFont="1" applyBorder="1" applyAlignment="1">
      <alignment horizontal="center" vertical="center" wrapText="1"/>
    </xf>
    <xf numFmtId="0" fontId="7" fillId="0" borderId="10" xfId="18" applyFont="1" applyBorder="1" applyAlignment="1">
      <alignment horizontal="center" vertical="center" wrapText="1"/>
    </xf>
    <xf numFmtId="0" fontId="7" fillId="0" borderId="11" xfId="18" applyFont="1" applyBorder="1" applyAlignment="1">
      <alignment horizontal="center" vertical="center" wrapText="1"/>
    </xf>
    <xf numFmtId="0" fontId="7" fillId="0" borderId="13" xfId="18" applyFont="1" applyBorder="1" applyAlignment="1">
      <alignment horizontal="center" vertical="center" wrapText="1"/>
    </xf>
    <xf numFmtId="0" fontId="7" fillId="0" borderId="6" xfId="18" applyFont="1" applyBorder="1" applyAlignment="1">
      <alignment horizontal="center" vertical="center" wrapText="1"/>
    </xf>
    <xf numFmtId="0" fontId="7" fillId="0" borderId="5" xfId="18" applyFont="1" applyBorder="1" applyAlignment="1">
      <alignment horizontal="center" vertical="center" wrapText="1"/>
    </xf>
    <xf numFmtId="0" fontId="7" fillId="0" borderId="4" xfId="18" applyFont="1" applyBorder="1" applyAlignment="1">
      <alignment horizontal="center" vertical="center" wrapText="1"/>
    </xf>
    <xf numFmtId="0" fontId="7" fillId="0" borderId="12" xfId="18" applyFont="1" applyBorder="1" applyAlignment="1">
      <alignment horizontal="center" vertical="center" wrapText="1"/>
    </xf>
    <xf numFmtId="0" fontId="122" fillId="2" borderId="0" xfId="0" applyFont="1" applyFill="1" applyAlignment="1">
      <alignment horizontal="center" vertical="center" wrapText="1"/>
    </xf>
    <xf numFmtId="0" fontId="121" fillId="2" borderId="0" xfId="0" applyFont="1" applyFill="1" applyAlignment="1">
      <alignment horizontal="center" vertical="center" wrapText="1"/>
    </xf>
    <xf numFmtId="169" fontId="37" fillId="2" borderId="8" xfId="88"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169" fontId="34" fillId="2" borderId="1" xfId="88" applyNumberFormat="1" applyFont="1" applyFill="1" applyBorder="1" applyAlignment="1">
      <alignment horizontal="center" vertical="center" wrapText="1"/>
    </xf>
    <xf numFmtId="169" fontId="38" fillId="2" borderId="4" xfId="88" applyNumberFormat="1" applyFont="1" applyFill="1" applyBorder="1" applyAlignment="1">
      <alignment horizontal="center" vertical="center" wrapText="1"/>
    </xf>
    <xf numFmtId="169" fontId="38" fillId="2" borderId="5" xfId="88" applyNumberFormat="1" applyFont="1" applyFill="1" applyBorder="1" applyAlignment="1">
      <alignment horizontal="center" vertical="center" wrapText="1"/>
    </xf>
    <xf numFmtId="174" fontId="34" fillId="2" borderId="1" xfId="88" applyNumberFormat="1" applyFont="1" applyFill="1" applyBorder="1" applyAlignment="1">
      <alignment horizontal="center" vertical="center" wrapText="1"/>
    </xf>
    <xf numFmtId="175" fontId="34" fillId="2" borderId="1" xfId="88" applyNumberFormat="1" applyFont="1" applyFill="1" applyBorder="1" applyAlignment="1">
      <alignment horizontal="center" vertical="center" wrapText="1"/>
    </xf>
    <xf numFmtId="0" fontId="34" fillId="2" borderId="4"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119" fillId="0" borderId="0" xfId="39" applyFont="1" applyAlignment="1">
      <alignment horizontal="center" vertical="center" wrapText="1"/>
    </xf>
    <xf numFmtId="0" fontId="11" fillId="2" borderId="1" xfId="16" applyFont="1" applyFill="1" applyBorder="1" applyAlignment="1">
      <alignment horizontal="center" vertical="center" wrapText="1"/>
    </xf>
    <xf numFmtId="0" fontId="14" fillId="0" borderId="0" xfId="16" applyFont="1" applyFill="1" applyAlignment="1">
      <alignment horizontal="center" vertical="center"/>
    </xf>
    <xf numFmtId="0" fontId="11" fillId="2" borderId="1" xfId="16" applyNumberFormat="1" applyFont="1" applyFill="1" applyBorder="1" applyAlignment="1" applyProtection="1">
      <alignment horizontal="center" vertical="center" wrapText="1"/>
    </xf>
    <xf numFmtId="0" fontId="11" fillId="0" borderId="1" xfId="16" applyFont="1" applyFill="1" applyBorder="1" applyAlignment="1">
      <alignment horizontal="center" vertical="center" wrapText="1"/>
    </xf>
    <xf numFmtId="0" fontId="16" fillId="2" borderId="0" xfId="16" applyFont="1" applyFill="1" applyAlignment="1">
      <alignment horizontal="center" vertical="center" wrapText="1"/>
    </xf>
    <xf numFmtId="0" fontId="28" fillId="2" borderId="0" xfId="16" applyFont="1" applyFill="1" applyAlignment="1">
      <alignment horizontal="center" vertical="center" wrapText="1"/>
    </xf>
    <xf numFmtId="0" fontId="120" fillId="2" borderId="8" xfId="16" applyFont="1" applyFill="1" applyBorder="1" applyAlignment="1">
      <alignment horizontal="right" wrapText="1"/>
    </xf>
    <xf numFmtId="49" fontId="11" fillId="2" borderId="1" xfId="16" applyNumberFormat="1" applyFont="1" applyFill="1" applyBorder="1" applyAlignment="1">
      <alignment horizontal="center" vertical="center" wrapText="1"/>
    </xf>
    <xf numFmtId="216" fontId="11" fillId="2" borderId="1" xfId="16" applyNumberFormat="1" applyFont="1" applyFill="1" applyBorder="1" applyAlignment="1" applyProtection="1">
      <alignment horizontal="center" vertical="center" wrapText="1"/>
    </xf>
    <xf numFmtId="0" fontId="129" fillId="0" borderId="0" xfId="474" applyFont="1" applyAlignment="1">
      <alignment horizontal="center" vertical="center" wrapText="1"/>
    </xf>
    <xf numFmtId="0" fontId="122"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127" fillId="0" borderId="10" xfId="473" applyFont="1" applyBorder="1" applyAlignment="1">
      <alignment horizontal="center" vertical="center" wrapText="1"/>
    </xf>
    <xf numFmtId="0" fontId="122" fillId="0" borderId="0" xfId="473" applyFont="1" applyAlignment="1">
      <alignment horizontal="center" vertical="center" wrapText="1"/>
    </xf>
    <xf numFmtId="0" fontId="120" fillId="0" borderId="0" xfId="472" applyFont="1" applyBorder="1" applyAlignment="1">
      <alignment horizontal="center" vertical="center" wrapText="1"/>
    </xf>
    <xf numFmtId="0" fontId="120" fillId="0" borderId="8" xfId="472" applyFont="1" applyBorder="1" applyAlignment="1">
      <alignment horizontal="center" vertical="center" wrapText="1"/>
    </xf>
    <xf numFmtId="0" fontId="126" fillId="0" borderId="1" xfId="473" applyFont="1" applyBorder="1" applyAlignment="1">
      <alignment horizontal="center" vertical="center" wrapText="1"/>
    </xf>
    <xf numFmtId="0" fontId="126" fillId="0" borderId="4" xfId="473" applyFont="1" applyBorder="1" applyAlignment="1">
      <alignment horizontal="center" vertical="center" wrapText="1"/>
    </xf>
    <xf numFmtId="0" fontId="126" fillId="0" borderId="5" xfId="473" applyFont="1" applyBorder="1" applyAlignment="1">
      <alignment horizontal="center" vertical="center" wrapText="1"/>
    </xf>
    <xf numFmtId="0" fontId="126" fillId="0" borderId="2" xfId="473" applyFont="1" applyBorder="1" applyAlignment="1">
      <alignment horizontal="center" vertical="center" wrapText="1"/>
    </xf>
    <xf numFmtId="0" fontId="126" fillId="0" borderId="7" xfId="473" applyFont="1" applyBorder="1" applyAlignment="1">
      <alignment horizontal="center" vertical="center" wrapText="1"/>
    </xf>
    <xf numFmtId="0" fontId="126" fillId="0" borderId="3" xfId="473" applyFont="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140" fillId="0" borderId="1" xfId="0" applyFont="1" applyBorder="1" applyAlignment="1">
      <alignment horizontal="center" vertical="center" wrapText="1"/>
    </xf>
  </cellXfs>
  <cellStyles count="475">
    <cellStyle name="_x0001_" xfId="159"/>
    <cellStyle name="??" xfId="160"/>
    <cellStyle name="?? [0.00]_ Att. 1- Cover" xfId="161"/>
    <cellStyle name="?? [0]" xfId="162"/>
    <cellStyle name="?_x001d_??%U©÷u&amp;H©÷9_x0008_? s_x000a__x0007__x0001__x0001_" xfId="163"/>
    <cellStyle name="?_x001d_??%U©÷u&amp;H©÷9_x0008_?_x0009_s_x000a__x0007__x0001__x0001_" xfId="164"/>
    <cellStyle name="???? [0.00]_PRODUCT DETAIL Q1" xfId="165"/>
    <cellStyle name="????_PRODUCT DETAIL Q1" xfId="166"/>
    <cellStyle name="???[0]_?? DI" xfId="167"/>
    <cellStyle name="???_?? DI" xfId="168"/>
    <cellStyle name="??[0]_BRE" xfId="169"/>
    <cellStyle name="??_ Att. 1- Cover" xfId="170"/>
    <cellStyle name="??A? [0]_ÿÿÿÿÿÿ_1_¢¬???¢â? " xfId="171"/>
    <cellStyle name="??A?_ÿÿÿÿÿÿ_1_¢¬???¢â? " xfId="172"/>
    <cellStyle name="?¡±¢¥?_?¨ù??¢´¢¥_¢¬???¢â? " xfId="173"/>
    <cellStyle name="?ðÇ%U?&amp;H?_x0008_?s_x000a__x0007__x0001__x0001_" xfId="174"/>
    <cellStyle name="_130307 So sanh thuc hien 2012 - du toan 2012 moi (pan khac)" xfId="175"/>
    <cellStyle name="_130313 Mau  bieu bao cao nguon luc cua dia phuong sua" xfId="176"/>
    <cellStyle name="_130818 Tong hop Danh gia thu 2013" xfId="177"/>
    <cellStyle name="_Bang Chi tieu (2)" xfId="178"/>
    <cellStyle name="_DG 2012-DT2013 - Theo sac thue -sua" xfId="179"/>
    <cellStyle name="_DG 2012-DT2013 - Theo sac thue -sua_120907 Thu tang them 4500" xfId="180"/>
    <cellStyle name="_KT (2)" xfId="181"/>
    <cellStyle name="_KT (2)_1" xfId="182"/>
    <cellStyle name="_KT (2)_2" xfId="183"/>
    <cellStyle name="_KT (2)_2_TG-TH" xfId="184"/>
    <cellStyle name="_KT (2)_3" xfId="185"/>
    <cellStyle name="_KT (2)_3_TG-TH" xfId="186"/>
    <cellStyle name="_KT (2)_4" xfId="187"/>
    <cellStyle name="_KT (2)_4_TG-TH" xfId="188"/>
    <cellStyle name="_KT (2)_5" xfId="189"/>
    <cellStyle name="_KT (2)_TG-TH" xfId="190"/>
    <cellStyle name="_KT_TG" xfId="191"/>
    <cellStyle name="_KT_TG_1" xfId="192"/>
    <cellStyle name="_KT_TG_2" xfId="193"/>
    <cellStyle name="_KT_TG_3" xfId="194"/>
    <cellStyle name="_KT_TG_4" xfId="195"/>
    <cellStyle name="_Phu luc kem BC gui VP Bo (18.2)" xfId="196"/>
    <cellStyle name="_TG-TH" xfId="197"/>
    <cellStyle name="_TG-TH_1" xfId="198"/>
    <cellStyle name="_TG-TH_2" xfId="199"/>
    <cellStyle name="_TG-TH_3" xfId="200"/>
    <cellStyle name="_TG-TH_4" xfId="201"/>
    <cellStyle name="~1" xfId="202"/>
    <cellStyle name="0" xfId="203"/>
    <cellStyle name="1" xfId="204"/>
    <cellStyle name="1_2-Ha GiangBB2011-V1" xfId="205"/>
    <cellStyle name="1_50-BB Vung tau 2011" xfId="206"/>
    <cellStyle name="1_52-Long An2011.BB-V1" xfId="207"/>
    <cellStyle name="¹éºÐÀ²_±âÅ¸" xfId="208"/>
    <cellStyle name="2" xfId="209"/>
    <cellStyle name="20" xfId="210"/>
    <cellStyle name="3" xfId="211"/>
    <cellStyle name="4" xfId="212"/>
    <cellStyle name="ÅëÈ­ [0]_¿ì¹°Åë" xfId="213"/>
    <cellStyle name="AeE­ [0]_INQUIRY ¿?¾÷AßAø " xfId="214"/>
    <cellStyle name="ÅëÈ­ [0]_laroux" xfId="215"/>
    <cellStyle name="ÅëÈ­_¿ì¹°Åë" xfId="216"/>
    <cellStyle name="AeE­_INQUIRY ¿?¾÷AßAø " xfId="217"/>
    <cellStyle name="ÅëÈ­_laroux" xfId="218"/>
    <cellStyle name="args.style" xfId="219"/>
    <cellStyle name="ÄÞ¸¶ [0]_¿ì¹°Åë" xfId="220"/>
    <cellStyle name="AÞ¸¶ [0]_INQUIRY ¿?¾÷AßAø " xfId="221"/>
    <cellStyle name="ÄÞ¸¶ [0]_laroux" xfId="222"/>
    <cellStyle name="ÄÞ¸¶_¿ì¹°Åë" xfId="223"/>
    <cellStyle name="AÞ¸¶_INQUIRY ¿?¾÷AßAø " xfId="224"/>
    <cellStyle name="ÄÞ¸¶_laroux" xfId="225"/>
    <cellStyle name="AutoFormat Options" xfId="226"/>
    <cellStyle name="Bình thường" xfId="0" builtinId="0"/>
    <cellStyle name="Bình thường 2" xfId="6"/>
    <cellStyle name="Bình thường 2 2" xfId="33"/>
    <cellStyle name="Bình thường 2 2 2" xfId="58"/>
    <cellStyle name="Bình thường 2 3" xfId="50"/>
    <cellStyle name="Bình thường 2 4" xfId="86"/>
    <cellStyle name="Bình thường 3" xfId="36"/>
    <cellStyle name="Body" xfId="227"/>
    <cellStyle name="C?AØ_¿?¾÷CoE² " xfId="228"/>
    <cellStyle name="Ç¥ÁØ_#2(M17)_1" xfId="229"/>
    <cellStyle name="C￥AØ_¿μ¾÷CoE² " xfId="230"/>
    <cellStyle name="Ç¥ÁØ_±³°¢¼ö·®" xfId="231"/>
    <cellStyle name="C￥AØ_Sheet1_¿μ¾÷CoE² " xfId="232"/>
    <cellStyle name="Calc Currency (0)" xfId="233"/>
    <cellStyle name="Calc Currency (2)" xfId="234"/>
    <cellStyle name="Calc Percent (0)" xfId="235"/>
    <cellStyle name="Calc Percent (1)" xfId="236"/>
    <cellStyle name="Calc Percent (2)" xfId="237"/>
    <cellStyle name="Calc Units (0)" xfId="238"/>
    <cellStyle name="Calc Units (1)" xfId="239"/>
    <cellStyle name="Calc Units (2)" xfId="240"/>
    <cellStyle name="category" xfId="241"/>
    <cellStyle name="Chi phÝ kh¸c_Book1" xfId="242"/>
    <cellStyle name="Chuẩn 2" xfId="27"/>
    <cellStyle name="Chuẩn 2 2" xfId="45"/>
    <cellStyle name="Chuẩn 2 2 2" xfId="47"/>
    <cellStyle name="Chuẩn 2 3" xfId="49"/>
    <cellStyle name="Chuẩn 2 4" xfId="96"/>
    <cellStyle name="Chuẩn 2 5" xfId="474"/>
    <cellStyle name="Chuẩn 3" xfId="97"/>
    <cellStyle name="Chuẩn 7" xfId="98"/>
    <cellStyle name="Comma  - Style1" xfId="243"/>
    <cellStyle name="Comma  - Style2" xfId="244"/>
    <cellStyle name="Comma  - Style3" xfId="245"/>
    <cellStyle name="Comma  - Style4" xfId="246"/>
    <cellStyle name="Comma  - Style5" xfId="247"/>
    <cellStyle name="Comma  - Style6" xfId="248"/>
    <cellStyle name="Comma  - Style7" xfId="249"/>
    <cellStyle name="Comma  - Style8" xfId="250"/>
    <cellStyle name="Comma [0] 2" xfId="13"/>
    <cellStyle name="Comma [0] 2 2" xfId="17"/>
    <cellStyle name="Comma [0] 2 3" xfId="57"/>
    <cellStyle name="Comma [0] 2 4" xfId="124"/>
    <cellStyle name="Comma [0] 3" xfId="5"/>
    <cellStyle name="Comma [00]" xfId="251"/>
    <cellStyle name="Comma 10" xfId="60"/>
    <cellStyle name="Comma 10 2" xfId="252"/>
    <cellStyle name="Comma 10 3" xfId="128"/>
    <cellStyle name="Comma 11" xfId="83"/>
    <cellStyle name="Comma 11 2" xfId="253"/>
    <cellStyle name="Comma 12" xfId="84"/>
    <cellStyle name="Comma 12 2" xfId="254"/>
    <cellStyle name="Comma 13" xfId="88"/>
    <cellStyle name="Comma 13 2" xfId="468"/>
    <cellStyle name="Comma 14" xfId="92"/>
    <cellStyle name="Comma 15" xfId="471"/>
    <cellStyle name="Comma 2" xfId="7"/>
    <cellStyle name="Comma 2 2" xfId="15"/>
    <cellStyle name="Comma 2 2 2" xfId="63"/>
    <cellStyle name="Comma 2 2 2 2" xfId="255"/>
    <cellStyle name="Comma 2 2 3" xfId="256"/>
    <cellStyle name="Comma 2 2 4" xfId="99"/>
    <cellStyle name="Comma 2 3" xfId="32"/>
    <cellStyle name="Comma 2 3 2" xfId="257"/>
    <cellStyle name="Comma 2 3 3" xfId="100"/>
    <cellStyle name="Comma 2 4" xfId="28"/>
    <cellStyle name="Comma 2 4 2" xfId="258"/>
    <cellStyle name="Comma 2 5" xfId="48"/>
    <cellStyle name="Comma 2 5 2" xfId="259"/>
    <cellStyle name="Comma 2 6" xfId="62"/>
    <cellStyle name="Comma 2 6 2" xfId="260"/>
    <cellStyle name="Comma 2_bao cao cua UBND tinh quy II - 2011" xfId="87"/>
    <cellStyle name="Comma 3" xfId="4"/>
    <cellStyle name="Comma 3 2" xfId="55"/>
    <cellStyle name="Comma 3 2 2" xfId="65"/>
    <cellStyle name="Comma 3 2 2 2" xfId="261"/>
    <cellStyle name="Comma 3 2 2 3" xfId="103"/>
    <cellStyle name="Comma 3 2 3" xfId="95"/>
    <cellStyle name="Comma 3 2 4" xfId="262"/>
    <cellStyle name="Comma 3 2 5" xfId="102"/>
    <cellStyle name="Comma 3 3" xfId="64"/>
    <cellStyle name="Comma 3 3 2" xfId="105"/>
    <cellStyle name="Comma 3 3 3" xfId="104"/>
    <cellStyle name="Comma 3 4" xfId="263"/>
    <cellStyle name="Comma 3 5" xfId="101"/>
    <cellStyle name="Comma 4" xfId="21"/>
    <cellStyle name="Comma 4 2" xfId="107"/>
    <cellStyle name="Comma 4 3" xfId="56"/>
    <cellStyle name="Comma 4 3 2" xfId="264"/>
    <cellStyle name="Comma 4 4" xfId="265"/>
    <cellStyle name="Comma 4 5" xfId="106"/>
    <cellStyle name="Comma 5" xfId="26"/>
    <cellStyle name="Comma 5 2" xfId="54"/>
    <cellStyle name="Comma 6" xfId="40"/>
    <cellStyle name="Comma 6 2" xfId="108"/>
    <cellStyle name="Comma 7" xfId="43"/>
    <cellStyle name="Comma 7 2" xfId="129"/>
    <cellStyle name="Comma 7 3" xfId="109"/>
    <cellStyle name="Comma 8" xfId="53"/>
    <cellStyle name="Comma 8 2" xfId="110"/>
    <cellStyle name="Comma 9" xfId="61"/>
    <cellStyle name="Comma 9 2" xfId="266"/>
    <cellStyle name="Comma 9 3" xfId="126"/>
    <cellStyle name="comma zerodec" xfId="267"/>
    <cellStyle name="Comma0" xfId="268"/>
    <cellStyle name="Copied" xfId="269"/>
    <cellStyle name="Currency [00]" xfId="270"/>
    <cellStyle name="Currency0" xfId="271"/>
    <cellStyle name="Currency1" xfId="272"/>
    <cellStyle name="Date" xfId="273"/>
    <cellStyle name="Date Short" xfId="274"/>
    <cellStyle name="Dấu phảy 2" xfId="35"/>
    <cellStyle name="Dấu phẩy 2" xfId="37"/>
    <cellStyle name="Dấu phảy 2 2" xfId="130"/>
    <cellStyle name="Dấu phẩy 2 2" xfId="59"/>
    <cellStyle name="Dấu phảy 2 3" xfId="111"/>
    <cellStyle name="Dấu phảy 3" xfId="112"/>
    <cellStyle name="Dấu phẩy 3" xfId="38"/>
    <cellStyle name="Dấu phẩy 5" xfId="34"/>
    <cellStyle name="Dấu_phảy" xfId="2" builtinId="3"/>
    <cellStyle name="Dezimal [0]_NEGS" xfId="275"/>
    <cellStyle name="Dezimal_NEGS" xfId="276"/>
    <cellStyle name="Dollar (zero dec)" xfId="277"/>
    <cellStyle name="Dziesi?tny [0]_Invoices2001Slovakia" xfId="278"/>
    <cellStyle name="Dziesi?tny_Invoices2001Slovakia" xfId="279"/>
    <cellStyle name="Dziesietny [0]_Invoices2001Slovakia" xfId="280"/>
    <cellStyle name="Dziesiętny [0]_Invoices2001Slovakia" xfId="281"/>
    <cellStyle name="Dziesietny [0]_Invoices2001Slovakia_Book1" xfId="282"/>
    <cellStyle name="Dziesiętny [0]_Invoices2001Slovakia_Book1" xfId="283"/>
    <cellStyle name="Dziesietny [0]_Invoices2001Slovakia_Book1_Tong hop Cac tuyen(9-1-06)" xfId="284"/>
    <cellStyle name="Dziesiętny [0]_Invoices2001Slovakia_Book1_Tong hop Cac tuyen(9-1-06)" xfId="285"/>
    <cellStyle name="Dziesietny [0]_Invoices2001Slovakia_KL K.C mat duong" xfId="286"/>
    <cellStyle name="Dziesiętny [0]_Invoices2001Slovakia_Nhalamviec VTC(25-1-05)" xfId="287"/>
    <cellStyle name="Dziesietny [0]_Invoices2001Slovakia_TDT KHANH HOA" xfId="288"/>
    <cellStyle name="Dziesiętny [0]_Invoices2001Slovakia_TDT KHANH HOA" xfId="289"/>
    <cellStyle name="Dziesietny [0]_Invoices2001Slovakia_TDT KHANH HOA_Tong hop Cac tuyen(9-1-06)" xfId="290"/>
    <cellStyle name="Dziesiętny [0]_Invoices2001Slovakia_TDT KHANH HOA_Tong hop Cac tuyen(9-1-06)" xfId="291"/>
    <cellStyle name="Dziesietny [0]_Invoices2001Slovakia_TDT quangngai" xfId="292"/>
    <cellStyle name="Dziesiętny [0]_Invoices2001Slovakia_TDT quangngai" xfId="293"/>
    <cellStyle name="Dziesietny [0]_Invoices2001Slovakia_Tong hop Cac tuyen(9-1-06)" xfId="294"/>
    <cellStyle name="Dziesietny_Invoices2001Slovakia" xfId="295"/>
    <cellStyle name="Dziesiętny_Invoices2001Slovakia" xfId="296"/>
    <cellStyle name="Dziesietny_Invoices2001Slovakia_Book1" xfId="297"/>
    <cellStyle name="Dziesiętny_Invoices2001Slovakia_Book1" xfId="298"/>
    <cellStyle name="Dziesietny_Invoices2001Slovakia_Book1_Tong hop Cac tuyen(9-1-06)" xfId="299"/>
    <cellStyle name="Dziesiętny_Invoices2001Slovakia_Book1_Tong hop Cac tuyen(9-1-06)" xfId="300"/>
    <cellStyle name="Dziesietny_Invoices2001Slovakia_KL K.C mat duong" xfId="301"/>
    <cellStyle name="Dziesiętny_Invoices2001Slovakia_Nhalamviec VTC(25-1-05)" xfId="302"/>
    <cellStyle name="Dziesietny_Invoices2001Slovakia_TDT KHANH HOA" xfId="303"/>
    <cellStyle name="Dziesiętny_Invoices2001Slovakia_TDT KHANH HOA" xfId="304"/>
    <cellStyle name="Dziesietny_Invoices2001Slovakia_TDT KHANH HOA_Tong hop Cac tuyen(9-1-06)" xfId="305"/>
    <cellStyle name="Dziesiętny_Invoices2001Slovakia_TDT KHANH HOA_Tong hop Cac tuyen(9-1-06)" xfId="306"/>
    <cellStyle name="Dziesietny_Invoices2001Slovakia_TDT quangngai" xfId="307"/>
    <cellStyle name="Dziesiętny_Invoices2001Slovakia_TDT quangngai" xfId="308"/>
    <cellStyle name="Dziesietny_Invoices2001Slovakia_Tong hop Cac tuyen(9-1-06)" xfId="309"/>
    <cellStyle name="Enter Currency (0)" xfId="310"/>
    <cellStyle name="Enter Currency (2)" xfId="311"/>
    <cellStyle name="Enter Units (0)" xfId="312"/>
    <cellStyle name="Enter Units (1)" xfId="313"/>
    <cellStyle name="Enter Units (2)" xfId="314"/>
    <cellStyle name="Entered" xfId="315"/>
    <cellStyle name="Excel Built-in Normal" xfId="316"/>
    <cellStyle name="Fixed" xfId="317"/>
    <cellStyle name="Grey" xfId="318"/>
    <cellStyle name="HAI" xfId="319"/>
    <cellStyle name="Head 1" xfId="320"/>
    <cellStyle name="HEADER" xfId="321"/>
    <cellStyle name="Header1" xfId="322"/>
    <cellStyle name="Header2" xfId="323"/>
    <cellStyle name="HEADING1" xfId="324"/>
    <cellStyle name="HEADING2" xfId="325"/>
    <cellStyle name="HEADINGS" xfId="326"/>
    <cellStyle name="HEADINGSTOP" xfId="327"/>
    <cellStyle name="headoption" xfId="328"/>
    <cellStyle name="Hoa-Scholl" xfId="329"/>
    <cellStyle name="Hyperlink 2" xfId="11"/>
    <cellStyle name="i·0" xfId="330"/>
    <cellStyle name="Input [yellow]" xfId="331"/>
    <cellStyle name="khanh" xfId="332"/>
    <cellStyle name="Ledger 17 x 11 in" xfId="333"/>
    <cellStyle name="Link Currency (0)" xfId="334"/>
    <cellStyle name="Link Currency (2)" xfId="335"/>
    <cellStyle name="Link Units (0)" xfId="336"/>
    <cellStyle name="Link Units (1)" xfId="337"/>
    <cellStyle name="Link Units (2)" xfId="338"/>
    <cellStyle name="Millares [0]_Well Timing" xfId="339"/>
    <cellStyle name="Millares_Well Timing" xfId="340"/>
    <cellStyle name="Milliers [0]_      " xfId="341"/>
    <cellStyle name="Milliers_      " xfId="342"/>
    <cellStyle name="Model" xfId="343"/>
    <cellStyle name="moi" xfId="344"/>
    <cellStyle name="Moneda [0]_Well Timing" xfId="345"/>
    <cellStyle name="Moneda_Well Timing" xfId="346"/>
    <cellStyle name="Monétaire [0]_      " xfId="347"/>
    <cellStyle name="Monétaire_      " xfId="348"/>
    <cellStyle name="n" xfId="349"/>
    <cellStyle name="New Times Roman" xfId="350"/>
    <cellStyle name="no dec" xfId="351"/>
    <cellStyle name="Normal - Style1" xfId="113"/>
    <cellStyle name="Normal 10" xfId="8"/>
    <cellStyle name="Normal 10 2" xfId="131"/>
    <cellStyle name="Normal 10 3" xfId="352"/>
    <cellStyle name="Normal 11" xfId="23"/>
    <cellStyle name="Normal 11 2" xfId="127"/>
    <cellStyle name="Normal 12" xfId="24"/>
    <cellStyle name="Normal 12 2" xfId="132"/>
    <cellStyle name="Normal 13" xfId="25"/>
    <cellStyle name="Normal 13 2" xfId="133"/>
    <cellStyle name="Normal 14" xfId="39"/>
    <cellStyle name="Normal 14 2" xfId="134"/>
    <cellStyle name="Normal 15" xfId="52"/>
    <cellStyle name="Normal 15 2" xfId="135"/>
    <cellStyle name="Normal 16" xfId="136"/>
    <cellStyle name="Normal 17" xfId="137"/>
    <cellStyle name="Normal 18" xfId="353"/>
    <cellStyle name="Normal 19" xfId="354"/>
    <cellStyle name="Normal 2" xfId="1"/>
    <cellStyle name="Normal 2 2" xfId="16"/>
    <cellStyle name="Normal 2 2 2" xfId="51"/>
    <cellStyle name="Normal 2 2 2 2" xfId="355"/>
    <cellStyle name="Normal 2 2 2 3" xfId="114"/>
    <cellStyle name="Normal 2 2 3" xfId="66"/>
    <cellStyle name="Normal 2 2 3 2" xfId="158"/>
    <cellStyle name="Normal 2 2 3 3" xfId="125"/>
    <cellStyle name="Normal 2 2 4" xfId="90"/>
    <cellStyle name="Normal 2 3" xfId="12"/>
    <cellStyle name="Normal 2 3 2" xfId="81"/>
    <cellStyle name="Normal 2 3 2 2" xfId="356"/>
    <cellStyle name="Normal 2 3 2 3" xfId="115"/>
    <cellStyle name="Normal 2 3 3" xfId="89"/>
    <cellStyle name="Normal 2 3 4" xfId="357"/>
    <cellStyle name="Normal 2 3 5" xfId="80"/>
    <cellStyle name="Normal 2 4" xfId="29"/>
    <cellStyle name="Normal 2 4 2" xfId="358"/>
    <cellStyle name="Normal 2 5" xfId="31"/>
    <cellStyle name="Normal 2 5 2" xfId="117"/>
    <cellStyle name="Normal 2 5 3" xfId="118"/>
    <cellStyle name="Normal 2 5 4" xfId="359"/>
    <cellStyle name="Normal 2 5 5" xfId="116"/>
    <cellStyle name="Normal 2 6" xfId="44"/>
    <cellStyle name="Normal 2 6 2" xfId="119"/>
    <cellStyle name="Normal 2 7" xfId="46"/>
    <cellStyle name="Normal 2 8" xfId="91"/>
    <cellStyle name="Normal 2 9" xfId="473"/>
    <cellStyle name="Normal 20" xfId="360"/>
    <cellStyle name="Normal 21" xfId="470"/>
    <cellStyle name="Normal 22" xfId="472"/>
    <cellStyle name="Normal 28" xfId="138"/>
    <cellStyle name="Normal 3" xfId="14"/>
    <cellStyle name="Normal 3 2" xfId="67"/>
    <cellStyle name="Normal 3 2 2" xfId="82"/>
    <cellStyle name="Normal 3 2 2 2" xfId="85"/>
    <cellStyle name="Normal 3 2 2 3" xfId="361"/>
    <cellStyle name="Normal 3 3" xfId="78"/>
    <cellStyle name="Normal 3 3 2" xfId="157"/>
    <cellStyle name="Normal 30" xfId="139"/>
    <cellStyle name="Normal 32" xfId="140"/>
    <cellStyle name="Normal 33" xfId="141"/>
    <cellStyle name="Normal 35" xfId="142"/>
    <cellStyle name="Normal 37" xfId="143"/>
    <cellStyle name="Normal 39" xfId="144"/>
    <cellStyle name="Normal 4" xfId="9"/>
    <cellStyle name="Normal 4 2" xfId="69"/>
    <cellStyle name="Normal 4 2 2" xfId="120"/>
    <cellStyle name="Normal 4 3" xfId="68"/>
    <cellStyle name="Normal 4 3 2" xfId="362"/>
    <cellStyle name="Normal 41" xfId="145"/>
    <cellStyle name="Normal 43" xfId="146"/>
    <cellStyle name="Normal 45" xfId="147"/>
    <cellStyle name="Normal 47" xfId="148"/>
    <cellStyle name="Normal 49" xfId="149"/>
    <cellStyle name="Normal 5" xfId="3"/>
    <cellStyle name="Normal 5 2" xfId="30"/>
    <cellStyle name="Normal 5 2 2" xfId="71"/>
    <cellStyle name="Normal 5 2 2 2" xfId="363"/>
    <cellStyle name="Normal 5 3" xfId="70"/>
    <cellStyle name="Normal 5 3 2" xfId="364"/>
    <cellStyle name="Normal 51" xfId="150"/>
    <cellStyle name="Normal 53" xfId="151"/>
    <cellStyle name="Normal 55" xfId="152"/>
    <cellStyle name="Normal 57" xfId="153"/>
    <cellStyle name="Normal 59" xfId="154"/>
    <cellStyle name="Normal 6" xfId="18"/>
    <cellStyle name="Normal 6 2" xfId="72"/>
    <cellStyle name="Normal 6 2 2" xfId="94"/>
    <cellStyle name="Normal 6 3" xfId="79"/>
    <cellStyle name="Normal 6 4" xfId="93"/>
    <cellStyle name="Normal 61" xfId="155"/>
    <cellStyle name="Normal 7" xfId="19"/>
    <cellStyle name="Normal 7 2" xfId="121"/>
    <cellStyle name="Normal 8" xfId="20"/>
    <cellStyle name="Normal 8 2" xfId="365"/>
    <cellStyle name="Normal 8 3" xfId="122"/>
    <cellStyle name="Normal 9" xfId="22"/>
    <cellStyle name="Normal 9 2" xfId="156"/>
    <cellStyle name="Normal 9 3" xfId="123"/>
    <cellStyle name="Normal_Sheet3" xfId="469"/>
    <cellStyle name="Normal1" xfId="366"/>
    <cellStyle name="Normalny_Cennik obowiazuje od 06-08-2001 r (1)" xfId="367"/>
    <cellStyle name="oft Excel]_x000d__x000a_Comment=open=/f ‚ðw’è‚·‚é‚ÆAƒ†[ƒU[’è‹`ŠÖ”‚ðŠÖ”“\‚è•t‚¯‚Ìˆê——‚É“o˜^‚·‚é‚±‚Æ‚ª‚Å‚«‚Ü‚·B_x000d__x000a_Maximized" xfId="368"/>
    <cellStyle name="oft Excel]_x000d__x000a_Comment=open=/f ‚ðŽw’è‚·‚é‚ÆAƒ†[ƒU[’è‹`ŠÖ”‚ðŠÖ”“\‚è•t‚¯‚Ìˆê——‚É“o˜^‚·‚é‚±‚Æ‚ª‚Å‚«‚Ü‚·B_x000d__x000a_Maximized" xfId="369"/>
    <cellStyle name="per.style" xfId="370"/>
    <cellStyle name="Percent [0]" xfId="371"/>
    <cellStyle name="Percent [00]" xfId="372"/>
    <cellStyle name="Percent [2]" xfId="373"/>
    <cellStyle name="Percent 10" xfId="374"/>
    <cellStyle name="Percent 2" xfId="10"/>
    <cellStyle name="Percent 2 2" xfId="74"/>
    <cellStyle name="Percent 2 3" xfId="73"/>
    <cellStyle name="Percent 3" xfId="41"/>
    <cellStyle name="Percent 3 2" xfId="75"/>
    <cellStyle name="Percent 4" xfId="42"/>
    <cellStyle name="Percent 4 2" xfId="77"/>
    <cellStyle name="Percent 4 3" xfId="76"/>
    <cellStyle name="PERCENTAGE" xfId="375"/>
    <cellStyle name="PrePop Currency (0)" xfId="376"/>
    <cellStyle name="PrePop Currency (2)" xfId="377"/>
    <cellStyle name="PrePop Units (0)" xfId="378"/>
    <cellStyle name="PrePop Units (1)" xfId="379"/>
    <cellStyle name="PrePop Units (2)" xfId="380"/>
    <cellStyle name="pricing" xfId="381"/>
    <cellStyle name="PSChar" xfId="382"/>
    <cellStyle name="PSHeading" xfId="383"/>
    <cellStyle name="regstoresfromspecstores" xfId="384"/>
    <cellStyle name="RevList" xfId="385"/>
    <cellStyle name="S—_x0008_" xfId="386"/>
    <cellStyle name="SAPBEXaggData" xfId="387"/>
    <cellStyle name="SAPBEXaggDataEmph" xfId="388"/>
    <cellStyle name="SAPBEXaggItem" xfId="389"/>
    <cellStyle name="SAPBEXchaText" xfId="390"/>
    <cellStyle name="SAPBEXexcBad7" xfId="391"/>
    <cellStyle name="SAPBEXexcBad8" xfId="392"/>
    <cellStyle name="SAPBEXexcBad9" xfId="393"/>
    <cellStyle name="SAPBEXexcCritical4" xfId="394"/>
    <cellStyle name="SAPBEXexcCritical5" xfId="395"/>
    <cellStyle name="SAPBEXexcCritical6" xfId="396"/>
    <cellStyle name="SAPBEXexcGood1" xfId="397"/>
    <cellStyle name="SAPBEXexcGood2" xfId="398"/>
    <cellStyle name="SAPBEXexcGood3" xfId="399"/>
    <cellStyle name="SAPBEXfilterDrill" xfId="400"/>
    <cellStyle name="SAPBEXfilterItem" xfId="401"/>
    <cellStyle name="SAPBEXfilterText" xfId="402"/>
    <cellStyle name="SAPBEXformats" xfId="403"/>
    <cellStyle name="SAPBEXheaderItem" xfId="404"/>
    <cellStyle name="SAPBEXheaderText" xfId="405"/>
    <cellStyle name="SAPBEXresData" xfId="406"/>
    <cellStyle name="SAPBEXresDataEmph" xfId="407"/>
    <cellStyle name="SAPBEXresItem" xfId="408"/>
    <cellStyle name="SAPBEXstdData" xfId="409"/>
    <cellStyle name="SAPBEXstdDataEmph" xfId="410"/>
    <cellStyle name="SAPBEXstdItem" xfId="411"/>
    <cellStyle name="SAPBEXtitle" xfId="412"/>
    <cellStyle name="SAPBEXundefined" xfId="413"/>
    <cellStyle name="SHADEDSTORES" xfId="414"/>
    <cellStyle name="specstores" xfId="415"/>
    <cellStyle name="Standard" xfId="416"/>
    <cellStyle name="Style 1" xfId="417"/>
    <cellStyle name="Style 2" xfId="418"/>
    <cellStyle name="Style 3" xfId="419"/>
    <cellStyle name="Style 4" xfId="420"/>
    <cellStyle name="Style 5" xfId="421"/>
    <cellStyle name="subhead" xfId="422"/>
    <cellStyle name="Subtotal" xfId="423"/>
    <cellStyle name="T" xfId="424"/>
    <cellStyle name="T_50-BB Vung tau 2011" xfId="425"/>
    <cellStyle name="T_50-BB Vung tau 2011_120907 Thu tang them 4500" xfId="426"/>
    <cellStyle name="Text Indent A" xfId="427"/>
    <cellStyle name="Text Indent B" xfId="428"/>
    <cellStyle name="Text Indent C" xfId="429"/>
    <cellStyle name="th" xfId="430"/>
    <cellStyle name="þ_x001d_ðK_x000c_Fý_x001b__x000d_9ýU_x0001_Ð_x0008_¦)_x0007__x0001__x0001_" xfId="431"/>
    <cellStyle name="Thuyet minh" xfId="432"/>
    <cellStyle name="viet" xfId="433"/>
    <cellStyle name="viet2" xfId="434"/>
    <cellStyle name="Vn Time 13" xfId="435"/>
    <cellStyle name="Vn Time 14" xfId="436"/>
    <cellStyle name="vnbo" xfId="437"/>
    <cellStyle name="vnhead1" xfId="438"/>
    <cellStyle name="vnhead2" xfId="439"/>
    <cellStyle name="vnhead3" xfId="440"/>
    <cellStyle name="vnhead4" xfId="441"/>
    <cellStyle name="vntxt1" xfId="442"/>
    <cellStyle name="vntxt2" xfId="443"/>
    <cellStyle name="Walutowy [0]_Invoices2001Slovakia" xfId="444"/>
    <cellStyle name="Walutowy_Invoices2001Slovakia" xfId="445"/>
    <cellStyle name="xuan" xfId="446"/>
    <cellStyle name=" [0.00]_ Att. 1- Cover" xfId="447"/>
    <cellStyle name="_ Att. 1- Cover" xfId="448"/>
    <cellStyle name="?_ Att. 1- Cover" xfId="449"/>
    <cellStyle name="똿뗦먛귟 [0.00]_PRODUCT DETAIL Q1" xfId="450"/>
    <cellStyle name="똿뗦먛귟_PRODUCT DETAIL Q1" xfId="451"/>
    <cellStyle name="믅됞 [0.00]_PRODUCT DETAIL Q1" xfId="452"/>
    <cellStyle name="믅됞_PRODUCT DETAIL Q1" xfId="453"/>
    <cellStyle name="백분율_95" xfId="454"/>
    <cellStyle name="뷭?_BOOKSHIP" xfId="455"/>
    <cellStyle name="콤마 [0]_1202" xfId="456"/>
    <cellStyle name="콤마_1202" xfId="457"/>
    <cellStyle name="통화 [0]_1202" xfId="458"/>
    <cellStyle name="통화_1202" xfId="459"/>
    <cellStyle name="표준_(정보부문)월별인원계획" xfId="460"/>
    <cellStyle name="一般_00Q3902REV.1" xfId="461"/>
    <cellStyle name="千分位[0]_00Q3902REV.1" xfId="462"/>
    <cellStyle name="千分位_00Q3902REV.1" xfId="463"/>
    <cellStyle name="標準_BOQ-08" xfId="464"/>
    <cellStyle name="貨幣 [0]_00Q3902REV.1" xfId="465"/>
    <cellStyle name="貨幣[0]_BRE" xfId="466"/>
    <cellStyle name="貨幣_00Q3902REV.1" xfId="4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192;NG%20ANH/PH&#194;N%20B&#7892;%20D&#7920;%20TO&#193;N/Ph&#226;n%20b&#7893;%20d&#7921;%20to&#225;n%20CCTL%202024/BI&#7874;U%20T&#7892;NG%20H&#7906;P%20PH&#194;N%20B&#7892;%20D&#7920;%20TO&#193;N%20TI&#7872;N%20L&#431;&#416;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sheetName val="1. Lâm nghiệp bền vững"/>
      <sheetName val="Biểu 01a"/>
      <sheetName val="Biểu 01b"/>
      <sheetName val="01. HUYỆN"/>
      <sheetName val="02. XÃ, THỊ TRẤN"/>
      <sheetName val="03. TGBC NĐ 29.2023"/>
      <sheetName val="Mục 6"/>
      <sheetName val="Mục 8"/>
    </sheetNames>
    <sheetDataSet>
      <sheetData sheetId="0" refreshError="1"/>
      <sheetData sheetId="1" refreshError="1"/>
      <sheetData sheetId="2" refreshError="1"/>
      <sheetData sheetId="3" refreshError="1"/>
      <sheetData sheetId="4">
        <row r="33">
          <cell r="J33">
            <v>0</v>
          </cell>
          <cell r="L33">
            <v>8834</v>
          </cell>
        </row>
      </sheetData>
      <sheetData sheetId="5"/>
      <sheetData sheetId="6" refreshError="1"/>
      <sheetData sheetId="7" refreshError="1"/>
      <sheetData sheetId="8"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13"/>
  <sheetViews>
    <sheetView zoomScale="85" zoomScaleNormal="85" zoomScaleSheetLayoutView="100" workbookViewId="0">
      <selection activeCell="D9" sqref="D9:D16"/>
    </sheetView>
  </sheetViews>
  <sheetFormatPr defaultColWidth="10" defaultRowHeight="15.5"/>
  <cols>
    <col min="1" max="1" width="5.25" style="3" bestFit="1" customWidth="1"/>
    <col min="2" max="2" width="75.75" style="1" customWidth="1"/>
    <col min="3" max="3" width="17.75" style="2" customWidth="1"/>
    <col min="4" max="5" width="26.83203125" style="1" customWidth="1"/>
    <col min="6" max="6" width="40.4140625" style="1" hidden="1" customWidth="1"/>
    <col min="7" max="7" width="24.25" style="1" hidden="1" customWidth="1"/>
    <col min="8" max="8" width="22.58203125" style="1" hidden="1" customWidth="1"/>
    <col min="9" max="9" width="20.4140625" style="1" hidden="1" customWidth="1"/>
    <col min="10" max="16384" width="10" style="1"/>
  </cols>
  <sheetData>
    <row r="1" spans="1:7">
      <c r="C1" s="9"/>
    </row>
    <row r="2" spans="1:7" ht="56.25" customHeight="1">
      <c r="A2" s="297" t="s">
        <v>293</v>
      </c>
      <c r="B2" s="297"/>
      <c r="C2" s="297"/>
      <c r="D2" s="297"/>
      <c r="E2" s="129"/>
    </row>
    <row r="3" spans="1:7" ht="22.5" customHeight="1">
      <c r="A3" s="298" t="s">
        <v>321</v>
      </c>
      <c r="B3" s="298"/>
      <c r="C3" s="298"/>
      <c r="D3" s="298"/>
      <c r="E3" s="130"/>
    </row>
    <row r="4" spans="1:7" ht="18">
      <c r="A4" s="8"/>
      <c r="B4" s="7"/>
      <c r="C4" s="299" t="s">
        <v>13</v>
      </c>
      <c r="D4" s="299"/>
      <c r="E4" s="133"/>
    </row>
    <row r="5" spans="1:7" ht="30" customHeight="1">
      <c r="A5" s="5" t="s">
        <v>6</v>
      </c>
      <c r="B5" s="5" t="s">
        <v>11</v>
      </c>
      <c r="C5" s="6" t="s">
        <v>10</v>
      </c>
      <c r="D5" s="5" t="s">
        <v>0</v>
      </c>
      <c r="E5" s="134"/>
    </row>
    <row r="6" spans="1:7" ht="21.75" customHeight="1">
      <c r="A6" s="127">
        <v>1</v>
      </c>
      <c r="B6" s="127">
        <v>2</v>
      </c>
      <c r="C6" s="128">
        <v>3</v>
      </c>
      <c r="D6" s="127">
        <v>4</v>
      </c>
      <c r="E6" s="135"/>
    </row>
    <row r="7" spans="1:7" ht="25.5" customHeight="1">
      <c r="A7" s="5"/>
      <c r="B7" s="5" t="s">
        <v>7</v>
      </c>
      <c r="C7" s="19">
        <f>C8+C35+C40+C87+C17</f>
        <v>23438309474</v>
      </c>
      <c r="D7" s="5"/>
      <c r="E7" s="134"/>
      <c r="G7" s="10"/>
    </row>
    <row r="8" spans="1:7" ht="25.5" customHeight="1">
      <c r="A8" s="213" t="s">
        <v>1</v>
      </c>
      <c r="B8" s="212" t="s">
        <v>242</v>
      </c>
      <c r="C8" s="214">
        <f>C9+C11+C13+C15</f>
        <v>492555000</v>
      </c>
      <c r="D8" s="213"/>
      <c r="E8" s="134"/>
      <c r="G8" s="10"/>
    </row>
    <row r="9" spans="1:7" ht="25.5" customHeight="1">
      <c r="A9" s="92">
        <v>1</v>
      </c>
      <c r="B9" s="215" t="s">
        <v>78</v>
      </c>
      <c r="C9" s="216">
        <f>C10</f>
        <v>90235000</v>
      </c>
      <c r="D9" s="306" t="s">
        <v>267</v>
      </c>
      <c r="E9" s="134"/>
      <c r="G9" s="10"/>
    </row>
    <row r="10" spans="1:7" ht="25.5" customHeight="1">
      <c r="A10" s="82" t="s">
        <v>8</v>
      </c>
      <c r="B10" s="211" t="s">
        <v>306</v>
      </c>
      <c r="C10" s="220">
        <f>'05- DT thẩm định'!I9</f>
        <v>90235000</v>
      </c>
      <c r="D10" s="304"/>
      <c r="E10" s="134"/>
      <c r="G10" s="10"/>
    </row>
    <row r="11" spans="1:7" ht="25.5" customHeight="1">
      <c r="A11" s="217">
        <v>2</v>
      </c>
      <c r="B11" s="210" t="s">
        <v>297</v>
      </c>
      <c r="C11" s="218">
        <f>C12</f>
        <v>291920000</v>
      </c>
      <c r="D11" s="304"/>
      <c r="E11" s="134"/>
      <c r="G11" s="10"/>
    </row>
    <row r="12" spans="1:7" ht="25.5" customHeight="1">
      <c r="A12" s="82" t="s">
        <v>8</v>
      </c>
      <c r="B12" s="211" t="s">
        <v>303</v>
      </c>
      <c r="C12" s="220">
        <f>'05- DT thẩm định'!I27</f>
        <v>291920000</v>
      </c>
      <c r="D12" s="304"/>
      <c r="E12" s="134"/>
      <c r="G12" s="10"/>
    </row>
    <row r="13" spans="1:7" ht="25.5" customHeight="1">
      <c r="A13" s="217">
        <v>3</v>
      </c>
      <c r="B13" s="210" t="s">
        <v>241</v>
      </c>
      <c r="C13" s="218">
        <f>C14</f>
        <v>102300000</v>
      </c>
      <c r="D13" s="304"/>
      <c r="E13" s="134"/>
      <c r="G13" s="10"/>
    </row>
    <row r="14" spans="1:7" ht="25.5" customHeight="1">
      <c r="A14" s="82" t="s">
        <v>8</v>
      </c>
      <c r="B14" s="12" t="s">
        <v>187</v>
      </c>
      <c r="C14" s="220">
        <f>'05- DT thẩm định'!I50</f>
        <v>102300000</v>
      </c>
      <c r="D14" s="304"/>
      <c r="E14" s="134"/>
      <c r="G14" s="10"/>
    </row>
    <row r="15" spans="1:7" ht="25.5" customHeight="1">
      <c r="A15" s="276">
        <v>4</v>
      </c>
      <c r="B15" s="94" t="s">
        <v>289</v>
      </c>
      <c r="C15" s="218">
        <f>C16</f>
        <v>8100000</v>
      </c>
      <c r="D15" s="304"/>
      <c r="E15" s="134"/>
      <c r="G15" s="10"/>
    </row>
    <row r="16" spans="1:7" ht="25.5" customHeight="1">
      <c r="A16" s="153" t="s">
        <v>8</v>
      </c>
      <c r="B16" s="154" t="s">
        <v>278</v>
      </c>
      <c r="C16" s="219">
        <f>'05- DT thẩm định'!I76</f>
        <v>8100000</v>
      </c>
      <c r="D16" s="305"/>
      <c r="E16" s="134"/>
      <c r="G16" s="10"/>
    </row>
    <row r="17" spans="1:7" ht="46.5">
      <c r="A17" s="233" t="s">
        <v>2</v>
      </c>
      <c r="B17" s="141" t="s">
        <v>276</v>
      </c>
      <c r="C17" s="19">
        <f>SUM(C18:C34)</f>
        <v>7126026000</v>
      </c>
      <c r="D17" s="127" t="s">
        <v>295</v>
      </c>
      <c r="E17" s="134"/>
      <c r="G17" s="10"/>
    </row>
    <row r="18" spans="1:7" ht="25.5" customHeight="1">
      <c r="A18" s="234">
        <v>1</v>
      </c>
      <c r="B18" s="236" t="s">
        <v>35</v>
      </c>
      <c r="C18" s="235">
        <v>439394000</v>
      </c>
      <c r="D18" s="306" t="s">
        <v>296</v>
      </c>
      <c r="E18" s="134"/>
      <c r="G18" s="10"/>
    </row>
    <row r="19" spans="1:7" ht="25.5" customHeight="1">
      <c r="A19" s="82">
        <v>2</v>
      </c>
      <c r="B19" s="237" t="s">
        <v>30</v>
      </c>
      <c r="C19" s="220">
        <v>391894000</v>
      </c>
      <c r="D19" s="304"/>
      <c r="E19" s="134"/>
      <c r="G19" s="10"/>
    </row>
    <row r="20" spans="1:7" ht="25.5" customHeight="1">
      <c r="A20" s="82">
        <v>3</v>
      </c>
      <c r="B20" s="237" t="s">
        <v>37</v>
      </c>
      <c r="C20" s="220">
        <v>285456000</v>
      </c>
      <c r="D20" s="304"/>
      <c r="E20" s="134"/>
      <c r="G20" s="10"/>
    </row>
    <row r="21" spans="1:7" ht="25.5" customHeight="1">
      <c r="A21" s="82">
        <v>4</v>
      </c>
      <c r="B21" s="237" t="s">
        <v>32</v>
      </c>
      <c r="C21" s="220">
        <v>120308000</v>
      </c>
      <c r="D21" s="304"/>
      <c r="E21" s="134"/>
      <c r="G21" s="10"/>
    </row>
    <row r="22" spans="1:7" ht="25.5" customHeight="1">
      <c r="A22" s="82">
        <v>5</v>
      </c>
      <c r="B22" s="237" t="s">
        <v>44</v>
      </c>
      <c r="C22" s="220">
        <v>157738000</v>
      </c>
      <c r="D22" s="304"/>
      <c r="E22" s="134"/>
      <c r="G22" s="10"/>
    </row>
    <row r="23" spans="1:7" ht="25.5" customHeight="1">
      <c r="A23" s="82">
        <v>6</v>
      </c>
      <c r="B23" s="238" t="s">
        <v>33</v>
      </c>
      <c r="C23" s="220">
        <v>994954000</v>
      </c>
      <c r="D23" s="304"/>
      <c r="E23" s="134"/>
      <c r="G23" s="10"/>
    </row>
    <row r="24" spans="1:7" ht="25.5" customHeight="1">
      <c r="A24" s="82">
        <v>7</v>
      </c>
      <c r="B24" s="237" t="s">
        <v>34</v>
      </c>
      <c r="C24" s="220">
        <v>73340000</v>
      </c>
      <c r="D24" s="304"/>
      <c r="E24" s="134"/>
      <c r="G24" s="10"/>
    </row>
    <row r="25" spans="1:7" ht="25.5" customHeight="1">
      <c r="A25" s="82">
        <v>8</v>
      </c>
      <c r="B25" s="237" t="s">
        <v>29</v>
      </c>
      <c r="C25" s="220">
        <v>242820000</v>
      </c>
      <c r="D25" s="304"/>
      <c r="E25" s="134"/>
      <c r="G25" s="10"/>
    </row>
    <row r="26" spans="1:7" ht="25.5" customHeight="1">
      <c r="A26" s="82">
        <v>9</v>
      </c>
      <c r="B26" s="237" t="s">
        <v>39</v>
      </c>
      <c r="C26" s="220">
        <v>127300000</v>
      </c>
      <c r="D26" s="304"/>
      <c r="E26" s="134"/>
      <c r="G26" s="10"/>
    </row>
    <row r="27" spans="1:7" ht="25.5" customHeight="1">
      <c r="A27" s="82">
        <v>10</v>
      </c>
      <c r="B27" s="237" t="s">
        <v>41</v>
      </c>
      <c r="C27" s="220">
        <v>1526118000</v>
      </c>
      <c r="D27" s="304"/>
      <c r="E27" s="134"/>
      <c r="G27" s="10"/>
    </row>
    <row r="28" spans="1:7" ht="25.5" customHeight="1">
      <c r="A28" s="82">
        <v>11</v>
      </c>
      <c r="B28" s="237" t="s">
        <v>36</v>
      </c>
      <c r="C28" s="220">
        <v>525122000</v>
      </c>
      <c r="D28" s="304"/>
      <c r="E28" s="134"/>
      <c r="F28" s="2"/>
      <c r="G28" s="10"/>
    </row>
    <row r="29" spans="1:7" ht="25.5" customHeight="1">
      <c r="A29" s="82">
        <v>12</v>
      </c>
      <c r="B29" s="237" t="s">
        <v>43</v>
      </c>
      <c r="C29" s="220">
        <v>840598000</v>
      </c>
      <c r="D29" s="304"/>
      <c r="E29" s="134"/>
      <c r="G29" s="10"/>
    </row>
    <row r="30" spans="1:7" ht="25.5" customHeight="1">
      <c r="A30" s="82">
        <v>13</v>
      </c>
      <c r="B30" s="237" t="s">
        <v>40</v>
      </c>
      <c r="C30" s="220">
        <v>699808000</v>
      </c>
      <c r="D30" s="304"/>
      <c r="E30" s="134"/>
      <c r="G30" s="10"/>
    </row>
    <row r="31" spans="1:7" ht="25.5" customHeight="1">
      <c r="A31" s="82">
        <v>14</v>
      </c>
      <c r="B31" s="237" t="s">
        <v>38</v>
      </c>
      <c r="C31" s="220">
        <v>254068000</v>
      </c>
      <c r="D31" s="304"/>
      <c r="E31" s="134"/>
      <c r="G31" s="10"/>
    </row>
    <row r="32" spans="1:7" ht="25.5" customHeight="1">
      <c r="A32" s="82">
        <v>15</v>
      </c>
      <c r="B32" s="237" t="s">
        <v>45</v>
      </c>
      <c r="C32" s="220">
        <v>120954000</v>
      </c>
      <c r="D32" s="304"/>
      <c r="E32" s="134"/>
      <c r="G32" s="10"/>
    </row>
    <row r="33" spans="1:78" ht="25.5" customHeight="1">
      <c r="A33" s="82">
        <v>16</v>
      </c>
      <c r="B33" s="237" t="s">
        <v>31</v>
      </c>
      <c r="C33" s="220">
        <v>247570000</v>
      </c>
      <c r="D33" s="304"/>
      <c r="E33" s="134"/>
      <c r="G33" s="10"/>
    </row>
    <row r="34" spans="1:78" ht="25.5" customHeight="1">
      <c r="A34" s="153">
        <v>17</v>
      </c>
      <c r="B34" s="239" t="s">
        <v>42</v>
      </c>
      <c r="C34" s="219">
        <v>78584000</v>
      </c>
      <c r="D34" s="305"/>
      <c r="E34" s="134"/>
      <c r="G34" s="10"/>
    </row>
    <row r="35" spans="1:78" s="14" customFormat="1" ht="46.5">
      <c r="A35" s="5" t="s">
        <v>3</v>
      </c>
      <c r="B35" s="141" t="s">
        <v>96</v>
      </c>
      <c r="C35" s="142">
        <f>C36+C38</f>
        <v>297243000</v>
      </c>
      <c r="D35" s="127" t="s">
        <v>319</v>
      </c>
      <c r="E35" s="135"/>
      <c r="F35" s="10"/>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row>
    <row r="36" spans="1:78" s="4" customFormat="1" ht="24" customHeight="1">
      <c r="A36" s="89">
        <v>1</v>
      </c>
      <c r="B36" s="152" t="s">
        <v>44</v>
      </c>
      <c r="C36" s="91">
        <f>C37</f>
        <v>131895000</v>
      </c>
      <c r="D36" s="300" t="s">
        <v>294</v>
      </c>
      <c r="E36" s="136"/>
      <c r="F36" s="1"/>
      <c r="G36" s="13"/>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row>
    <row r="37" spans="1:78" s="4" customFormat="1" ht="24" customHeight="1">
      <c r="A37" s="82" t="s">
        <v>8</v>
      </c>
      <c r="B37" s="12" t="s">
        <v>98</v>
      </c>
      <c r="C37" s="17">
        <v>131895000</v>
      </c>
      <c r="D37" s="301"/>
      <c r="E37" s="136"/>
      <c r="F37" s="1"/>
      <c r="G37" s="13"/>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row>
    <row r="38" spans="1:78" s="4" customFormat="1" ht="24" customHeight="1">
      <c r="A38" s="20">
        <v>2</v>
      </c>
      <c r="B38" s="94" t="s">
        <v>101</v>
      </c>
      <c r="C38" s="21">
        <f>C39</f>
        <v>165348000</v>
      </c>
      <c r="D38" s="301"/>
      <c r="E38" s="136"/>
      <c r="F38" s="1"/>
      <c r="G38" s="13"/>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row>
    <row r="39" spans="1:78" s="4" customFormat="1" ht="24" customHeight="1">
      <c r="A39" s="153" t="s">
        <v>8</v>
      </c>
      <c r="B39" s="154" t="s">
        <v>97</v>
      </c>
      <c r="C39" s="149">
        <v>165348000</v>
      </c>
      <c r="D39" s="302"/>
      <c r="E39" s="263"/>
      <c r="F39" s="1"/>
      <c r="G39" s="13"/>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row>
    <row r="40" spans="1:78" s="14" customFormat="1" ht="46.5">
      <c r="A40" s="26" t="s">
        <v>5</v>
      </c>
      <c r="B40" s="27" t="s">
        <v>100</v>
      </c>
      <c r="C40" s="221">
        <f>C41+C45+C48+C50+C62+C69+C75</f>
        <v>14134000000</v>
      </c>
      <c r="D40" s="127" t="s">
        <v>319</v>
      </c>
      <c r="E40" s="134"/>
      <c r="F40" s="243" t="s">
        <v>269</v>
      </c>
      <c r="G40" s="22">
        <v>14134000000</v>
      </c>
      <c r="H40" s="132">
        <f>C34-G40</f>
        <v>-14055416000</v>
      </c>
    </row>
    <row r="41" spans="1:78" s="14" customFormat="1" ht="30" customHeight="1">
      <c r="A41" s="89">
        <v>1</v>
      </c>
      <c r="B41" s="90" t="s">
        <v>58</v>
      </c>
      <c r="C41" s="91">
        <f>SUM(C42:C44)</f>
        <v>10752865474</v>
      </c>
      <c r="D41" s="306" t="s">
        <v>147</v>
      </c>
      <c r="E41" s="134"/>
      <c r="F41" s="1"/>
      <c r="G41" s="22">
        <f>('[1]02. XÃ, THỊ TRẤN'!P33+'[1]01. HUYỆN'!L33)*10^3</f>
        <v>8834000</v>
      </c>
    </row>
    <row r="42" spans="1:78" s="4" customFormat="1" ht="24" customHeight="1">
      <c r="A42" s="16" t="s">
        <v>8</v>
      </c>
      <c r="B42" s="18" t="s">
        <v>59</v>
      </c>
      <c r="C42" s="17">
        <f>'01. CCTL HUYỆN'!L10*10^3</f>
        <v>10672103474</v>
      </c>
      <c r="D42" s="304"/>
      <c r="E42" s="135"/>
      <c r="F42" s="1"/>
      <c r="G42" s="242">
        <f>G40-G41</f>
        <v>14125166000</v>
      </c>
      <c r="H42" s="1"/>
      <c r="I42" s="2">
        <f>G40-C40</f>
        <v>0</v>
      </c>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row>
    <row r="43" spans="1:78" s="4" customFormat="1" ht="24" customHeight="1">
      <c r="A43" s="16" t="s">
        <v>8</v>
      </c>
      <c r="B43" s="18" t="s">
        <v>60</v>
      </c>
      <c r="C43" s="17">
        <f>'01. CCTL HUYỆN'!L11*10^3</f>
        <v>27065000</v>
      </c>
      <c r="D43" s="304"/>
      <c r="E43" s="135"/>
      <c r="F43" s="1"/>
      <c r="G43" s="242"/>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row>
    <row r="44" spans="1:78" s="4" customFormat="1" ht="24" customHeight="1">
      <c r="A44" s="16" t="s">
        <v>8</v>
      </c>
      <c r="B44" s="18" t="s">
        <v>95</v>
      </c>
      <c r="C44" s="17">
        <f>'01. CCTL HUYỆN'!L12*10^3</f>
        <v>53697000</v>
      </c>
      <c r="D44" s="304"/>
      <c r="E44" s="135"/>
      <c r="F44" s="243" t="s">
        <v>270</v>
      </c>
      <c r="G44" s="242">
        <f>('[1]01. HUYỆN'!J33+'[1]02. XÃ, THỊ TRẤN'!N33)*10^3</f>
        <v>0</v>
      </c>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row>
    <row r="45" spans="1:78" s="4" customFormat="1" ht="24" customHeight="1">
      <c r="A45" s="20">
        <v>2</v>
      </c>
      <c r="B45" s="15" t="s">
        <v>61</v>
      </c>
      <c r="C45" s="21">
        <f>SUM(C46:C47)</f>
        <v>51540000</v>
      </c>
      <c r="D45" s="304"/>
      <c r="E45" s="137"/>
      <c r="F45" s="243" t="s">
        <v>271</v>
      </c>
      <c r="G45" s="242">
        <f>C87</f>
        <v>1388485474</v>
      </c>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row>
    <row r="46" spans="1:78" s="4" customFormat="1" ht="24" customHeight="1">
      <c r="A46" s="16" t="s">
        <v>8</v>
      </c>
      <c r="B46" s="18" t="s">
        <v>62</v>
      </c>
      <c r="C46" s="17">
        <f>'01. CCTL HUYỆN'!L31*10^3</f>
        <v>15045000</v>
      </c>
      <c r="D46" s="304"/>
      <c r="E46" s="135"/>
      <c r="F46" s="243" t="s">
        <v>272</v>
      </c>
      <c r="G46" s="22">
        <f>+G44+G45</f>
        <v>1388485474</v>
      </c>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row>
    <row r="47" spans="1:78" s="4" customFormat="1" ht="24" customHeight="1">
      <c r="A47" s="16" t="s">
        <v>8</v>
      </c>
      <c r="B47" s="18" t="s">
        <v>63</v>
      </c>
      <c r="C47" s="17">
        <f>'01. CCTL HUYỆN'!L32*10^3</f>
        <v>36495000</v>
      </c>
      <c r="D47" s="304"/>
      <c r="E47" s="135"/>
      <c r="F47" s="1"/>
      <c r="G47" s="242">
        <f>'[1]02. XÃ, THỊ TRẤN'!P33+'[1]01. HUYỆN'!L33</f>
        <v>8834</v>
      </c>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row>
    <row r="48" spans="1:78" s="4" customFormat="1" ht="24" customHeight="1">
      <c r="A48" s="20">
        <v>3</v>
      </c>
      <c r="B48" s="15" t="s">
        <v>64</v>
      </c>
      <c r="C48" s="21">
        <f>C49</f>
        <v>8834000</v>
      </c>
      <c r="D48" s="304"/>
      <c r="E48" s="137"/>
      <c r="F48" s="1"/>
      <c r="G48" s="242"/>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row>
    <row r="49" spans="1:78" s="4" customFormat="1" ht="24" customHeight="1">
      <c r="A49" s="16" t="s">
        <v>8</v>
      </c>
      <c r="B49" s="18" t="s">
        <v>94</v>
      </c>
      <c r="C49" s="17">
        <f>'01. CCTL HUYỆN'!L34*10^3</f>
        <v>8834000</v>
      </c>
      <c r="D49" s="304"/>
      <c r="E49" s="135"/>
      <c r="F49" s="243" t="s">
        <v>273</v>
      </c>
      <c r="G49" s="242">
        <f>C40+C87</f>
        <v>15522485474</v>
      </c>
      <c r="H49" s="146">
        <f>G49-G41</f>
        <v>15513651474</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row>
    <row r="50" spans="1:78" s="4" customFormat="1" ht="24" customHeight="1">
      <c r="A50" s="20">
        <v>4</v>
      </c>
      <c r="B50" s="15" t="s">
        <v>67</v>
      </c>
      <c r="C50" s="21">
        <f>SUM(C51:C61)</f>
        <v>682824000</v>
      </c>
      <c r="D50" s="304"/>
      <c r="E50" s="137"/>
      <c r="F50" s="1"/>
      <c r="G50" s="13"/>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row>
    <row r="51" spans="1:78" s="4" customFormat="1" ht="24" customHeight="1">
      <c r="A51" s="16" t="s">
        <v>8</v>
      </c>
      <c r="B51" s="18" t="s">
        <v>68</v>
      </c>
      <c r="C51" s="17">
        <f>'01. CCTL HUYỆN'!L38*10^3</f>
        <v>56161000</v>
      </c>
      <c r="D51" s="304"/>
      <c r="E51" s="135"/>
      <c r="F51" s="1"/>
      <c r="G51" s="13"/>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row>
    <row r="52" spans="1:78" s="4" customFormat="1" ht="24" customHeight="1">
      <c r="A52" s="16" t="s">
        <v>8</v>
      </c>
      <c r="B52" s="83" t="s">
        <v>69</v>
      </c>
      <c r="C52" s="17">
        <f>'01. CCTL HUYỆN'!L39*10^3</f>
        <v>233096000</v>
      </c>
      <c r="D52" s="304"/>
      <c r="E52" s="135"/>
      <c r="F52" s="1"/>
      <c r="G52" s="13"/>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row>
    <row r="53" spans="1:78" s="4" customFormat="1" ht="24" customHeight="1">
      <c r="A53" s="16" t="s">
        <v>8</v>
      </c>
      <c r="B53" s="83" t="s">
        <v>70</v>
      </c>
      <c r="C53" s="17">
        <f>'01. CCTL HUYỆN'!L40*10^3</f>
        <v>46377000</v>
      </c>
      <c r="D53" s="304"/>
      <c r="E53" s="135"/>
      <c r="F53" s="1"/>
      <c r="G53" s="13"/>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row>
    <row r="54" spans="1:78" s="4" customFormat="1" ht="24" customHeight="1">
      <c r="A54" s="16" t="s">
        <v>8</v>
      </c>
      <c r="B54" s="83" t="s">
        <v>71</v>
      </c>
      <c r="C54" s="17">
        <f>'01. CCTL HUYỆN'!L41*10^3</f>
        <v>51305000</v>
      </c>
      <c r="D54" s="304"/>
      <c r="E54" s="135"/>
      <c r="F54" s="1"/>
      <c r="G54" s="13"/>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row>
    <row r="55" spans="1:78" s="4" customFormat="1" ht="24" customHeight="1">
      <c r="A55" s="16" t="s">
        <v>8</v>
      </c>
      <c r="B55" s="83" t="s">
        <v>72</v>
      </c>
      <c r="C55" s="17">
        <f>'01. CCTL HUYỆN'!L42*10^3</f>
        <v>26415000</v>
      </c>
      <c r="D55" s="304"/>
      <c r="E55" s="135"/>
      <c r="F55" s="1"/>
      <c r="G55" s="13"/>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row>
    <row r="56" spans="1:78" s="4" customFormat="1" ht="24" customHeight="1">
      <c r="A56" s="16" t="s">
        <v>8</v>
      </c>
      <c r="B56" s="83" t="s">
        <v>73</v>
      </c>
      <c r="C56" s="17">
        <f>'01. CCTL HUYỆN'!L43*10^3</f>
        <v>54828000</v>
      </c>
      <c r="D56" s="304"/>
      <c r="E56" s="135"/>
      <c r="F56" s="1"/>
      <c r="G56" s="13"/>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row>
    <row r="57" spans="1:78" s="4" customFormat="1" ht="24" customHeight="1">
      <c r="A57" s="16" t="s">
        <v>8</v>
      </c>
      <c r="B57" s="83" t="s">
        <v>93</v>
      </c>
      <c r="C57" s="17">
        <f>'01. CCTL HUYỆN'!L44*10^3</f>
        <v>33022000</v>
      </c>
      <c r="D57" s="304"/>
      <c r="E57" s="135"/>
      <c r="F57" s="1"/>
      <c r="G57" s="13"/>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row>
    <row r="58" spans="1:78" s="4" customFormat="1" ht="24" customHeight="1">
      <c r="A58" s="16" t="s">
        <v>8</v>
      </c>
      <c r="B58" s="83" t="s">
        <v>74</v>
      </c>
      <c r="C58" s="17">
        <f>'01. CCTL HUYỆN'!L45*10^3</f>
        <v>80307000</v>
      </c>
      <c r="D58" s="304"/>
      <c r="E58" s="135"/>
      <c r="F58" s="1"/>
      <c r="G58" s="13"/>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row>
    <row r="59" spans="1:78" s="4" customFormat="1" ht="24" customHeight="1">
      <c r="A59" s="16" t="s">
        <v>8</v>
      </c>
      <c r="B59" s="83" t="s">
        <v>75</v>
      </c>
      <c r="C59" s="17">
        <f>'01. CCTL HUYỆN'!L46*10^3</f>
        <v>21945000</v>
      </c>
      <c r="D59" s="304"/>
      <c r="E59" s="135"/>
      <c r="F59" s="1"/>
      <c r="G59" s="13"/>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row>
    <row r="60" spans="1:78" s="4" customFormat="1" ht="24" customHeight="1">
      <c r="A60" s="16" t="s">
        <v>8</v>
      </c>
      <c r="B60" s="83" t="s">
        <v>89</v>
      </c>
      <c r="C60" s="17">
        <f>'01. CCTL HUYỆN'!L47*10^3</f>
        <v>30179000</v>
      </c>
      <c r="D60" s="304"/>
      <c r="E60" s="135"/>
      <c r="F60" s="1"/>
      <c r="G60" s="13"/>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row>
    <row r="61" spans="1:78" s="4" customFormat="1" ht="24" customHeight="1">
      <c r="A61" s="16" t="s">
        <v>8</v>
      </c>
      <c r="B61" s="83" t="s">
        <v>76</v>
      </c>
      <c r="C61" s="17">
        <f>'01. CCTL HUYỆN'!L48*10^3</f>
        <v>49189000</v>
      </c>
      <c r="D61" s="304"/>
      <c r="E61" s="135"/>
      <c r="F61" s="1"/>
      <c r="G61" s="13"/>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row>
    <row r="62" spans="1:78" s="4" customFormat="1" ht="24" customHeight="1">
      <c r="A62" s="20">
        <v>5</v>
      </c>
      <c r="B62" s="84" t="s">
        <v>77</v>
      </c>
      <c r="C62" s="21">
        <f>SUM(C63:C68)</f>
        <v>591471000</v>
      </c>
      <c r="D62" s="304"/>
      <c r="E62" s="137"/>
      <c r="F62" s="1"/>
      <c r="G62" s="13"/>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row>
    <row r="63" spans="1:78" s="4" customFormat="1" ht="24" customHeight="1">
      <c r="A63" s="16" t="s">
        <v>8</v>
      </c>
      <c r="B63" s="85" t="s">
        <v>78</v>
      </c>
      <c r="C63" s="17">
        <f>'01. CCTL HUYỆN'!L50*10^3</f>
        <v>395932000</v>
      </c>
      <c r="D63" s="304"/>
      <c r="E63" s="135"/>
      <c r="F63" s="1"/>
      <c r="G63" s="13"/>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row>
    <row r="64" spans="1:78" s="4" customFormat="1" ht="24" customHeight="1">
      <c r="A64" s="16" t="s">
        <v>8</v>
      </c>
      <c r="B64" s="83" t="s">
        <v>79</v>
      </c>
      <c r="C64" s="17">
        <f>'01. CCTL HUYỆN'!L51*10^3</f>
        <v>52822000</v>
      </c>
      <c r="D64" s="304"/>
      <c r="E64" s="135"/>
      <c r="F64" s="1"/>
      <c r="G64" s="13"/>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row>
    <row r="65" spans="1:78" s="4" customFormat="1" ht="24" customHeight="1">
      <c r="A65" s="16" t="s">
        <v>8</v>
      </c>
      <c r="B65" s="83" t="s">
        <v>80</v>
      </c>
      <c r="C65" s="17">
        <f>'01. CCTL HUYỆN'!L52*10^3</f>
        <v>22373000</v>
      </c>
      <c r="D65" s="304"/>
      <c r="E65" s="135"/>
      <c r="F65" s="1"/>
      <c r="G65" s="13"/>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row>
    <row r="66" spans="1:78" s="4" customFormat="1" ht="24" customHeight="1">
      <c r="A66" s="16" t="s">
        <v>8</v>
      </c>
      <c r="B66" s="83" t="s">
        <v>17</v>
      </c>
      <c r="C66" s="17">
        <f>'01. CCTL HUYỆN'!L53*10^3</f>
        <v>42885000</v>
      </c>
      <c r="D66" s="304"/>
      <c r="E66" s="135"/>
      <c r="F66" s="1"/>
      <c r="G66" s="13"/>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row>
    <row r="67" spans="1:78" s="4" customFormat="1" ht="24" customHeight="1">
      <c r="A67" s="16" t="s">
        <v>8</v>
      </c>
      <c r="B67" s="83" t="s">
        <v>81</v>
      </c>
      <c r="C67" s="17">
        <f>'01. CCTL HUYỆN'!L54*10^3</f>
        <v>51886000</v>
      </c>
      <c r="D67" s="304"/>
      <c r="E67" s="135"/>
      <c r="F67" s="1"/>
      <c r="G67" s="13"/>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row>
    <row r="68" spans="1:78" s="4" customFormat="1" ht="24" customHeight="1">
      <c r="A68" s="16" t="s">
        <v>8</v>
      </c>
      <c r="B68" s="83" t="s">
        <v>82</v>
      </c>
      <c r="C68" s="17">
        <f>'01. CCTL HUYỆN'!L55*10^3</f>
        <v>25573000</v>
      </c>
      <c r="D68" s="304"/>
      <c r="E68" s="135"/>
      <c r="F68" s="1"/>
      <c r="G68" s="13"/>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row>
    <row r="69" spans="1:78" s="4" customFormat="1" ht="24" customHeight="1">
      <c r="A69" s="20">
        <v>6</v>
      </c>
      <c r="B69" s="86" t="s">
        <v>92</v>
      </c>
      <c r="C69" s="21">
        <f>SUM(C70:C74)</f>
        <v>84240000</v>
      </c>
      <c r="D69" s="304"/>
      <c r="E69" s="137"/>
      <c r="F69" s="1"/>
      <c r="G69" s="13"/>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row>
    <row r="70" spans="1:78" s="4" customFormat="1" ht="24" customHeight="1">
      <c r="A70" s="16" t="s">
        <v>8</v>
      </c>
      <c r="B70" s="87" t="s">
        <v>83</v>
      </c>
      <c r="C70" s="17">
        <f>'01. CCTL HUYỆN'!L57*10^3</f>
        <v>18468000</v>
      </c>
      <c r="D70" s="304"/>
      <c r="E70" s="135"/>
      <c r="F70" s="1"/>
      <c r="G70" s="13"/>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row>
    <row r="71" spans="1:78" s="4" customFormat="1" ht="24" customHeight="1">
      <c r="A71" s="16" t="s">
        <v>8</v>
      </c>
      <c r="B71" s="87" t="s">
        <v>84</v>
      </c>
      <c r="C71" s="17">
        <f>'01. CCTL HUYỆN'!L58*10^3</f>
        <v>10368000</v>
      </c>
      <c r="D71" s="304"/>
      <c r="E71" s="135"/>
      <c r="F71" s="1"/>
      <c r="G71" s="13"/>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row>
    <row r="72" spans="1:78" s="4" customFormat="1" ht="24" customHeight="1">
      <c r="A72" s="16" t="s">
        <v>8</v>
      </c>
      <c r="B72" s="87" t="s">
        <v>20</v>
      </c>
      <c r="C72" s="17">
        <f>'01. CCTL HUYỆN'!L59*10^3</f>
        <v>18468000</v>
      </c>
      <c r="D72" s="304"/>
      <c r="E72" s="135"/>
      <c r="F72" s="1"/>
      <c r="G72" s="13"/>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row>
    <row r="73" spans="1:78" s="4" customFormat="1" ht="24" customHeight="1">
      <c r="A73" s="16" t="s">
        <v>8</v>
      </c>
      <c r="B73" s="87" t="s">
        <v>85</v>
      </c>
      <c r="C73" s="17">
        <f>'01. CCTL HUYỆN'!L60*10^3</f>
        <v>18468000</v>
      </c>
      <c r="D73" s="304"/>
      <c r="E73" s="135"/>
      <c r="F73" s="1"/>
      <c r="G73" s="13"/>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row>
    <row r="74" spans="1:78" s="4" customFormat="1" ht="24" customHeight="1">
      <c r="A74" s="16" t="s">
        <v>8</v>
      </c>
      <c r="B74" s="87" t="s">
        <v>86</v>
      </c>
      <c r="C74" s="17">
        <f>'01. CCTL HUYỆN'!L61*10^3</f>
        <v>18468000</v>
      </c>
      <c r="D74" s="307"/>
      <c r="E74" s="135"/>
      <c r="F74" s="1"/>
      <c r="G74" s="13"/>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row>
    <row r="75" spans="1:78" s="4" customFormat="1" ht="24" customHeight="1">
      <c r="A75" s="20">
        <v>7</v>
      </c>
      <c r="B75" s="93" t="s">
        <v>99</v>
      </c>
      <c r="C75" s="21">
        <f>SUM(C76:C86)</f>
        <v>1962225526</v>
      </c>
      <c r="D75" s="11"/>
      <c r="E75" s="137"/>
      <c r="F75" s="1"/>
      <c r="G75" s="13"/>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row>
    <row r="76" spans="1:78" s="4" customFormat="1" ht="24" customHeight="1">
      <c r="A76" s="16" t="s">
        <v>8</v>
      </c>
      <c r="B76" s="88" t="s">
        <v>29</v>
      </c>
      <c r="C76" s="17">
        <f>'02. XÃ, THỊ TRẤN'!P9*10^3</f>
        <v>169825000</v>
      </c>
      <c r="D76" s="303" t="s">
        <v>148</v>
      </c>
      <c r="E76" s="135"/>
      <c r="F76" s="1"/>
      <c r="G76" s="13"/>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row>
    <row r="77" spans="1:78" s="4" customFormat="1" ht="24" customHeight="1">
      <c r="A77" s="16" t="s">
        <v>8</v>
      </c>
      <c r="B77" s="88" t="s">
        <v>30</v>
      </c>
      <c r="C77" s="17">
        <f>'02. XÃ, THỊ TRẤN'!P10*10^3</f>
        <v>141005000</v>
      </c>
      <c r="D77" s="304"/>
      <c r="E77" s="135"/>
      <c r="F77" s="1"/>
      <c r="G77" s="13"/>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row>
    <row r="78" spans="1:78" s="4" customFormat="1" ht="24" customHeight="1">
      <c r="A78" s="16" t="s">
        <v>8</v>
      </c>
      <c r="B78" s="88" t="s">
        <v>31</v>
      </c>
      <c r="C78" s="17">
        <f>'02. XÃ, THỊ TRẤN'!P11*10^3</f>
        <v>183772000</v>
      </c>
      <c r="D78" s="304"/>
      <c r="E78" s="135"/>
      <c r="F78" s="1"/>
      <c r="G78" s="13"/>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row>
    <row r="79" spans="1:78" s="4" customFormat="1" ht="24" customHeight="1">
      <c r="A79" s="16"/>
      <c r="B79" s="88" t="s">
        <v>32</v>
      </c>
      <c r="C79" s="17">
        <f>'02. XÃ, THỊ TRẤN'!P12*10^3</f>
        <v>207976000</v>
      </c>
      <c r="D79" s="304"/>
      <c r="E79" s="135"/>
      <c r="F79" s="1"/>
      <c r="G79" s="13"/>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row>
    <row r="80" spans="1:78" s="4" customFormat="1" ht="24" customHeight="1">
      <c r="A80" s="16" t="s">
        <v>8</v>
      </c>
      <c r="B80" s="88" t="s">
        <v>33</v>
      </c>
      <c r="C80" s="17">
        <f>'02. XÃ, THỊ TRẤN'!P13*10^3</f>
        <v>162706000</v>
      </c>
      <c r="D80" s="304"/>
      <c r="E80" s="135"/>
      <c r="F80" s="1"/>
      <c r="G80" s="13"/>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row>
    <row r="81" spans="1:78" s="4" customFormat="1" ht="24" customHeight="1">
      <c r="A81" s="16" t="s">
        <v>8</v>
      </c>
      <c r="B81" s="88" t="s">
        <v>34</v>
      </c>
      <c r="C81" s="17">
        <f>'02. XÃ, THỊ TRẤN'!P14*10^3</f>
        <v>176419000</v>
      </c>
      <c r="D81" s="304"/>
      <c r="E81" s="135"/>
      <c r="F81" s="241" t="s">
        <v>268</v>
      </c>
      <c r="G81" s="242">
        <f>C75+C88</f>
        <v>3256095000</v>
      </c>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row>
    <row r="82" spans="1:78" s="4" customFormat="1" ht="24" customHeight="1">
      <c r="A82" s="16" t="s">
        <v>8</v>
      </c>
      <c r="B82" s="88" t="s">
        <v>35</v>
      </c>
      <c r="C82" s="17">
        <f>'02. XÃ, THỊ TRẤN'!P15*10^3</f>
        <v>174892000</v>
      </c>
      <c r="D82" s="304"/>
      <c r="E82" s="135"/>
      <c r="F82" s="1"/>
      <c r="G82" s="242"/>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row>
    <row r="83" spans="1:78" s="4" customFormat="1" ht="24" customHeight="1">
      <c r="A83" s="16" t="s">
        <v>8</v>
      </c>
      <c r="B83" s="88" t="s">
        <v>36</v>
      </c>
      <c r="C83" s="17">
        <f>'02. XÃ, THỊ TRẤN'!P16*10^3</f>
        <v>279044000</v>
      </c>
      <c r="D83" s="304"/>
      <c r="E83" s="135"/>
      <c r="F83" s="1"/>
      <c r="G83" s="242"/>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row>
    <row r="84" spans="1:78" s="4" customFormat="1" ht="24" customHeight="1">
      <c r="A84" s="16" t="s">
        <v>8</v>
      </c>
      <c r="B84" s="88" t="s">
        <v>37</v>
      </c>
      <c r="C84" s="17">
        <f>'02. XÃ, THỊ TRẤN'!P17*10^3</f>
        <v>185704000</v>
      </c>
      <c r="D84" s="304"/>
      <c r="E84" s="135"/>
      <c r="F84" s="1"/>
      <c r="G84" s="242"/>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row>
    <row r="85" spans="1:78" s="4" customFormat="1" ht="24" customHeight="1">
      <c r="A85" s="16" t="s">
        <v>8</v>
      </c>
      <c r="B85" s="88" t="s">
        <v>38</v>
      </c>
      <c r="C85" s="17">
        <f>('02. XÃ, THỊ TRẤN'!P18*10^3)</f>
        <v>175614000</v>
      </c>
      <c r="D85" s="304"/>
      <c r="E85" s="135"/>
      <c r="F85" s="1"/>
      <c r="G85" s="242"/>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row>
    <row r="86" spans="1:78" s="4" customFormat="1" ht="24" customHeight="1">
      <c r="A86" s="147" t="s">
        <v>8</v>
      </c>
      <c r="B86" s="148" t="s">
        <v>39</v>
      </c>
      <c r="C86" s="149">
        <f>'02. XÃ, THỊ TRẤN'!P19*10^3-C89</f>
        <v>105268526</v>
      </c>
      <c r="D86" s="305"/>
      <c r="E86" s="135"/>
      <c r="F86" s="1"/>
      <c r="G86" s="242"/>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row>
    <row r="87" spans="1:78" s="4" customFormat="1" ht="31.5" customHeight="1">
      <c r="A87" s="26" t="s">
        <v>14</v>
      </c>
      <c r="B87" s="143" t="s">
        <v>243</v>
      </c>
      <c r="C87" s="28">
        <f>C88+C96</f>
        <v>1388485474</v>
      </c>
      <c r="D87" s="140"/>
      <c r="E87" s="135"/>
      <c r="F87" s="2"/>
      <c r="G87" s="242"/>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row>
    <row r="88" spans="1:78" s="4" customFormat="1" ht="24" customHeight="1">
      <c r="A88" s="89">
        <v>1</v>
      </c>
      <c r="B88" s="150" t="s">
        <v>99</v>
      </c>
      <c r="C88" s="91">
        <f>SUM(C89:C95)</f>
        <v>1293869474</v>
      </c>
      <c r="D88" s="151"/>
      <c r="E88" s="135"/>
      <c r="F88" s="1"/>
      <c r="G88" s="242"/>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row>
    <row r="89" spans="1:78" s="4" customFormat="1" ht="24" customHeight="1">
      <c r="A89" s="16" t="s">
        <v>8</v>
      </c>
      <c r="B89" s="88" t="s">
        <v>39</v>
      </c>
      <c r="C89" s="17">
        <v>80555474</v>
      </c>
      <c r="D89" s="301" t="s">
        <v>148</v>
      </c>
      <c r="E89" s="135"/>
      <c r="F89" s="1"/>
      <c r="G89" s="242">
        <f>C86+C89</f>
        <v>185824000</v>
      </c>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row>
    <row r="90" spans="1:78" s="4" customFormat="1" ht="24" customHeight="1">
      <c r="A90" s="16" t="s">
        <v>8</v>
      </c>
      <c r="B90" s="88" t="s">
        <v>40</v>
      </c>
      <c r="C90" s="17">
        <f>'02. XÃ, THỊ TRẤN'!P20*10^3</f>
        <v>159585000</v>
      </c>
      <c r="D90" s="301"/>
      <c r="E90" s="135"/>
      <c r="F90" s="1"/>
      <c r="G90" s="242"/>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row>
    <row r="91" spans="1:78" s="4" customFormat="1" ht="24" customHeight="1">
      <c r="A91" s="16" t="s">
        <v>8</v>
      </c>
      <c r="B91" s="88" t="s">
        <v>41</v>
      </c>
      <c r="C91" s="17">
        <f>'02. XÃ, THỊ TRẤN'!P21*10^3</f>
        <v>236689000</v>
      </c>
      <c r="D91" s="301"/>
      <c r="E91" s="135"/>
      <c r="F91" s="2">
        <v>1388485474</v>
      </c>
      <c r="G91" s="242"/>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row>
    <row r="92" spans="1:78" s="4" customFormat="1" ht="24" customHeight="1">
      <c r="A92" s="16" t="s">
        <v>8</v>
      </c>
      <c r="B92" s="88" t="s">
        <v>42</v>
      </c>
      <c r="C92" s="17">
        <f>'02. XÃ, THỊ TRẤN'!P22*10^3</f>
        <v>185542000</v>
      </c>
      <c r="D92" s="301"/>
      <c r="E92" s="135"/>
      <c r="F92" s="2">
        <f>F91-C87</f>
        <v>0</v>
      </c>
      <c r="G92" s="242">
        <v>179625000</v>
      </c>
      <c r="H92" s="146">
        <f>G92+F92</f>
        <v>179625000</v>
      </c>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row>
    <row r="93" spans="1:78" s="4" customFormat="1" ht="24" customHeight="1">
      <c r="A93" s="16" t="s">
        <v>8</v>
      </c>
      <c r="B93" s="88" t="s">
        <v>43</v>
      </c>
      <c r="C93" s="17">
        <f>'02. XÃ, THỊ TRẤN'!P23*10^3</f>
        <v>174138000</v>
      </c>
      <c r="D93" s="301"/>
      <c r="E93" s="135"/>
      <c r="F93" s="1">
        <v>55688526</v>
      </c>
      <c r="G93" s="242"/>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row>
    <row r="94" spans="1:78" s="4" customFormat="1" ht="24" customHeight="1">
      <c r="A94" s="16" t="s">
        <v>8</v>
      </c>
      <c r="B94" s="88" t="s">
        <v>44</v>
      </c>
      <c r="C94" s="17">
        <f>'02. XÃ, THỊ TRẤN'!P24*10^3</f>
        <v>252342000</v>
      </c>
      <c r="D94" s="301"/>
      <c r="E94" s="135"/>
      <c r="F94" s="2"/>
      <c r="G94" s="13"/>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row>
    <row r="95" spans="1:78" s="4" customFormat="1" ht="24" customHeight="1">
      <c r="A95" s="16" t="s">
        <v>8</v>
      </c>
      <c r="B95" s="88" t="s">
        <v>45</v>
      </c>
      <c r="C95" s="17">
        <f>'02. XÃ, THỊ TRẤN'!P25*10^3</f>
        <v>205018000</v>
      </c>
      <c r="D95" s="301"/>
      <c r="E95" s="135"/>
      <c r="F95" s="1"/>
      <c r="G95" s="13"/>
      <c r="H95" s="138"/>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row>
    <row r="96" spans="1:78" s="4" customFormat="1" ht="24" customHeight="1">
      <c r="A96" s="20">
        <v>2</v>
      </c>
      <c r="B96" s="139" t="s">
        <v>146</v>
      </c>
      <c r="C96" s="21">
        <f>SUM(C97:C113)</f>
        <v>94616000</v>
      </c>
      <c r="D96" s="11"/>
      <c r="E96" s="135"/>
      <c r="F96" s="1"/>
      <c r="G96" s="13"/>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row>
    <row r="97" spans="1:78" s="4" customFormat="1" ht="24" customHeight="1">
      <c r="A97" s="16" t="s">
        <v>8</v>
      </c>
      <c r="B97" s="88" t="s">
        <v>127</v>
      </c>
      <c r="C97" s="17">
        <f>'01. CCTL HUYỆN'!L13*10^3</f>
        <v>5566000</v>
      </c>
      <c r="D97" s="301" t="s">
        <v>147</v>
      </c>
      <c r="E97" s="135"/>
      <c r="F97" s="1"/>
      <c r="G97" s="13"/>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row>
    <row r="98" spans="1:78" s="4" customFormat="1" ht="24" customHeight="1">
      <c r="A98" s="16" t="s">
        <v>8</v>
      </c>
      <c r="B98" s="88" t="s">
        <v>128</v>
      </c>
      <c r="C98" s="17">
        <f>'01. CCTL HUYỆN'!L14*10^3</f>
        <v>5566000</v>
      </c>
      <c r="D98" s="301"/>
      <c r="E98" s="135"/>
      <c r="F98" s="1"/>
      <c r="G98" s="13"/>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row>
    <row r="99" spans="1:78" s="4" customFormat="1" ht="24" customHeight="1">
      <c r="A99" s="16" t="s">
        <v>8</v>
      </c>
      <c r="B99" s="88" t="s">
        <v>129</v>
      </c>
      <c r="C99" s="17">
        <f>'01. CCTL HUYỆN'!L15*10^3</f>
        <v>5566000</v>
      </c>
      <c r="D99" s="301"/>
      <c r="E99" s="135"/>
      <c r="F99" s="1"/>
      <c r="G99" s="13"/>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row>
    <row r="100" spans="1:78" s="4" customFormat="1" ht="24" customHeight="1">
      <c r="A100" s="16" t="s">
        <v>8</v>
      </c>
      <c r="B100" s="88" t="s">
        <v>130</v>
      </c>
      <c r="C100" s="17">
        <f>'01. CCTL HUYỆN'!L16*10^3</f>
        <v>5566000</v>
      </c>
      <c r="D100" s="301"/>
      <c r="E100" s="135"/>
      <c r="F100" s="1"/>
      <c r="G100" s="13"/>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row>
    <row r="101" spans="1:78" s="4" customFormat="1" ht="24" customHeight="1">
      <c r="A101" s="16" t="s">
        <v>8</v>
      </c>
      <c r="B101" s="88" t="s">
        <v>131</v>
      </c>
      <c r="C101" s="17">
        <f>'01. CCTL HUYỆN'!L17*10^3</f>
        <v>5566000</v>
      </c>
      <c r="D101" s="301"/>
      <c r="E101" s="135"/>
      <c r="F101" s="1"/>
      <c r="G101" s="13"/>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row>
    <row r="102" spans="1:78" s="4" customFormat="1" ht="24" customHeight="1">
      <c r="A102" s="16" t="s">
        <v>8</v>
      </c>
      <c r="B102" s="88" t="s">
        <v>132</v>
      </c>
      <c r="C102" s="17">
        <f>'01. CCTL HUYỆN'!L18*10^3</f>
        <v>5566000</v>
      </c>
      <c r="D102" s="301"/>
      <c r="E102" s="135"/>
      <c r="F102" s="1"/>
      <c r="G102" s="13"/>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row>
    <row r="103" spans="1:78" s="4" customFormat="1" ht="24" customHeight="1">
      <c r="A103" s="16" t="s">
        <v>8</v>
      </c>
      <c r="B103" s="88" t="s">
        <v>133</v>
      </c>
      <c r="C103" s="17">
        <f>'01. CCTL HUYỆN'!L19*10^3</f>
        <v>5566000</v>
      </c>
      <c r="D103" s="301"/>
      <c r="E103" s="135"/>
      <c r="F103" s="1"/>
      <c r="G103" s="13"/>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row>
    <row r="104" spans="1:78" s="4" customFormat="1" ht="24" customHeight="1">
      <c r="A104" s="16" t="s">
        <v>8</v>
      </c>
      <c r="B104" s="88" t="s">
        <v>134</v>
      </c>
      <c r="C104" s="17">
        <f>'01. CCTL HUYỆN'!L20*10^3</f>
        <v>5566000</v>
      </c>
      <c r="D104" s="301"/>
      <c r="E104" s="135"/>
      <c r="F104" s="1"/>
      <c r="G104" s="13"/>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row>
    <row r="105" spans="1:78" s="4" customFormat="1" ht="24" customHeight="1">
      <c r="A105" s="16" t="s">
        <v>8</v>
      </c>
      <c r="B105" s="88" t="s">
        <v>135</v>
      </c>
      <c r="C105" s="17">
        <f>'01. CCTL HUYỆN'!L21*10^3</f>
        <v>5566000</v>
      </c>
      <c r="D105" s="301"/>
      <c r="E105" s="135"/>
      <c r="F105" s="1"/>
      <c r="G105" s="13"/>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row>
    <row r="106" spans="1:78" s="4" customFormat="1" ht="24" customHeight="1">
      <c r="A106" s="16" t="s">
        <v>8</v>
      </c>
      <c r="B106" s="88" t="s">
        <v>136</v>
      </c>
      <c r="C106" s="17">
        <f>'01. CCTL HUYỆN'!L22*10^3</f>
        <v>5566000</v>
      </c>
      <c r="D106" s="301"/>
      <c r="E106" s="135"/>
      <c r="F106" s="1"/>
      <c r="G106" s="13"/>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row>
    <row r="107" spans="1:78" s="4" customFormat="1" ht="24" customHeight="1">
      <c r="A107" s="16" t="s">
        <v>8</v>
      </c>
      <c r="B107" s="88" t="s">
        <v>137</v>
      </c>
      <c r="C107" s="17">
        <f>'01. CCTL HUYỆN'!L23*10^3</f>
        <v>5566000</v>
      </c>
      <c r="D107" s="301"/>
      <c r="E107" s="135"/>
      <c r="F107" s="1"/>
      <c r="G107" s="13"/>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row>
    <row r="108" spans="1:78" s="4" customFormat="1" ht="24" customHeight="1">
      <c r="A108" s="16" t="s">
        <v>8</v>
      </c>
      <c r="B108" s="88" t="s">
        <v>138</v>
      </c>
      <c r="C108" s="17">
        <f>'01. CCTL HUYỆN'!L24*10^3</f>
        <v>5566000</v>
      </c>
      <c r="D108" s="301"/>
      <c r="E108" s="135"/>
      <c r="F108" s="1"/>
      <c r="G108" s="13"/>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row>
    <row r="109" spans="1:78" s="4" customFormat="1" ht="24" customHeight="1">
      <c r="A109" s="16" t="s">
        <v>8</v>
      </c>
      <c r="B109" s="88" t="s">
        <v>139</v>
      </c>
      <c r="C109" s="17">
        <f>'01. CCTL HUYỆN'!L25*10^3</f>
        <v>5566000</v>
      </c>
      <c r="D109" s="301"/>
      <c r="E109" s="135"/>
      <c r="F109" s="1"/>
      <c r="G109" s="13"/>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row>
    <row r="110" spans="1:78" s="4" customFormat="1" ht="24" customHeight="1">
      <c r="A110" s="16" t="s">
        <v>8</v>
      </c>
      <c r="B110" s="88" t="s">
        <v>140</v>
      </c>
      <c r="C110" s="17">
        <f>'01. CCTL HUYỆN'!L26*10^3</f>
        <v>5560000</v>
      </c>
      <c r="D110" s="301"/>
      <c r="E110" s="135"/>
      <c r="F110" s="1"/>
      <c r="G110" s="13"/>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row>
    <row r="111" spans="1:78" s="4" customFormat="1" ht="24" customHeight="1">
      <c r="A111" s="16" t="s">
        <v>8</v>
      </c>
      <c r="B111" s="88" t="s">
        <v>141</v>
      </c>
      <c r="C111" s="17">
        <f>'01. CCTL HUYỆN'!L27*10^3</f>
        <v>5566000</v>
      </c>
      <c r="D111" s="301"/>
      <c r="E111" s="135"/>
      <c r="F111" s="1"/>
      <c r="G111" s="13"/>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row>
    <row r="112" spans="1:78" s="4" customFormat="1" ht="24" customHeight="1">
      <c r="A112" s="16" t="s">
        <v>8</v>
      </c>
      <c r="B112" s="88" t="s">
        <v>142</v>
      </c>
      <c r="C112" s="17">
        <f>'01. CCTL HUYỆN'!L28*10^3</f>
        <v>5566000</v>
      </c>
      <c r="D112" s="301"/>
      <c r="E112" s="135"/>
      <c r="F112" s="1"/>
      <c r="G112" s="13"/>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row>
    <row r="113" spans="1:78" s="4" customFormat="1" ht="24" customHeight="1">
      <c r="A113" s="147" t="s">
        <v>8</v>
      </c>
      <c r="B113" s="148" t="s">
        <v>143</v>
      </c>
      <c r="C113" s="149">
        <f>'01. CCTL HUYỆN'!L29*10^3</f>
        <v>5566000</v>
      </c>
      <c r="D113" s="302"/>
      <c r="E113" s="135"/>
      <c r="F113" s="1"/>
      <c r="G113" s="13"/>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row>
  </sheetData>
  <mergeCells count="10">
    <mergeCell ref="A2:D2"/>
    <mergeCell ref="A3:D3"/>
    <mergeCell ref="C4:D4"/>
    <mergeCell ref="D36:D39"/>
    <mergeCell ref="D97:D113"/>
    <mergeCell ref="D89:D95"/>
    <mergeCell ref="D76:D86"/>
    <mergeCell ref="D41:D74"/>
    <mergeCell ref="D18:D34"/>
    <mergeCell ref="D9:D16"/>
  </mergeCells>
  <pageMargins left="0.31" right="0.2" top="0.33" bottom="0.37" header="0.19" footer="0.15748031496063"/>
  <pageSetup scale="80" orientation="portrait" useFirstPageNumber="1" r:id="rId1"/>
  <headerFooter>
    <oddFooter>&amp;C&amp;"Times New Roman,Regular"&amp;10&amp;P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1"/>
  <sheetViews>
    <sheetView tabSelected="1" topLeftCell="B1" zoomScale="110" zoomScaleNormal="110" zoomScaleSheetLayoutView="100" workbookViewId="0">
      <pane ySplit="7" topLeftCell="A11" activePane="bottomLeft" state="frozen"/>
      <selection activeCell="B61" sqref="B61"/>
      <selection pane="bottomLeft" activeCell="H57" sqref="H57"/>
    </sheetView>
  </sheetViews>
  <sheetFormatPr defaultRowHeight="13"/>
  <cols>
    <col min="1" max="1" width="5.58203125" style="33" customWidth="1"/>
    <col min="2" max="2" width="37.75" style="33" customWidth="1"/>
    <col min="3" max="3" width="11.4140625" style="33" customWidth="1"/>
    <col min="4" max="4" width="11" style="34" customWidth="1"/>
    <col min="5" max="5" width="8.25" style="34" customWidth="1"/>
    <col min="6" max="6" width="8.1640625" style="34" customWidth="1"/>
    <col min="7" max="7" width="9.75" style="34" customWidth="1"/>
    <col min="8" max="8" width="9.33203125" style="34" customWidth="1"/>
    <col min="9" max="9" width="8.83203125" style="34" customWidth="1"/>
    <col min="10" max="10" width="9.5" style="34" customWidth="1"/>
    <col min="11" max="11" width="11.83203125" style="36" customWidth="1"/>
    <col min="12" max="12" width="10.83203125" style="41" customWidth="1"/>
    <col min="13" max="13" width="9.1640625" style="33"/>
    <col min="14" max="14" width="12.4140625" style="33" customWidth="1"/>
    <col min="15" max="15" width="11.75" style="33" customWidth="1"/>
    <col min="16" max="221" width="9.1640625" style="33"/>
    <col min="222" max="222" width="3.4140625" style="33" customWidth="1"/>
    <col min="223" max="223" width="29.58203125" style="33" customWidth="1"/>
    <col min="224" max="224" width="8.1640625" style="33" customWidth="1"/>
    <col min="225" max="225" width="7.75" style="33" customWidth="1"/>
    <col min="226" max="226" width="5.83203125" style="33" customWidth="1"/>
    <col min="227" max="227" width="5.75" style="33" customWidth="1"/>
    <col min="228" max="228" width="5.58203125" style="33" customWidth="1"/>
    <col min="229" max="230" width="6.25" style="33" customWidth="1"/>
    <col min="231" max="231" width="7.25" style="33" customWidth="1"/>
    <col min="232" max="232" width="5.83203125" style="33" customWidth="1"/>
    <col min="233" max="233" width="6.25" style="33" customWidth="1"/>
    <col min="234" max="238" width="6.83203125" style="33" customWidth="1"/>
    <col min="239" max="239" width="7.1640625" style="33" customWidth="1"/>
    <col min="240" max="241" width="7.4140625" style="33" customWidth="1"/>
    <col min="242" max="242" width="7.1640625" style="33" customWidth="1"/>
    <col min="243" max="243" width="5.1640625" style="33" customWidth="1"/>
    <col min="244" max="244" width="6.25" style="33" customWidth="1"/>
    <col min="245" max="245" width="6.4140625" style="33" customWidth="1"/>
    <col min="246" max="246" width="5.75" style="33" customWidth="1"/>
    <col min="247" max="247" width="6.25" style="33" customWidth="1"/>
    <col min="248" max="252" width="6.83203125" style="33" customWidth="1"/>
    <col min="253" max="253" width="6.58203125" style="33" customWidth="1"/>
    <col min="254" max="255" width="7.58203125" style="33" customWidth="1"/>
    <col min="256" max="477" width="9.1640625" style="33"/>
    <col min="478" max="478" width="3.4140625" style="33" customWidth="1"/>
    <col min="479" max="479" width="29.58203125" style="33" customWidth="1"/>
    <col min="480" max="480" width="8.1640625" style="33" customWidth="1"/>
    <col min="481" max="481" width="7.75" style="33" customWidth="1"/>
    <col min="482" max="482" width="5.83203125" style="33" customWidth="1"/>
    <col min="483" max="483" width="5.75" style="33" customWidth="1"/>
    <col min="484" max="484" width="5.58203125" style="33" customWidth="1"/>
    <col min="485" max="486" width="6.25" style="33" customWidth="1"/>
    <col min="487" max="487" width="7.25" style="33" customWidth="1"/>
    <col min="488" max="488" width="5.83203125" style="33" customWidth="1"/>
    <col min="489" max="489" width="6.25" style="33" customWidth="1"/>
    <col min="490" max="494" width="6.83203125" style="33" customWidth="1"/>
    <col min="495" max="495" width="7.1640625" style="33" customWidth="1"/>
    <col min="496" max="497" width="7.4140625" style="33" customWidth="1"/>
    <col min="498" max="498" width="7.1640625" style="33" customWidth="1"/>
    <col min="499" max="499" width="5.1640625" style="33" customWidth="1"/>
    <col min="500" max="500" width="6.25" style="33" customWidth="1"/>
    <col min="501" max="501" width="6.4140625" style="33" customWidth="1"/>
    <col min="502" max="502" width="5.75" style="33" customWidth="1"/>
    <col min="503" max="503" width="6.25" style="33" customWidth="1"/>
    <col min="504" max="508" width="6.83203125" style="33" customWidth="1"/>
    <col min="509" max="509" width="6.58203125" style="33" customWidth="1"/>
    <col min="510" max="511" width="7.58203125" style="33" customWidth="1"/>
    <col min="512" max="733" width="9.1640625" style="33"/>
    <col min="734" max="734" width="3.4140625" style="33" customWidth="1"/>
    <col min="735" max="735" width="29.58203125" style="33" customWidth="1"/>
    <col min="736" max="736" width="8.1640625" style="33" customWidth="1"/>
    <col min="737" max="737" width="7.75" style="33" customWidth="1"/>
    <col min="738" max="738" width="5.83203125" style="33" customWidth="1"/>
    <col min="739" max="739" width="5.75" style="33" customWidth="1"/>
    <col min="740" max="740" width="5.58203125" style="33" customWidth="1"/>
    <col min="741" max="742" width="6.25" style="33" customWidth="1"/>
    <col min="743" max="743" width="7.25" style="33" customWidth="1"/>
    <col min="744" max="744" width="5.83203125" style="33" customWidth="1"/>
    <col min="745" max="745" width="6.25" style="33" customWidth="1"/>
    <col min="746" max="750" width="6.83203125" style="33" customWidth="1"/>
    <col min="751" max="751" width="7.1640625" style="33" customWidth="1"/>
    <col min="752" max="753" width="7.4140625" style="33" customWidth="1"/>
    <col min="754" max="754" width="7.1640625" style="33" customWidth="1"/>
    <col min="755" max="755" width="5.1640625" style="33" customWidth="1"/>
    <col min="756" max="756" width="6.25" style="33" customWidth="1"/>
    <col min="757" max="757" width="6.4140625" style="33" customWidth="1"/>
    <col min="758" max="758" width="5.75" style="33" customWidth="1"/>
    <col min="759" max="759" width="6.25" style="33" customWidth="1"/>
    <col min="760" max="764" width="6.83203125" style="33" customWidth="1"/>
    <col min="765" max="765" width="6.58203125" style="33" customWidth="1"/>
    <col min="766" max="767" width="7.58203125" style="33" customWidth="1"/>
    <col min="768" max="989" width="9.1640625" style="33"/>
    <col min="990" max="990" width="3.4140625" style="33" customWidth="1"/>
    <col min="991" max="991" width="29.58203125" style="33" customWidth="1"/>
    <col min="992" max="992" width="8.1640625" style="33" customWidth="1"/>
    <col min="993" max="993" width="7.75" style="33" customWidth="1"/>
    <col min="994" max="994" width="5.83203125" style="33" customWidth="1"/>
    <col min="995" max="995" width="5.75" style="33" customWidth="1"/>
    <col min="996" max="996" width="5.58203125" style="33" customWidth="1"/>
    <col min="997" max="998" width="6.25" style="33" customWidth="1"/>
    <col min="999" max="999" width="7.25" style="33" customWidth="1"/>
    <col min="1000" max="1000" width="5.83203125" style="33" customWidth="1"/>
    <col min="1001" max="1001" width="6.25" style="33" customWidth="1"/>
    <col min="1002" max="1006" width="6.83203125" style="33" customWidth="1"/>
    <col min="1007" max="1007" width="7.1640625" style="33" customWidth="1"/>
    <col min="1008" max="1009" width="7.4140625" style="33" customWidth="1"/>
    <col min="1010" max="1010" width="7.1640625" style="33" customWidth="1"/>
    <col min="1011" max="1011" width="5.1640625" style="33" customWidth="1"/>
    <col min="1012" max="1012" width="6.25" style="33" customWidth="1"/>
    <col min="1013" max="1013" width="6.4140625" style="33" customWidth="1"/>
    <col min="1014" max="1014" width="5.75" style="33" customWidth="1"/>
    <col min="1015" max="1015" width="6.25" style="33" customWidth="1"/>
    <col min="1016" max="1020" width="6.83203125" style="33" customWidth="1"/>
    <col min="1021" max="1021" width="6.58203125" style="33" customWidth="1"/>
    <col min="1022" max="1023" width="7.58203125" style="33" customWidth="1"/>
    <col min="1024" max="1245" width="9.1640625" style="33"/>
    <col min="1246" max="1246" width="3.4140625" style="33" customWidth="1"/>
    <col min="1247" max="1247" width="29.58203125" style="33" customWidth="1"/>
    <col min="1248" max="1248" width="8.1640625" style="33" customWidth="1"/>
    <col min="1249" max="1249" width="7.75" style="33" customWidth="1"/>
    <col min="1250" max="1250" width="5.83203125" style="33" customWidth="1"/>
    <col min="1251" max="1251" width="5.75" style="33" customWidth="1"/>
    <col min="1252" max="1252" width="5.58203125" style="33" customWidth="1"/>
    <col min="1253" max="1254" width="6.25" style="33" customWidth="1"/>
    <col min="1255" max="1255" width="7.25" style="33" customWidth="1"/>
    <col min="1256" max="1256" width="5.83203125" style="33" customWidth="1"/>
    <col min="1257" max="1257" width="6.25" style="33" customWidth="1"/>
    <col min="1258" max="1262" width="6.83203125" style="33" customWidth="1"/>
    <col min="1263" max="1263" width="7.1640625" style="33" customWidth="1"/>
    <col min="1264" max="1265" width="7.4140625" style="33" customWidth="1"/>
    <col min="1266" max="1266" width="7.1640625" style="33" customWidth="1"/>
    <col min="1267" max="1267" width="5.1640625" style="33" customWidth="1"/>
    <col min="1268" max="1268" width="6.25" style="33" customWidth="1"/>
    <col min="1269" max="1269" width="6.4140625" style="33" customWidth="1"/>
    <col min="1270" max="1270" width="5.75" style="33" customWidth="1"/>
    <col min="1271" max="1271" width="6.25" style="33" customWidth="1"/>
    <col min="1272" max="1276" width="6.83203125" style="33" customWidth="1"/>
    <col min="1277" max="1277" width="6.58203125" style="33" customWidth="1"/>
    <col min="1278" max="1279" width="7.58203125" style="33" customWidth="1"/>
    <col min="1280" max="1501" width="9.1640625" style="33"/>
    <col min="1502" max="1502" width="3.4140625" style="33" customWidth="1"/>
    <col min="1503" max="1503" width="29.58203125" style="33" customWidth="1"/>
    <col min="1504" max="1504" width="8.1640625" style="33" customWidth="1"/>
    <col min="1505" max="1505" width="7.75" style="33" customWidth="1"/>
    <col min="1506" max="1506" width="5.83203125" style="33" customWidth="1"/>
    <col min="1507" max="1507" width="5.75" style="33" customWidth="1"/>
    <col min="1508" max="1508" width="5.58203125" style="33" customWidth="1"/>
    <col min="1509" max="1510" width="6.25" style="33" customWidth="1"/>
    <col min="1511" max="1511" width="7.25" style="33" customWidth="1"/>
    <col min="1512" max="1512" width="5.83203125" style="33" customWidth="1"/>
    <col min="1513" max="1513" width="6.25" style="33" customWidth="1"/>
    <col min="1514" max="1518" width="6.83203125" style="33" customWidth="1"/>
    <col min="1519" max="1519" width="7.1640625" style="33" customWidth="1"/>
    <col min="1520" max="1521" width="7.4140625" style="33" customWidth="1"/>
    <col min="1522" max="1522" width="7.1640625" style="33" customWidth="1"/>
    <col min="1523" max="1523" width="5.1640625" style="33" customWidth="1"/>
    <col min="1524" max="1524" width="6.25" style="33" customWidth="1"/>
    <col min="1525" max="1525" width="6.4140625" style="33" customWidth="1"/>
    <col min="1526" max="1526" width="5.75" style="33" customWidth="1"/>
    <col min="1527" max="1527" width="6.25" style="33" customWidth="1"/>
    <col min="1528" max="1532" width="6.83203125" style="33" customWidth="1"/>
    <col min="1533" max="1533" width="6.58203125" style="33" customWidth="1"/>
    <col min="1534" max="1535" width="7.58203125" style="33" customWidth="1"/>
    <col min="1536" max="1757" width="9.1640625" style="33"/>
    <col min="1758" max="1758" width="3.4140625" style="33" customWidth="1"/>
    <col min="1759" max="1759" width="29.58203125" style="33" customWidth="1"/>
    <col min="1760" max="1760" width="8.1640625" style="33" customWidth="1"/>
    <col min="1761" max="1761" width="7.75" style="33" customWidth="1"/>
    <col min="1762" max="1762" width="5.83203125" style="33" customWidth="1"/>
    <col min="1763" max="1763" width="5.75" style="33" customWidth="1"/>
    <col min="1764" max="1764" width="5.58203125" style="33" customWidth="1"/>
    <col min="1765" max="1766" width="6.25" style="33" customWidth="1"/>
    <col min="1767" max="1767" width="7.25" style="33" customWidth="1"/>
    <col min="1768" max="1768" width="5.83203125" style="33" customWidth="1"/>
    <col min="1769" max="1769" width="6.25" style="33" customWidth="1"/>
    <col min="1770" max="1774" width="6.83203125" style="33" customWidth="1"/>
    <col min="1775" max="1775" width="7.1640625" style="33" customWidth="1"/>
    <col min="1776" max="1777" width="7.4140625" style="33" customWidth="1"/>
    <col min="1778" max="1778" width="7.1640625" style="33" customWidth="1"/>
    <col min="1779" max="1779" width="5.1640625" style="33" customWidth="1"/>
    <col min="1780" max="1780" width="6.25" style="33" customWidth="1"/>
    <col min="1781" max="1781" width="6.4140625" style="33" customWidth="1"/>
    <col min="1782" max="1782" width="5.75" style="33" customWidth="1"/>
    <col min="1783" max="1783" width="6.25" style="33" customWidth="1"/>
    <col min="1784" max="1788" width="6.83203125" style="33" customWidth="1"/>
    <col min="1789" max="1789" width="6.58203125" style="33" customWidth="1"/>
    <col min="1790" max="1791" width="7.58203125" style="33" customWidth="1"/>
    <col min="1792" max="2013" width="9.1640625" style="33"/>
    <col min="2014" max="2014" width="3.4140625" style="33" customWidth="1"/>
    <col min="2015" max="2015" width="29.58203125" style="33" customWidth="1"/>
    <col min="2016" max="2016" width="8.1640625" style="33" customWidth="1"/>
    <col min="2017" max="2017" width="7.75" style="33" customWidth="1"/>
    <col min="2018" max="2018" width="5.83203125" style="33" customWidth="1"/>
    <col min="2019" max="2019" width="5.75" style="33" customWidth="1"/>
    <col min="2020" max="2020" width="5.58203125" style="33" customWidth="1"/>
    <col min="2021" max="2022" width="6.25" style="33" customWidth="1"/>
    <col min="2023" max="2023" width="7.25" style="33" customWidth="1"/>
    <col min="2024" max="2024" width="5.83203125" style="33" customWidth="1"/>
    <col min="2025" max="2025" width="6.25" style="33" customWidth="1"/>
    <col min="2026" max="2030" width="6.83203125" style="33" customWidth="1"/>
    <col min="2031" max="2031" width="7.1640625" style="33" customWidth="1"/>
    <col min="2032" max="2033" width="7.4140625" style="33" customWidth="1"/>
    <col min="2034" max="2034" width="7.1640625" style="33" customWidth="1"/>
    <col min="2035" max="2035" width="5.1640625" style="33" customWidth="1"/>
    <col min="2036" max="2036" width="6.25" style="33" customWidth="1"/>
    <col min="2037" max="2037" width="6.4140625" style="33" customWidth="1"/>
    <col min="2038" max="2038" width="5.75" style="33" customWidth="1"/>
    <col min="2039" max="2039" width="6.25" style="33" customWidth="1"/>
    <col min="2040" max="2044" width="6.83203125" style="33" customWidth="1"/>
    <col min="2045" max="2045" width="6.58203125" style="33" customWidth="1"/>
    <col min="2046" max="2047" width="7.58203125" style="33" customWidth="1"/>
    <col min="2048" max="2269" width="9.1640625" style="33"/>
    <col min="2270" max="2270" width="3.4140625" style="33" customWidth="1"/>
    <col min="2271" max="2271" width="29.58203125" style="33" customWidth="1"/>
    <col min="2272" max="2272" width="8.1640625" style="33" customWidth="1"/>
    <col min="2273" max="2273" width="7.75" style="33" customWidth="1"/>
    <col min="2274" max="2274" width="5.83203125" style="33" customWidth="1"/>
    <col min="2275" max="2275" width="5.75" style="33" customWidth="1"/>
    <col min="2276" max="2276" width="5.58203125" style="33" customWidth="1"/>
    <col min="2277" max="2278" width="6.25" style="33" customWidth="1"/>
    <col min="2279" max="2279" width="7.25" style="33" customWidth="1"/>
    <col min="2280" max="2280" width="5.83203125" style="33" customWidth="1"/>
    <col min="2281" max="2281" width="6.25" style="33" customWidth="1"/>
    <col min="2282" max="2286" width="6.83203125" style="33" customWidth="1"/>
    <col min="2287" max="2287" width="7.1640625" style="33" customWidth="1"/>
    <col min="2288" max="2289" width="7.4140625" style="33" customWidth="1"/>
    <col min="2290" max="2290" width="7.1640625" style="33" customWidth="1"/>
    <col min="2291" max="2291" width="5.1640625" style="33" customWidth="1"/>
    <col min="2292" max="2292" width="6.25" style="33" customWidth="1"/>
    <col min="2293" max="2293" width="6.4140625" style="33" customWidth="1"/>
    <col min="2294" max="2294" width="5.75" style="33" customWidth="1"/>
    <col min="2295" max="2295" width="6.25" style="33" customWidth="1"/>
    <col min="2296" max="2300" width="6.83203125" style="33" customWidth="1"/>
    <col min="2301" max="2301" width="6.58203125" style="33" customWidth="1"/>
    <col min="2302" max="2303" width="7.58203125" style="33" customWidth="1"/>
    <col min="2304" max="2525" width="9.1640625" style="33"/>
    <col min="2526" max="2526" width="3.4140625" style="33" customWidth="1"/>
    <col min="2527" max="2527" width="29.58203125" style="33" customWidth="1"/>
    <col min="2528" max="2528" width="8.1640625" style="33" customWidth="1"/>
    <col min="2529" max="2529" width="7.75" style="33" customWidth="1"/>
    <col min="2530" max="2530" width="5.83203125" style="33" customWidth="1"/>
    <col min="2531" max="2531" width="5.75" style="33" customWidth="1"/>
    <col min="2532" max="2532" width="5.58203125" style="33" customWidth="1"/>
    <col min="2533" max="2534" width="6.25" style="33" customWidth="1"/>
    <col min="2535" max="2535" width="7.25" style="33" customWidth="1"/>
    <col min="2536" max="2536" width="5.83203125" style="33" customWidth="1"/>
    <col min="2537" max="2537" width="6.25" style="33" customWidth="1"/>
    <col min="2538" max="2542" width="6.83203125" style="33" customWidth="1"/>
    <col min="2543" max="2543" width="7.1640625" style="33" customWidth="1"/>
    <col min="2544" max="2545" width="7.4140625" style="33" customWidth="1"/>
    <col min="2546" max="2546" width="7.1640625" style="33" customWidth="1"/>
    <col min="2547" max="2547" width="5.1640625" style="33" customWidth="1"/>
    <col min="2548" max="2548" width="6.25" style="33" customWidth="1"/>
    <col min="2549" max="2549" width="6.4140625" style="33" customWidth="1"/>
    <col min="2550" max="2550" width="5.75" style="33" customWidth="1"/>
    <col min="2551" max="2551" width="6.25" style="33" customWidth="1"/>
    <col min="2552" max="2556" width="6.83203125" style="33" customWidth="1"/>
    <col min="2557" max="2557" width="6.58203125" style="33" customWidth="1"/>
    <col min="2558" max="2559" width="7.58203125" style="33" customWidth="1"/>
    <col min="2560" max="2781" width="9.1640625" style="33"/>
    <col min="2782" max="2782" width="3.4140625" style="33" customWidth="1"/>
    <col min="2783" max="2783" width="29.58203125" style="33" customWidth="1"/>
    <col min="2784" max="2784" width="8.1640625" style="33" customWidth="1"/>
    <col min="2785" max="2785" width="7.75" style="33" customWidth="1"/>
    <col min="2786" max="2786" width="5.83203125" style="33" customWidth="1"/>
    <col min="2787" max="2787" width="5.75" style="33" customWidth="1"/>
    <col min="2788" max="2788" width="5.58203125" style="33" customWidth="1"/>
    <col min="2789" max="2790" width="6.25" style="33" customWidth="1"/>
    <col min="2791" max="2791" width="7.25" style="33" customWidth="1"/>
    <col min="2792" max="2792" width="5.83203125" style="33" customWidth="1"/>
    <col min="2793" max="2793" width="6.25" style="33" customWidth="1"/>
    <col min="2794" max="2798" width="6.83203125" style="33" customWidth="1"/>
    <col min="2799" max="2799" width="7.1640625" style="33" customWidth="1"/>
    <col min="2800" max="2801" width="7.4140625" style="33" customWidth="1"/>
    <col min="2802" max="2802" width="7.1640625" style="33" customWidth="1"/>
    <col min="2803" max="2803" width="5.1640625" style="33" customWidth="1"/>
    <col min="2804" max="2804" width="6.25" style="33" customWidth="1"/>
    <col min="2805" max="2805" width="6.4140625" style="33" customWidth="1"/>
    <col min="2806" max="2806" width="5.75" style="33" customWidth="1"/>
    <col min="2807" max="2807" width="6.25" style="33" customWidth="1"/>
    <col min="2808" max="2812" width="6.83203125" style="33" customWidth="1"/>
    <col min="2813" max="2813" width="6.58203125" style="33" customWidth="1"/>
    <col min="2814" max="2815" width="7.58203125" style="33" customWidth="1"/>
    <col min="2816" max="3037" width="9.1640625" style="33"/>
    <col min="3038" max="3038" width="3.4140625" style="33" customWidth="1"/>
    <col min="3039" max="3039" width="29.58203125" style="33" customWidth="1"/>
    <col min="3040" max="3040" width="8.1640625" style="33" customWidth="1"/>
    <col min="3041" max="3041" width="7.75" style="33" customWidth="1"/>
    <col min="3042" max="3042" width="5.83203125" style="33" customWidth="1"/>
    <col min="3043" max="3043" width="5.75" style="33" customWidth="1"/>
    <col min="3044" max="3044" width="5.58203125" style="33" customWidth="1"/>
    <col min="3045" max="3046" width="6.25" style="33" customWidth="1"/>
    <col min="3047" max="3047" width="7.25" style="33" customWidth="1"/>
    <col min="3048" max="3048" width="5.83203125" style="33" customWidth="1"/>
    <col min="3049" max="3049" width="6.25" style="33" customWidth="1"/>
    <col min="3050" max="3054" width="6.83203125" style="33" customWidth="1"/>
    <col min="3055" max="3055" width="7.1640625" style="33" customWidth="1"/>
    <col min="3056" max="3057" width="7.4140625" style="33" customWidth="1"/>
    <col min="3058" max="3058" width="7.1640625" style="33" customWidth="1"/>
    <col min="3059" max="3059" width="5.1640625" style="33" customWidth="1"/>
    <col min="3060" max="3060" width="6.25" style="33" customWidth="1"/>
    <col min="3061" max="3061" width="6.4140625" style="33" customWidth="1"/>
    <col min="3062" max="3062" width="5.75" style="33" customWidth="1"/>
    <col min="3063" max="3063" width="6.25" style="33" customWidth="1"/>
    <col min="3064" max="3068" width="6.83203125" style="33" customWidth="1"/>
    <col min="3069" max="3069" width="6.58203125" style="33" customWidth="1"/>
    <col min="3070" max="3071" width="7.58203125" style="33" customWidth="1"/>
    <col min="3072" max="3293" width="9.1640625" style="33"/>
    <col min="3294" max="3294" width="3.4140625" style="33" customWidth="1"/>
    <col min="3295" max="3295" width="29.58203125" style="33" customWidth="1"/>
    <col min="3296" max="3296" width="8.1640625" style="33" customWidth="1"/>
    <col min="3297" max="3297" width="7.75" style="33" customWidth="1"/>
    <col min="3298" max="3298" width="5.83203125" style="33" customWidth="1"/>
    <col min="3299" max="3299" width="5.75" style="33" customWidth="1"/>
    <col min="3300" max="3300" width="5.58203125" style="33" customWidth="1"/>
    <col min="3301" max="3302" width="6.25" style="33" customWidth="1"/>
    <col min="3303" max="3303" width="7.25" style="33" customWidth="1"/>
    <col min="3304" max="3304" width="5.83203125" style="33" customWidth="1"/>
    <col min="3305" max="3305" width="6.25" style="33" customWidth="1"/>
    <col min="3306" max="3310" width="6.83203125" style="33" customWidth="1"/>
    <col min="3311" max="3311" width="7.1640625" style="33" customWidth="1"/>
    <col min="3312" max="3313" width="7.4140625" style="33" customWidth="1"/>
    <col min="3314" max="3314" width="7.1640625" style="33" customWidth="1"/>
    <col min="3315" max="3315" width="5.1640625" style="33" customWidth="1"/>
    <col min="3316" max="3316" width="6.25" style="33" customWidth="1"/>
    <col min="3317" max="3317" width="6.4140625" style="33" customWidth="1"/>
    <col min="3318" max="3318" width="5.75" style="33" customWidth="1"/>
    <col min="3319" max="3319" width="6.25" style="33" customWidth="1"/>
    <col min="3320" max="3324" width="6.83203125" style="33" customWidth="1"/>
    <col min="3325" max="3325" width="6.58203125" style="33" customWidth="1"/>
    <col min="3326" max="3327" width="7.58203125" style="33" customWidth="1"/>
    <col min="3328" max="3549" width="9.1640625" style="33"/>
    <col min="3550" max="3550" width="3.4140625" style="33" customWidth="1"/>
    <col min="3551" max="3551" width="29.58203125" style="33" customWidth="1"/>
    <col min="3552" max="3552" width="8.1640625" style="33" customWidth="1"/>
    <col min="3553" max="3553" width="7.75" style="33" customWidth="1"/>
    <col min="3554" max="3554" width="5.83203125" style="33" customWidth="1"/>
    <col min="3555" max="3555" width="5.75" style="33" customWidth="1"/>
    <col min="3556" max="3556" width="5.58203125" style="33" customWidth="1"/>
    <col min="3557" max="3558" width="6.25" style="33" customWidth="1"/>
    <col min="3559" max="3559" width="7.25" style="33" customWidth="1"/>
    <col min="3560" max="3560" width="5.83203125" style="33" customWidth="1"/>
    <col min="3561" max="3561" width="6.25" style="33" customWidth="1"/>
    <col min="3562" max="3566" width="6.83203125" style="33" customWidth="1"/>
    <col min="3567" max="3567" width="7.1640625" style="33" customWidth="1"/>
    <col min="3568" max="3569" width="7.4140625" style="33" customWidth="1"/>
    <col min="3570" max="3570" width="7.1640625" style="33" customWidth="1"/>
    <col min="3571" max="3571" width="5.1640625" style="33" customWidth="1"/>
    <col min="3572" max="3572" width="6.25" style="33" customWidth="1"/>
    <col min="3573" max="3573" width="6.4140625" style="33" customWidth="1"/>
    <col min="3574" max="3574" width="5.75" style="33" customWidth="1"/>
    <col min="3575" max="3575" width="6.25" style="33" customWidth="1"/>
    <col min="3576" max="3580" width="6.83203125" style="33" customWidth="1"/>
    <col min="3581" max="3581" width="6.58203125" style="33" customWidth="1"/>
    <col min="3582" max="3583" width="7.58203125" style="33" customWidth="1"/>
    <col min="3584" max="3805" width="9.1640625" style="33"/>
    <col min="3806" max="3806" width="3.4140625" style="33" customWidth="1"/>
    <col min="3807" max="3807" width="29.58203125" style="33" customWidth="1"/>
    <col min="3808" max="3808" width="8.1640625" style="33" customWidth="1"/>
    <col min="3809" max="3809" width="7.75" style="33" customWidth="1"/>
    <col min="3810" max="3810" width="5.83203125" style="33" customWidth="1"/>
    <col min="3811" max="3811" width="5.75" style="33" customWidth="1"/>
    <col min="3812" max="3812" width="5.58203125" style="33" customWidth="1"/>
    <col min="3813" max="3814" width="6.25" style="33" customWidth="1"/>
    <col min="3815" max="3815" width="7.25" style="33" customWidth="1"/>
    <col min="3816" max="3816" width="5.83203125" style="33" customWidth="1"/>
    <col min="3817" max="3817" width="6.25" style="33" customWidth="1"/>
    <col min="3818" max="3822" width="6.83203125" style="33" customWidth="1"/>
    <col min="3823" max="3823" width="7.1640625" style="33" customWidth="1"/>
    <col min="3824" max="3825" width="7.4140625" style="33" customWidth="1"/>
    <col min="3826" max="3826" width="7.1640625" style="33" customWidth="1"/>
    <col min="3827" max="3827" width="5.1640625" style="33" customWidth="1"/>
    <col min="3828" max="3828" width="6.25" style="33" customWidth="1"/>
    <col min="3829" max="3829" width="6.4140625" style="33" customWidth="1"/>
    <col min="3830" max="3830" width="5.75" style="33" customWidth="1"/>
    <col min="3831" max="3831" width="6.25" style="33" customWidth="1"/>
    <col min="3832" max="3836" width="6.83203125" style="33" customWidth="1"/>
    <col min="3837" max="3837" width="6.58203125" style="33" customWidth="1"/>
    <col min="3838" max="3839" width="7.58203125" style="33" customWidth="1"/>
    <col min="3840" max="4061" width="9.1640625" style="33"/>
    <col min="4062" max="4062" width="3.4140625" style="33" customWidth="1"/>
    <col min="4063" max="4063" width="29.58203125" style="33" customWidth="1"/>
    <col min="4064" max="4064" width="8.1640625" style="33" customWidth="1"/>
    <col min="4065" max="4065" width="7.75" style="33" customWidth="1"/>
    <col min="4066" max="4066" width="5.83203125" style="33" customWidth="1"/>
    <col min="4067" max="4067" width="5.75" style="33" customWidth="1"/>
    <col min="4068" max="4068" width="5.58203125" style="33" customWidth="1"/>
    <col min="4069" max="4070" width="6.25" style="33" customWidth="1"/>
    <col min="4071" max="4071" width="7.25" style="33" customWidth="1"/>
    <col min="4072" max="4072" width="5.83203125" style="33" customWidth="1"/>
    <col min="4073" max="4073" width="6.25" style="33" customWidth="1"/>
    <col min="4074" max="4078" width="6.83203125" style="33" customWidth="1"/>
    <col min="4079" max="4079" width="7.1640625" style="33" customWidth="1"/>
    <col min="4080" max="4081" width="7.4140625" style="33" customWidth="1"/>
    <col min="4082" max="4082" width="7.1640625" style="33" customWidth="1"/>
    <col min="4083" max="4083" width="5.1640625" style="33" customWidth="1"/>
    <col min="4084" max="4084" width="6.25" style="33" customWidth="1"/>
    <col min="4085" max="4085" width="6.4140625" style="33" customWidth="1"/>
    <col min="4086" max="4086" width="5.75" style="33" customWidth="1"/>
    <col min="4087" max="4087" width="6.25" style="33" customWidth="1"/>
    <col min="4088" max="4092" width="6.83203125" style="33" customWidth="1"/>
    <col min="4093" max="4093" width="6.58203125" style="33" customWidth="1"/>
    <col min="4094" max="4095" width="7.58203125" style="33" customWidth="1"/>
    <col min="4096" max="4317" width="9.1640625" style="33"/>
    <col min="4318" max="4318" width="3.4140625" style="33" customWidth="1"/>
    <col min="4319" max="4319" width="29.58203125" style="33" customWidth="1"/>
    <col min="4320" max="4320" width="8.1640625" style="33" customWidth="1"/>
    <col min="4321" max="4321" width="7.75" style="33" customWidth="1"/>
    <col min="4322" max="4322" width="5.83203125" style="33" customWidth="1"/>
    <col min="4323" max="4323" width="5.75" style="33" customWidth="1"/>
    <col min="4324" max="4324" width="5.58203125" style="33" customWidth="1"/>
    <col min="4325" max="4326" width="6.25" style="33" customWidth="1"/>
    <col min="4327" max="4327" width="7.25" style="33" customWidth="1"/>
    <col min="4328" max="4328" width="5.83203125" style="33" customWidth="1"/>
    <col min="4329" max="4329" width="6.25" style="33" customWidth="1"/>
    <col min="4330" max="4334" width="6.83203125" style="33" customWidth="1"/>
    <col min="4335" max="4335" width="7.1640625" style="33" customWidth="1"/>
    <col min="4336" max="4337" width="7.4140625" style="33" customWidth="1"/>
    <col min="4338" max="4338" width="7.1640625" style="33" customWidth="1"/>
    <col min="4339" max="4339" width="5.1640625" style="33" customWidth="1"/>
    <col min="4340" max="4340" width="6.25" style="33" customWidth="1"/>
    <col min="4341" max="4341" width="6.4140625" style="33" customWidth="1"/>
    <col min="4342" max="4342" width="5.75" style="33" customWidth="1"/>
    <col min="4343" max="4343" width="6.25" style="33" customWidth="1"/>
    <col min="4344" max="4348" width="6.83203125" style="33" customWidth="1"/>
    <col min="4349" max="4349" width="6.58203125" style="33" customWidth="1"/>
    <col min="4350" max="4351" width="7.58203125" style="33" customWidth="1"/>
    <col min="4352" max="4573" width="9.1640625" style="33"/>
    <col min="4574" max="4574" width="3.4140625" style="33" customWidth="1"/>
    <col min="4575" max="4575" width="29.58203125" style="33" customWidth="1"/>
    <col min="4576" max="4576" width="8.1640625" style="33" customWidth="1"/>
    <col min="4577" max="4577" width="7.75" style="33" customWidth="1"/>
    <col min="4578" max="4578" width="5.83203125" style="33" customWidth="1"/>
    <col min="4579" max="4579" width="5.75" style="33" customWidth="1"/>
    <col min="4580" max="4580" width="5.58203125" style="33" customWidth="1"/>
    <col min="4581" max="4582" width="6.25" style="33" customWidth="1"/>
    <col min="4583" max="4583" width="7.25" style="33" customWidth="1"/>
    <col min="4584" max="4584" width="5.83203125" style="33" customWidth="1"/>
    <col min="4585" max="4585" width="6.25" style="33" customWidth="1"/>
    <col min="4586" max="4590" width="6.83203125" style="33" customWidth="1"/>
    <col min="4591" max="4591" width="7.1640625" style="33" customWidth="1"/>
    <col min="4592" max="4593" width="7.4140625" style="33" customWidth="1"/>
    <col min="4594" max="4594" width="7.1640625" style="33" customWidth="1"/>
    <col min="4595" max="4595" width="5.1640625" style="33" customWidth="1"/>
    <col min="4596" max="4596" width="6.25" style="33" customWidth="1"/>
    <col min="4597" max="4597" width="6.4140625" style="33" customWidth="1"/>
    <col min="4598" max="4598" width="5.75" style="33" customWidth="1"/>
    <col min="4599" max="4599" width="6.25" style="33" customWidth="1"/>
    <col min="4600" max="4604" width="6.83203125" style="33" customWidth="1"/>
    <col min="4605" max="4605" width="6.58203125" style="33" customWidth="1"/>
    <col min="4606" max="4607" width="7.58203125" style="33" customWidth="1"/>
    <col min="4608" max="4829" width="9.1640625" style="33"/>
    <col min="4830" max="4830" width="3.4140625" style="33" customWidth="1"/>
    <col min="4831" max="4831" width="29.58203125" style="33" customWidth="1"/>
    <col min="4832" max="4832" width="8.1640625" style="33" customWidth="1"/>
    <col min="4833" max="4833" width="7.75" style="33" customWidth="1"/>
    <col min="4834" max="4834" width="5.83203125" style="33" customWidth="1"/>
    <col min="4835" max="4835" width="5.75" style="33" customWidth="1"/>
    <col min="4836" max="4836" width="5.58203125" style="33" customWidth="1"/>
    <col min="4837" max="4838" width="6.25" style="33" customWidth="1"/>
    <col min="4839" max="4839" width="7.25" style="33" customWidth="1"/>
    <col min="4840" max="4840" width="5.83203125" style="33" customWidth="1"/>
    <col min="4841" max="4841" width="6.25" style="33" customWidth="1"/>
    <col min="4842" max="4846" width="6.83203125" style="33" customWidth="1"/>
    <col min="4847" max="4847" width="7.1640625" style="33" customWidth="1"/>
    <col min="4848" max="4849" width="7.4140625" style="33" customWidth="1"/>
    <col min="4850" max="4850" width="7.1640625" style="33" customWidth="1"/>
    <col min="4851" max="4851" width="5.1640625" style="33" customWidth="1"/>
    <col min="4852" max="4852" width="6.25" style="33" customWidth="1"/>
    <col min="4853" max="4853" width="6.4140625" style="33" customWidth="1"/>
    <col min="4854" max="4854" width="5.75" style="33" customWidth="1"/>
    <col min="4855" max="4855" width="6.25" style="33" customWidth="1"/>
    <col min="4856" max="4860" width="6.83203125" style="33" customWidth="1"/>
    <col min="4861" max="4861" width="6.58203125" style="33" customWidth="1"/>
    <col min="4862" max="4863" width="7.58203125" style="33" customWidth="1"/>
    <col min="4864" max="5085" width="9.1640625" style="33"/>
    <col min="5086" max="5086" width="3.4140625" style="33" customWidth="1"/>
    <col min="5087" max="5087" width="29.58203125" style="33" customWidth="1"/>
    <col min="5088" max="5088" width="8.1640625" style="33" customWidth="1"/>
    <col min="5089" max="5089" width="7.75" style="33" customWidth="1"/>
    <col min="5090" max="5090" width="5.83203125" style="33" customWidth="1"/>
    <col min="5091" max="5091" width="5.75" style="33" customWidth="1"/>
    <col min="5092" max="5092" width="5.58203125" style="33" customWidth="1"/>
    <col min="5093" max="5094" width="6.25" style="33" customWidth="1"/>
    <col min="5095" max="5095" width="7.25" style="33" customWidth="1"/>
    <col min="5096" max="5096" width="5.83203125" style="33" customWidth="1"/>
    <col min="5097" max="5097" width="6.25" style="33" customWidth="1"/>
    <col min="5098" max="5102" width="6.83203125" style="33" customWidth="1"/>
    <col min="5103" max="5103" width="7.1640625" style="33" customWidth="1"/>
    <col min="5104" max="5105" width="7.4140625" style="33" customWidth="1"/>
    <col min="5106" max="5106" width="7.1640625" style="33" customWidth="1"/>
    <col min="5107" max="5107" width="5.1640625" style="33" customWidth="1"/>
    <col min="5108" max="5108" width="6.25" style="33" customWidth="1"/>
    <col min="5109" max="5109" width="6.4140625" style="33" customWidth="1"/>
    <col min="5110" max="5110" width="5.75" style="33" customWidth="1"/>
    <col min="5111" max="5111" width="6.25" style="33" customWidth="1"/>
    <col min="5112" max="5116" width="6.83203125" style="33" customWidth="1"/>
    <col min="5117" max="5117" width="6.58203125" style="33" customWidth="1"/>
    <col min="5118" max="5119" width="7.58203125" style="33" customWidth="1"/>
    <col min="5120" max="5341" width="9.1640625" style="33"/>
    <col min="5342" max="5342" width="3.4140625" style="33" customWidth="1"/>
    <col min="5343" max="5343" width="29.58203125" style="33" customWidth="1"/>
    <col min="5344" max="5344" width="8.1640625" style="33" customWidth="1"/>
    <col min="5345" max="5345" width="7.75" style="33" customWidth="1"/>
    <col min="5346" max="5346" width="5.83203125" style="33" customWidth="1"/>
    <col min="5347" max="5347" width="5.75" style="33" customWidth="1"/>
    <col min="5348" max="5348" width="5.58203125" style="33" customWidth="1"/>
    <col min="5349" max="5350" width="6.25" style="33" customWidth="1"/>
    <col min="5351" max="5351" width="7.25" style="33" customWidth="1"/>
    <col min="5352" max="5352" width="5.83203125" style="33" customWidth="1"/>
    <col min="5353" max="5353" width="6.25" style="33" customWidth="1"/>
    <col min="5354" max="5358" width="6.83203125" style="33" customWidth="1"/>
    <col min="5359" max="5359" width="7.1640625" style="33" customWidth="1"/>
    <col min="5360" max="5361" width="7.4140625" style="33" customWidth="1"/>
    <col min="5362" max="5362" width="7.1640625" style="33" customWidth="1"/>
    <col min="5363" max="5363" width="5.1640625" style="33" customWidth="1"/>
    <col min="5364" max="5364" width="6.25" style="33" customWidth="1"/>
    <col min="5365" max="5365" width="6.4140625" style="33" customWidth="1"/>
    <col min="5366" max="5366" width="5.75" style="33" customWidth="1"/>
    <col min="5367" max="5367" width="6.25" style="33" customWidth="1"/>
    <col min="5368" max="5372" width="6.83203125" style="33" customWidth="1"/>
    <col min="5373" max="5373" width="6.58203125" style="33" customWidth="1"/>
    <col min="5374" max="5375" width="7.58203125" style="33" customWidth="1"/>
    <col min="5376" max="5597" width="9.1640625" style="33"/>
    <col min="5598" max="5598" width="3.4140625" style="33" customWidth="1"/>
    <col min="5599" max="5599" width="29.58203125" style="33" customWidth="1"/>
    <col min="5600" max="5600" width="8.1640625" style="33" customWidth="1"/>
    <col min="5601" max="5601" width="7.75" style="33" customWidth="1"/>
    <col min="5602" max="5602" width="5.83203125" style="33" customWidth="1"/>
    <col min="5603" max="5603" width="5.75" style="33" customWidth="1"/>
    <col min="5604" max="5604" width="5.58203125" style="33" customWidth="1"/>
    <col min="5605" max="5606" width="6.25" style="33" customWidth="1"/>
    <col min="5607" max="5607" width="7.25" style="33" customWidth="1"/>
    <col min="5608" max="5608" width="5.83203125" style="33" customWidth="1"/>
    <col min="5609" max="5609" width="6.25" style="33" customWidth="1"/>
    <col min="5610" max="5614" width="6.83203125" style="33" customWidth="1"/>
    <col min="5615" max="5615" width="7.1640625" style="33" customWidth="1"/>
    <col min="5616" max="5617" width="7.4140625" style="33" customWidth="1"/>
    <col min="5618" max="5618" width="7.1640625" style="33" customWidth="1"/>
    <col min="5619" max="5619" width="5.1640625" style="33" customWidth="1"/>
    <col min="5620" max="5620" width="6.25" style="33" customWidth="1"/>
    <col min="5621" max="5621" width="6.4140625" style="33" customWidth="1"/>
    <col min="5622" max="5622" width="5.75" style="33" customWidth="1"/>
    <col min="5623" max="5623" width="6.25" style="33" customWidth="1"/>
    <col min="5624" max="5628" width="6.83203125" style="33" customWidth="1"/>
    <col min="5629" max="5629" width="6.58203125" style="33" customWidth="1"/>
    <col min="5630" max="5631" width="7.58203125" style="33" customWidth="1"/>
    <col min="5632" max="5853" width="9.1640625" style="33"/>
    <col min="5854" max="5854" width="3.4140625" style="33" customWidth="1"/>
    <col min="5855" max="5855" width="29.58203125" style="33" customWidth="1"/>
    <col min="5856" max="5856" width="8.1640625" style="33" customWidth="1"/>
    <col min="5857" max="5857" width="7.75" style="33" customWidth="1"/>
    <col min="5858" max="5858" width="5.83203125" style="33" customWidth="1"/>
    <col min="5859" max="5859" width="5.75" style="33" customWidth="1"/>
    <col min="5860" max="5860" width="5.58203125" style="33" customWidth="1"/>
    <col min="5861" max="5862" width="6.25" style="33" customWidth="1"/>
    <col min="5863" max="5863" width="7.25" style="33" customWidth="1"/>
    <col min="5864" max="5864" width="5.83203125" style="33" customWidth="1"/>
    <col min="5865" max="5865" width="6.25" style="33" customWidth="1"/>
    <col min="5866" max="5870" width="6.83203125" style="33" customWidth="1"/>
    <col min="5871" max="5871" width="7.1640625" style="33" customWidth="1"/>
    <col min="5872" max="5873" width="7.4140625" style="33" customWidth="1"/>
    <col min="5874" max="5874" width="7.1640625" style="33" customWidth="1"/>
    <col min="5875" max="5875" width="5.1640625" style="33" customWidth="1"/>
    <col min="5876" max="5876" width="6.25" style="33" customWidth="1"/>
    <col min="5877" max="5877" width="6.4140625" style="33" customWidth="1"/>
    <col min="5878" max="5878" width="5.75" style="33" customWidth="1"/>
    <col min="5879" max="5879" width="6.25" style="33" customWidth="1"/>
    <col min="5880" max="5884" width="6.83203125" style="33" customWidth="1"/>
    <col min="5885" max="5885" width="6.58203125" style="33" customWidth="1"/>
    <col min="5886" max="5887" width="7.58203125" style="33" customWidth="1"/>
    <col min="5888" max="6109" width="9.1640625" style="33"/>
    <col min="6110" max="6110" width="3.4140625" style="33" customWidth="1"/>
    <col min="6111" max="6111" width="29.58203125" style="33" customWidth="1"/>
    <col min="6112" max="6112" width="8.1640625" style="33" customWidth="1"/>
    <col min="6113" max="6113" width="7.75" style="33" customWidth="1"/>
    <col min="6114" max="6114" width="5.83203125" style="33" customWidth="1"/>
    <col min="6115" max="6115" width="5.75" style="33" customWidth="1"/>
    <col min="6116" max="6116" width="5.58203125" style="33" customWidth="1"/>
    <col min="6117" max="6118" width="6.25" style="33" customWidth="1"/>
    <col min="6119" max="6119" width="7.25" style="33" customWidth="1"/>
    <col min="6120" max="6120" width="5.83203125" style="33" customWidth="1"/>
    <col min="6121" max="6121" width="6.25" style="33" customWidth="1"/>
    <col min="6122" max="6126" width="6.83203125" style="33" customWidth="1"/>
    <col min="6127" max="6127" width="7.1640625" style="33" customWidth="1"/>
    <col min="6128" max="6129" width="7.4140625" style="33" customWidth="1"/>
    <col min="6130" max="6130" width="7.1640625" style="33" customWidth="1"/>
    <col min="6131" max="6131" width="5.1640625" style="33" customWidth="1"/>
    <col min="6132" max="6132" width="6.25" style="33" customWidth="1"/>
    <col min="6133" max="6133" width="6.4140625" style="33" customWidth="1"/>
    <col min="6134" max="6134" width="5.75" style="33" customWidth="1"/>
    <col min="6135" max="6135" width="6.25" style="33" customWidth="1"/>
    <col min="6136" max="6140" width="6.83203125" style="33" customWidth="1"/>
    <col min="6141" max="6141" width="6.58203125" style="33" customWidth="1"/>
    <col min="6142" max="6143" width="7.58203125" style="33" customWidth="1"/>
    <col min="6144" max="6365" width="9.1640625" style="33"/>
    <col min="6366" max="6366" width="3.4140625" style="33" customWidth="1"/>
    <col min="6367" max="6367" width="29.58203125" style="33" customWidth="1"/>
    <col min="6368" max="6368" width="8.1640625" style="33" customWidth="1"/>
    <col min="6369" max="6369" width="7.75" style="33" customWidth="1"/>
    <col min="6370" max="6370" width="5.83203125" style="33" customWidth="1"/>
    <col min="6371" max="6371" width="5.75" style="33" customWidth="1"/>
    <col min="6372" max="6372" width="5.58203125" style="33" customWidth="1"/>
    <col min="6373" max="6374" width="6.25" style="33" customWidth="1"/>
    <col min="6375" max="6375" width="7.25" style="33" customWidth="1"/>
    <col min="6376" max="6376" width="5.83203125" style="33" customWidth="1"/>
    <col min="6377" max="6377" width="6.25" style="33" customWidth="1"/>
    <col min="6378" max="6382" width="6.83203125" style="33" customWidth="1"/>
    <col min="6383" max="6383" width="7.1640625" style="33" customWidth="1"/>
    <col min="6384" max="6385" width="7.4140625" style="33" customWidth="1"/>
    <col min="6386" max="6386" width="7.1640625" style="33" customWidth="1"/>
    <col min="6387" max="6387" width="5.1640625" style="33" customWidth="1"/>
    <col min="6388" max="6388" width="6.25" style="33" customWidth="1"/>
    <col min="6389" max="6389" width="6.4140625" style="33" customWidth="1"/>
    <col min="6390" max="6390" width="5.75" style="33" customWidth="1"/>
    <col min="6391" max="6391" width="6.25" style="33" customWidth="1"/>
    <col min="6392" max="6396" width="6.83203125" style="33" customWidth="1"/>
    <col min="6397" max="6397" width="6.58203125" style="33" customWidth="1"/>
    <col min="6398" max="6399" width="7.58203125" style="33" customWidth="1"/>
    <col min="6400" max="6621" width="9.1640625" style="33"/>
    <col min="6622" max="6622" width="3.4140625" style="33" customWidth="1"/>
    <col min="6623" max="6623" width="29.58203125" style="33" customWidth="1"/>
    <col min="6624" max="6624" width="8.1640625" style="33" customWidth="1"/>
    <col min="6625" max="6625" width="7.75" style="33" customWidth="1"/>
    <col min="6626" max="6626" width="5.83203125" style="33" customWidth="1"/>
    <col min="6627" max="6627" width="5.75" style="33" customWidth="1"/>
    <col min="6628" max="6628" width="5.58203125" style="33" customWidth="1"/>
    <col min="6629" max="6630" width="6.25" style="33" customWidth="1"/>
    <col min="6631" max="6631" width="7.25" style="33" customWidth="1"/>
    <col min="6632" max="6632" width="5.83203125" style="33" customWidth="1"/>
    <col min="6633" max="6633" width="6.25" style="33" customWidth="1"/>
    <col min="6634" max="6638" width="6.83203125" style="33" customWidth="1"/>
    <col min="6639" max="6639" width="7.1640625" style="33" customWidth="1"/>
    <col min="6640" max="6641" width="7.4140625" style="33" customWidth="1"/>
    <col min="6642" max="6642" width="7.1640625" style="33" customWidth="1"/>
    <col min="6643" max="6643" width="5.1640625" style="33" customWidth="1"/>
    <col min="6644" max="6644" width="6.25" style="33" customWidth="1"/>
    <col min="6645" max="6645" width="6.4140625" style="33" customWidth="1"/>
    <col min="6646" max="6646" width="5.75" style="33" customWidth="1"/>
    <col min="6647" max="6647" width="6.25" style="33" customWidth="1"/>
    <col min="6648" max="6652" width="6.83203125" style="33" customWidth="1"/>
    <col min="6653" max="6653" width="6.58203125" style="33" customWidth="1"/>
    <col min="6654" max="6655" width="7.58203125" style="33" customWidth="1"/>
    <col min="6656" max="6877" width="9.1640625" style="33"/>
    <col min="6878" max="6878" width="3.4140625" style="33" customWidth="1"/>
    <col min="6879" max="6879" width="29.58203125" style="33" customWidth="1"/>
    <col min="6880" max="6880" width="8.1640625" style="33" customWidth="1"/>
    <col min="6881" max="6881" width="7.75" style="33" customWidth="1"/>
    <col min="6882" max="6882" width="5.83203125" style="33" customWidth="1"/>
    <col min="6883" max="6883" width="5.75" style="33" customWidth="1"/>
    <col min="6884" max="6884" width="5.58203125" style="33" customWidth="1"/>
    <col min="6885" max="6886" width="6.25" style="33" customWidth="1"/>
    <col min="6887" max="6887" width="7.25" style="33" customWidth="1"/>
    <col min="6888" max="6888" width="5.83203125" style="33" customWidth="1"/>
    <col min="6889" max="6889" width="6.25" style="33" customWidth="1"/>
    <col min="6890" max="6894" width="6.83203125" style="33" customWidth="1"/>
    <col min="6895" max="6895" width="7.1640625" style="33" customWidth="1"/>
    <col min="6896" max="6897" width="7.4140625" style="33" customWidth="1"/>
    <col min="6898" max="6898" width="7.1640625" style="33" customWidth="1"/>
    <col min="6899" max="6899" width="5.1640625" style="33" customWidth="1"/>
    <col min="6900" max="6900" width="6.25" style="33" customWidth="1"/>
    <col min="6901" max="6901" width="6.4140625" style="33" customWidth="1"/>
    <col min="6902" max="6902" width="5.75" style="33" customWidth="1"/>
    <col min="6903" max="6903" width="6.25" style="33" customWidth="1"/>
    <col min="6904" max="6908" width="6.83203125" style="33" customWidth="1"/>
    <col min="6909" max="6909" width="6.58203125" style="33" customWidth="1"/>
    <col min="6910" max="6911" width="7.58203125" style="33" customWidth="1"/>
    <col min="6912" max="7133" width="9.1640625" style="33"/>
    <col min="7134" max="7134" width="3.4140625" style="33" customWidth="1"/>
    <col min="7135" max="7135" width="29.58203125" style="33" customWidth="1"/>
    <col min="7136" max="7136" width="8.1640625" style="33" customWidth="1"/>
    <col min="7137" max="7137" width="7.75" style="33" customWidth="1"/>
    <col min="7138" max="7138" width="5.83203125" style="33" customWidth="1"/>
    <col min="7139" max="7139" width="5.75" style="33" customWidth="1"/>
    <col min="7140" max="7140" width="5.58203125" style="33" customWidth="1"/>
    <col min="7141" max="7142" width="6.25" style="33" customWidth="1"/>
    <col min="7143" max="7143" width="7.25" style="33" customWidth="1"/>
    <col min="7144" max="7144" width="5.83203125" style="33" customWidth="1"/>
    <col min="7145" max="7145" width="6.25" style="33" customWidth="1"/>
    <col min="7146" max="7150" width="6.83203125" style="33" customWidth="1"/>
    <col min="7151" max="7151" width="7.1640625" style="33" customWidth="1"/>
    <col min="7152" max="7153" width="7.4140625" style="33" customWidth="1"/>
    <col min="7154" max="7154" width="7.1640625" style="33" customWidth="1"/>
    <col min="7155" max="7155" width="5.1640625" style="33" customWidth="1"/>
    <col min="7156" max="7156" width="6.25" style="33" customWidth="1"/>
    <col min="7157" max="7157" width="6.4140625" style="33" customWidth="1"/>
    <col min="7158" max="7158" width="5.75" style="33" customWidth="1"/>
    <col min="7159" max="7159" width="6.25" style="33" customWidth="1"/>
    <col min="7160" max="7164" width="6.83203125" style="33" customWidth="1"/>
    <col min="7165" max="7165" width="6.58203125" style="33" customWidth="1"/>
    <col min="7166" max="7167" width="7.58203125" style="33" customWidth="1"/>
    <col min="7168" max="7389" width="9.1640625" style="33"/>
    <col min="7390" max="7390" width="3.4140625" style="33" customWidth="1"/>
    <col min="7391" max="7391" width="29.58203125" style="33" customWidth="1"/>
    <col min="7392" max="7392" width="8.1640625" style="33" customWidth="1"/>
    <col min="7393" max="7393" width="7.75" style="33" customWidth="1"/>
    <col min="7394" max="7394" width="5.83203125" style="33" customWidth="1"/>
    <col min="7395" max="7395" width="5.75" style="33" customWidth="1"/>
    <col min="7396" max="7396" width="5.58203125" style="33" customWidth="1"/>
    <col min="7397" max="7398" width="6.25" style="33" customWidth="1"/>
    <col min="7399" max="7399" width="7.25" style="33" customWidth="1"/>
    <col min="7400" max="7400" width="5.83203125" style="33" customWidth="1"/>
    <col min="7401" max="7401" width="6.25" style="33" customWidth="1"/>
    <col min="7402" max="7406" width="6.83203125" style="33" customWidth="1"/>
    <col min="7407" max="7407" width="7.1640625" style="33" customWidth="1"/>
    <col min="7408" max="7409" width="7.4140625" style="33" customWidth="1"/>
    <col min="7410" max="7410" width="7.1640625" style="33" customWidth="1"/>
    <col min="7411" max="7411" width="5.1640625" style="33" customWidth="1"/>
    <col min="7412" max="7412" width="6.25" style="33" customWidth="1"/>
    <col min="7413" max="7413" width="6.4140625" style="33" customWidth="1"/>
    <col min="7414" max="7414" width="5.75" style="33" customWidth="1"/>
    <col min="7415" max="7415" width="6.25" style="33" customWidth="1"/>
    <col min="7416" max="7420" width="6.83203125" style="33" customWidth="1"/>
    <col min="7421" max="7421" width="6.58203125" style="33" customWidth="1"/>
    <col min="7422" max="7423" width="7.58203125" style="33" customWidth="1"/>
    <col min="7424" max="7645" width="9.1640625" style="33"/>
    <col min="7646" max="7646" width="3.4140625" style="33" customWidth="1"/>
    <col min="7647" max="7647" width="29.58203125" style="33" customWidth="1"/>
    <col min="7648" max="7648" width="8.1640625" style="33" customWidth="1"/>
    <col min="7649" max="7649" width="7.75" style="33" customWidth="1"/>
    <col min="7650" max="7650" width="5.83203125" style="33" customWidth="1"/>
    <col min="7651" max="7651" width="5.75" style="33" customWidth="1"/>
    <col min="7652" max="7652" width="5.58203125" style="33" customWidth="1"/>
    <col min="7653" max="7654" width="6.25" style="33" customWidth="1"/>
    <col min="7655" max="7655" width="7.25" style="33" customWidth="1"/>
    <col min="7656" max="7656" width="5.83203125" style="33" customWidth="1"/>
    <col min="7657" max="7657" width="6.25" style="33" customWidth="1"/>
    <col min="7658" max="7662" width="6.83203125" style="33" customWidth="1"/>
    <col min="7663" max="7663" width="7.1640625" style="33" customWidth="1"/>
    <col min="7664" max="7665" width="7.4140625" style="33" customWidth="1"/>
    <col min="7666" max="7666" width="7.1640625" style="33" customWidth="1"/>
    <col min="7667" max="7667" width="5.1640625" style="33" customWidth="1"/>
    <col min="7668" max="7668" width="6.25" style="33" customWidth="1"/>
    <col min="7669" max="7669" width="6.4140625" style="33" customWidth="1"/>
    <col min="7670" max="7670" width="5.75" style="33" customWidth="1"/>
    <col min="7671" max="7671" width="6.25" style="33" customWidth="1"/>
    <col min="7672" max="7676" width="6.83203125" style="33" customWidth="1"/>
    <col min="7677" max="7677" width="6.58203125" style="33" customWidth="1"/>
    <col min="7678" max="7679" width="7.58203125" style="33" customWidth="1"/>
    <col min="7680" max="7901" width="9.1640625" style="33"/>
    <col min="7902" max="7902" width="3.4140625" style="33" customWidth="1"/>
    <col min="7903" max="7903" width="29.58203125" style="33" customWidth="1"/>
    <col min="7904" max="7904" width="8.1640625" style="33" customWidth="1"/>
    <col min="7905" max="7905" width="7.75" style="33" customWidth="1"/>
    <col min="7906" max="7906" width="5.83203125" style="33" customWidth="1"/>
    <col min="7907" max="7907" width="5.75" style="33" customWidth="1"/>
    <col min="7908" max="7908" width="5.58203125" style="33" customWidth="1"/>
    <col min="7909" max="7910" width="6.25" style="33" customWidth="1"/>
    <col min="7911" max="7911" width="7.25" style="33" customWidth="1"/>
    <col min="7912" max="7912" width="5.83203125" style="33" customWidth="1"/>
    <col min="7913" max="7913" width="6.25" style="33" customWidth="1"/>
    <col min="7914" max="7918" width="6.83203125" style="33" customWidth="1"/>
    <col min="7919" max="7919" width="7.1640625" style="33" customWidth="1"/>
    <col min="7920" max="7921" width="7.4140625" style="33" customWidth="1"/>
    <col min="7922" max="7922" width="7.1640625" style="33" customWidth="1"/>
    <col min="7923" max="7923" width="5.1640625" style="33" customWidth="1"/>
    <col min="7924" max="7924" width="6.25" style="33" customWidth="1"/>
    <col min="7925" max="7925" width="6.4140625" style="33" customWidth="1"/>
    <col min="7926" max="7926" width="5.75" style="33" customWidth="1"/>
    <col min="7927" max="7927" width="6.25" style="33" customWidth="1"/>
    <col min="7928" max="7932" width="6.83203125" style="33" customWidth="1"/>
    <col min="7933" max="7933" width="6.58203125" style="33" customWidth="1"/>
    <col min="7934" max="7935" width="7.58203125" style="33" customWidth="1"/>
    <col min="7936" max="8157" width="9.1640625" style="33"/>
    <col min="8158" max="8158" width="3.4140625" style="33" customWidth="1"/>
    <col min="8159" max="8159" width="29.58203125" style="33" customWidth="1"/>
    <col min="8160" max="8160" width="8.1640625" style="33" customWidth="1"/>
    <col min="8161" max="8161" width="7.75" style="33" customWidth="1"/>
    <col min="8162" max="8162" width="5.83203125" style="33" customWidth="1"/>
    <col min="8163" max="8163" width="5.75" style="33" customWidth="1"/>
    <col min="8164" max="8164" width="5.58203125" style="33" customWidth="1"/>
    <col min="8165" max="8166" width="6.25" style="33" customWidth="1"/>
    <col min="8167" max="8167" width="7.25" style="33" customWidth="1"/>
    <col min="8168" max="8168" width="5.83203125" style="33" customWidth="1"/>
    <col min="8169" max="8169" width="6.25" style="33" customWidth="1"/>
    <col min="8170" max="8174" width="6.83203125" style="33" customWidth="1"/>
    <col min="8175" max="8175" width="7.1640625" style="33" customWidth="1"/>
    <col min="8176" max="8177" width="7.4140625" style="33" customWidth="1"/>
    <col min="8178" max="8178" width="7.1640625" style="33" customWidth="1"/>
    <col min="8179" max="8179" width="5.1640625" style="33" customWidth="1"/>
    <col min="8180" max="8180" width="6.25" style="33" customWidth="1"/>
    <col min="8181" max="8181" width="6.4140625" style="33" customWidth="1"/>
    <col min="8182" max="8182" width="5.75" style="33" customWidth="1"/>
    <col min="8183" max="8183" width="6.25" style="33" customWidth="1"/>
    <col min="8184" max="8188" width="6.83203125" style="33" customWidth="1"/>
    <col min="8189" max="8189" width="6.58203125" style="33" customWidth="1"/>
    <col min="8190" max="8191" width="7.58203125" style="33" customWidth="1"/>
    <col min="8192" max="8413" width="9.1640625" style="33"/>
    <col min="8414" max="8414" width="3.4140625" style="33" customWidth="1"/>
    <col min="8415" max="8415" width="29.58203125" style="33" customWidth="1"/>
    <col min="8416" max="8416" width="8.1640625" style="33" customWidth="1"/>
    <col min="8417" max="8417" width="7.75" style="33" customWidth="1"/>
    <col min="8418" max="8418" width="5.83203125" style="33" customWidth="1"/>
    <col min="8419" max="8419" width="5.75" style="33" customWidth="1"/>
    <col min="8420" max="8420" width="5.58203125" style="33" customWidth="1"/>
    <col min="8421" max="8422" width="6.25" style="33" customWidth="1"/>
    <col min="8423" max="8423" width="7.25" style="33" customWidth="1"/>
    <col min="8424" max="8424" width="5.83203125" style="33" customWidth="1"/>
    <col min="8425" max="8425" width="6.25" style="33" customWidth="1"/>
    <col min="8426" max="8430" width="6.83203125" style="33" customWidth="1"/>
    <col min="8431" max="8431" width="7.1640625" style="33" customWidth="1"/>
    <col min="8432" max="8433" width="7.4140625" style="33" customWidth="1"/>
    <col min="8434" max="8434" width="7.1640625" style="33" customWidth="1"/>
    <col min="8435" max="8435" width="5.1640625" style="33" customWidth="1"/>
    <col min="8436" max="8436" width="6.25" style="33" customWidth="1"/>
    <col min="8437" max="8437" width="6.4140625" style="33" customWidth="1"/>
    <col min="8438" max="8438" width="5.75" style="33" customWidth="1"/>
    <col min="8439" max="8439" width="6.25" style="33" customWidth="1"/>
    <col min="8440" max="8444" width="6.83203125" style="33" customWidth="1"/>
    <col min="8445" max="8445" width="6.58203125" style="33" customWidth="1"/>
    <col min="8446" max="8447" width="7.58203125" style="33" customWidth="1"/>
    <col min="8448" max="8669" width="9.1640625" style="33"/>
    <col min="8670" max="8670" width="3.4140625" style="33" customWidth="1"/>
    <col min="8671" max="8671" width="29.58203125" style="33" customWidth="1"/>
    <col min="8672" max="8672" width="8.1640625" style="33" customWidth="1"/>
    <col min="8673" max="8673" width="7.75" style="33" customWidth="1"/>
    <col min="8674" max="8674" width="5.83203125" style="33" customWidth="1"/>
    <col min="8675" max="8675" width="5.75" style="33" customWidth="1"/>
    <col min="8676" max="8676" width="5.58203125" style="33" customWidth="1"/>
    <col min="8677" max="8678" width="6.25" style="33" customWidth="1"/>
    <col min="8679" max="8679" width="7.25" style="33" customWidth="1"/>
    <col min="8680" max="8680" width="5.83203125" style="33" customWidth="1"/>
    <col min="8681" max="8681" width="6.25" style="33" customWidth="1"/>
    <col min="8682" max="8686" width="6.83203125" style="33" customWidth="1"/>
    <col min="8687" max="8687" width="7.1640625" style="33" customWidth="1"/>
    <col min="8688" max="8689" width="7.4140625" style="33" customWidth="1"/>
    <col min="8690" max="8690" width="7.1640625" style="33" customWidth="1"/>
    <col min="8691" max="8691" width="5.1640625" style="33" customWidth="1"/>
    <col min="8692" max="8692" width="6.25" style="33" customWidth="1"/>
    <col min="8693" max="8693" width="6.4140625" style="33" customWidth="1"/>
    <col min="8694" max="8694" width="5.75" style="33" customWidth="1"/>
    <col min="8695" max="8695" width="6.25" style="33" customWidth="1"/>
    <col min="8696" max="8700" width="6.83203125" style="33" customWidth="1"/>
    <col min="8701" max="8701" width="6.58203125" style="33" customWidth="1"/>
    <col min="8702" max="8703" width="7.58203125" style="33" customWidth="1"/>
    <col min="8704" max="8925" width="9.1640625" style="33"/>
    <col min="8926" max="8926" width="3.4140625" style="33" customWidth="1"/>
    <col min="8927" max="8927" width="29.58203125" style="33" customWidth="1"/>
    <col min="8928" max="8928" width="8.1640625" style="33" customWidth="1"/>
    <col min="8929" max="8929" width="7.75" style="33" customWidth="1"/>
    <col min="8930" max="8930" width="5.83203125" style="33" customWidth="1"/>
    <col min="8931" max="8931" width="5.75" style="33" customWidth="1"/>
    <col min="8932" max="8932" width="5.58203125" style="33" customWidth="1"/>
    <col min="8933" max="8934" width="6.25" style="33" customWidth="1"/>
    <col min="8935" max="8935" width="7.25" style="33" customWidth="1"/>
    <col min="8936" max="8936" width="5.83203125" style="33" customWidth="1"/>
    <col min="8937" max="8937" width="6.25" style="33" customWidth="1"/>
    <col min="8938" max="8942" width="6.83203125" style="33" customWidth="1"/>
    <col min="8943" max="8943" width="7.1640625" style="33" customWidth="1"/>
    <col min="8944" max="8945" width="7.4140625" style="33" customWidth="1"/>
    <col min="8946" max="8946" width="7.1640625" style="33" customWidth="1"/>
    <col min="8947" max="8947" width="5.1640625" style="33" customWidth="1"/>
    <col min="8948" max="8948" width="6.25" style="33" customWidth="1"/>
    <col min="8949" max="8949" width="6.4140625" style="33" customWidth="1"/>
    <col min="8950" max="8950" width="5.75" style="33" customWidth="1"/>
    <col min="8951" max="8951" width="6.25" style="33" customWidth="1"/>
    <col min="8952" max="8956" width="6.83203125" style="33" customWidth="1"/>
    <col min="8957" max="8957" width="6.58203125" style="33" customWidth="1"/>
    <col min="8958" max="8959" width="7.58203125" style="33" customWidth="1"/>
    <col min="8960" max="9181" width="9.1640625" style="33"/>
    <col min="9182" max="9182" width="3.4140625" style="33" customWidth="1"/>
    <col min="9183" max="9183" width="29.58203125" style="33" customWidth="1"/>
    <col min="9184" max="9184" width="8.1640625" style="33" customWidth="1"/>
    <col min="9185" max="9185" width="7.75" style="33" customWidth="1"/>
    <col min="9186" max="9186" width="5.83203125" style="33" customWidth="1"/>
    <col min="9187" max="9187" width="5.75" style="33" customWidth="1"/>
    <col min="9188" max="9188" width="5.58203125" style="33" customWidth="1"/>
    <col min="9189" max="9190" width="6.25" style="33" customWidth="1"/>
    <col min="9191" max="9191" width="7.25" style="33" customWidth="1"/>
    <col min="9192" max="9192" width="5.83203125" style="33" customWidth="1"/>
    <col min="9193" max="9193" width="6.25" style="33" customWidth="1"/>
    <col min="9194" max="9198" width="6.83203125" style="33" customWidth="1"/>
    <col min="9199" max="9199" width="7.1640625" style="33" customWidth="1"/>
    <col min="9200" max="9201" width="7.4140625" style="33" customWidth="1"/>
    <col min="9202" max="9202" width="7.1640625" style="33" customWidth="1"/>
    <col min="9203" max="9203" width="5.1640625" style="33" customWidth="1"/>
    <col min="9204" max="9204" width="6.25" style="33" customWidth="1"/>
    <col min="9205" max="9205" width="6.4140625" style="33" customWidth="1"/>
    <col min="9206" max="9206" width="5.75" style="33" customWidth="1"/>
    <col min="9207" max="9207" width="6.25" style="33" customWidth="1"/>
    <col min="9208" max="9212" width="6.83203125" style="33" customWidth="1"/>
    <col min="9213" max="9213" width="6.58203125" style="33" customWidth="1"/>
    <col min="9214" max="9215" width="7.58203125" style="33" customWidth="1"/>
    <col min="9216" max="9437" width="9.1640625" style="33"/>
    <col min="9438" max="9438" width="3.4140625" style="33" customWidth="1"/>
    <col min="9439" max="9439" width="29.58203125" style="33" customWidth="1"/>
    <col min="9440" max="9440" width="8.1640625" style="33" customWidth="1"/>
    <col min="9441" max="9441" width="7.75" style="33" customWidth="1"/>
    <col min="9442" max="9442" width="5.83203125" style="33" customWidth="1"/>
    <col min="9443" max="9443" width="5.75" style="33" customWidth="1"/>
    <col min="9444" max="9444" width="5.58203125" style="33" customWidth="1"/>
    <col min="9445" max="9446" width="6.25" style="33" customWidth="1"/>
    <col min="9447" max="9447" width="7.25" style="33" customWidth="1"/>
    <col min="9448" max="9448" width="5.83203125" style="33" customWidth="1"/>
    <col min="9449" max="9449" width="6.25" style="33" customWidth="1"/>
    <col min="9450" max="9454" width="6.83203125" style="33" customWidth="1"/>
    <col min="9455" max="9455" width="7.1640625" style="33" customWidth="1"/>
    <col min="9456" max="9457" width="7.4140625" style="33" customWidth="1"/>
    <col min="9458" max="9458" width="7.1640625" style="33" customWidth="1"/>
    <col min="9459" max="9459" width="5.1640625" style="33" customWidth="1"/>
    <col min="9460" max="9460" width="6.25" style="33" customWidth="1"/>
    <col min="9461" max="9461" width="6.4140625" style="33" customWidth="1"/>
    <col min="9462" max="9462" width="5.75" style="33" customWidth="1"/>
    <col min="9463" max="9463" width="6.25" style="33" customWidth="1"/>
    <col min="9464" max="9468" width="6.83203125" style="33" customWidth="1"/>
    <col min="9469" max="9469" width="6.58203125" style="33" customWidth="1"/>
    <col min="9470" max="9471" width="7.58203125" style="33" customWidth="1"/>
    <col min="9472" max="9693" width="9.1640625" style="33"/>
    <col min="9694" max="9694" width="3.4140625" style="33" customWidth="1"/>
    <col min="9695" max="9695" width="29.58203125" style="33" customWidth="1"/>
    <col min="9696" max="9696" width="8.1640625" style="33" customWidth="1"/>
    <col min="9697" max="9697" width="7.75" style="33" customWidth="1"/>
    <col min="9698" max="9698" width="5.83203125" style="33" customWidth="1"/>
    <col min="9699" max="9699" width="5.75" style="33" customWidth="1"/>
    <col min="9700" max="9700" width="5.58203125" style="33" customWidth="1"/>
    <col min="9701" max="9702" width="6.25" style="33" customWidth="1"/>
    <col min="9703" max="9703" width="7.25" style="33" customWidth="1"/>
    <col min="9704" max="9704" width="5.83203125" style="33" customWidth="1"/>
    <col min="9705" max="9705" width="6.25" style="33" customWidth="1"/>
    <col min="9706" max="9710" width="6.83203125" style="33" customWidth="1"/>
    <col min="9711" max="9711" width="7.1640625" style="33" customWidth="1"/>
    <col min="9712" max="9713" width="7.4140625" style="33" customWidth="1"/>
    <col min="9714" max="9714" width="7.1640625" style="33" customWidth="1"/>
    <col min="9715" max="9715" width="5.1640625" style="33" customWidth="1"/>
    <col min="9716" max="9716" width="6.25" style="33" customWidth="1"/>
    <col min="9717" max="9717" width="6.4140625" style="33" customWidth="1"/>
    <col min="9718" max="9718" width="5.75" style="33" customWidth="1"/>
    <col min="9719" max="9719" width="6.25" style="33" customWidth="1"/>
    <col min="9720" max="9724" width="6.83203125" style="33" customWidth="1"/>
    <col min="9725" max="9725" width="6.58203125" style="33" customWidth="1"/>
    <col min="9726" max="9727" width="7.58203125" style="33" customWidth="1"/>
    <col min="9728" max="9949" width="9.1640625" style="33"/>
    <col min="9950" max="9950" width="3.4140625" style="33" customWidth="1"/>
    <col min="9951" max="9951" width="29.58203125" style="33" customWidth="1"/>
    <col min="9952" max="9952" width="8.1640625" style="33" customWidth="1"/>
    <col min="9953" max="9953" width="7.75" style="33" customWidth="1"/>
    <col min="9954" max="9954" width="5.83203125" style="33" customWidth="1"/>
    <col min="9955" max="9955" width="5.75" style="33" customWidth="1"/>
    <col min="9956" max="9956" width="5.58203125" style="33" customWidth="1"/>
    <col min="9957" max="9958" width="6.25" style="33" customWidth="1"/>
    <col min="9959" max="9959" width="7.25" style="33" customWidth="1"/>
    <col min="9960" max="9960" width="5.83203125" style="33" customWidth="1"/>
    <col min="9961" max="9961" width="6.25" style="33" customWidth="1"/>
    <col min="9962" max="9966" width="6.83203125" style="33" customWidth="1"/>
    <col min="9967" max="9967" width="7.1640625" style="33" customWidth="1"/>
    <col min="9968" max="9969" width="7.4140625" style="33" customWidth="1"/>
    <col min="9970" max="9970" width="7.1640625" style="33" customWidth="1"/>
    <col min="9971" max="9971" width="5.1640625" style="33" customWidth="1"/>
    <col min="9972" max="9972" width="6.25" style="33" customWidth="1"/>
    <col min="9973" max="9973" width="6.4140625" style="33" customWidth="1"/>
    <col min="9974" max="9974" width="5.75" style="33" customWidth="1"/>
    <col min="9975" max="9975" width="6.25" style="33" customWidth="1"/>
    <col min="9976" max="9980" width="6.83203125" style="33" customWidth="1"/>
    <col min="9981" max="9981" width="6.58203125" style="33" customWidth="1"/>
    <col min="9982" max="9983" width="7.58203125" style="33" customWidth="1"/>
    <col min="9984" max="10205" width="9.1640625" style="33"/>
    <col min="10206" max="10206" width="3.4140625" style="33" customWidth="1"/>
    <col min="10207" max="10207" width="29.58203125" style="33" customWidth="1"/>
    <col min="10208" max="10208" width="8.1640625" style="33" customWidth="1"/>
    <col min="10209" max="10209" width="7.75" style="33" customWidth="1"/>
    <col min="10210" max="10210" width="5.83203125" style="33" customWidth="1"/>
    <col min="10211" max="10211" width="5.75" style="33" customWidth="1"/>
    <col min="10212" max="10212" width="5.58203125" style="33" customWidth="1"/>
    <col min="10213" max="10214" width="6.25" style="33" customWidth="1"/>
    <col min="10215" max="10215" width="7.25" style="33" customWidth="1"/>
    <col min="10216" max="10216" width="5.83203125" style="33" customWidth="1"/>
    <col min="10217" max="10217" width="6.25" style="33" customWidth="1"/>
    <col min="10218" max="10222" width="6.83203125" style="33" customWidth="1"/>
    <col min="10223" max="10223" width="7.1640625" style="33" customWidth="1"/>
    <col min="10224" max="10225" width="7.4140625" style="33" customWidth="1"/>
    <col min="10226" max="10226" width="7.1640625" style="33" customWidth="1"/>
    <col min="10227" max="10227" width="5.1640625" style="33" customWidth="1"/>
    <col min="10228" max="10228" width="6.25" style="33" customWidth="1"/>
    <col min="10229" max="10229" width="6.4140625" style="33" customWidth="1"/>
    <col min="10230" max="10230" width="5.75" style="33" customWidth="1"/>
    <col min="10231" max="10231" width="6.25" style="33" customWidth="1"/>
    <col min="10232" max="10236" width="6.83203125" style="33" customWidth="1"/>
    <col min="10237" max="10237" width="6.58203125" style="33" customWidth="1"/>
    <col min="10238" max="10239" width="7.58203125" style="33" customWidth="1"/>
    <col min="10240" max="10461" width="9.1640625" style="33"/>
    <col min="10462" max="10462" width="3.4140625" style="33" customWidth="1"/>
    <col min="10463" max="10463" width="29.58203125" style="33" customWidth="1"/>
    <col min="10464" max="10464" width="8.1640625" style="33" customWidth="1"/>
    <col min="10465" max="10465" width="7.75" style="33" customWidth="1"/>
    <col min="10466" max="10466" width="5.83203125" style="33" customWidth="1"/>
    <col min="10467" max="10467" width="5.75" style="33" customWidth="1"/>
    <col min="10468" max="10468" width="5.58203125" style="33" customWidth="1"/>
    <col min="10469" max="10470" width="6.25" style="33" customWidth="1"/>
    <col min="10471" max="10471" width="7.25" style="33" customWidth="1"/>
    <col min="10472" max="10472" width="5.83203125" style="33" customWidth="1"/>
    <col min="10473" max="10473" width="6.25" style="33" customWidth="1"/>
    <col min="10474" max="10478" width="6.83203125" style="33" customWidth="1"/>
    <col min="10479" max="10479" width="7.1640625" style="33" customWidth="1"/>
    <col min="10480" max="10481" width="7.4140625" style="33" customWidth="1"/>
    <col min="10482" max="10482" width="7.1640625" style="33" customWidth="1"/>
    <col min="10483" max="10483" width="5.1640625" style="33" customWidth="1"/>
    <col min="10484" max="10484" width="6.25" style="33" customWidth="1"/>
    <col min="10485" max="10485" width="6.4140625" style="33" customWidth="1"/>
    <col min="10486" max="10486" width="5.75" style="33" customWidth="1"/>
    <col min="10487" max="10487" width="6.25" style="33" customWidth="1"/>
    <col min="10488" max="10492" width="6.83203125" style="33" customWidth="1"/>
    <col min="10493" max="10493" width="6.58203125" style="33" customWidth="1"/>
    <col min="10494" max="10495" width="7.58203125" style="33" customWidth="1"/>
    <col min="10496" max="10717" width="9.1640625" style="33"/>
    <col min="10718" max="10718" width="3.4140625" style="33" customWidth="1"/>
    <col min="10719" max="10719" width="29.58203125" style="33" customWidth="1"/>
    <col min="10720" max="10720" width="8.1640625" style="33" customWidth="1"/>
    <col min="10721" max="10721" width="7.75" style="33" customWidth="1"/>
    <col min="10722" max="10722" width="5.83203125" style="33" customWidth="1"/>
    <col min="10723" max="10723" width="5.75" style="33" customWidth="1"/>
    <col min="10724" max="10724" width="5.58203125" style="33" customWidth="1"/>
    <col min="10725" max="10726" width="6.25" style="33" customWidth="1"/>
    <col min="10727" max="10727" width="7.25" style="33" customWidth="1"/>
    <col min="10728" max="10728" width="5.83203125" style="33" customWidth="1"/>
    <col min="10729" max="10729" width="6.25" style="33" customWidth="1"/>
    <col min="10730" max="10734" width="6.83203125" style="33" customWidth="1"/>
    <col min="10735" max="10735" width="7.1640625" style="33" customWidth="1"/>
    <col min="10736" max="10737" width="7.4140625" style="33" customWidth="1"/>
    <col min="10738" max="10738" width="7.1640625" style="33" customWidth="1"/>
    <col min="10739" max="10739" width="5.1640625" style="33" customWidth="1"/>
    <col min="10740" max="10740" width="6.25" style="33" customWidth="1"/>
    <col min="10741" max="10741" width="6.4140625" style="33" customWidth="1"/>
    <col min="10742" max="10742" width="5.75" style="33" customWidth="1"/>
    <col min="10743" max="10743" width="6.25" style="33" customWidth="1"/>
    <col min="10744" max="10748" width="6.83203125" style="33" customWidth="1"/>
    <col min="10749" max="10749" width="6.58203125" style="33" customWidth="1"/>
    <col min="10750" max="10751" width="7.58203125" style="33" customWidth="1"/>
    <col min="10752" max="10973" width="9.1640625" style="33"/>
    <col min="10974" max="10974" width="3.4140625" style="33" customWidth="1"/>
    <col min="10975" max="10975" width="29.58203125" style="33" customWidth="1"/>
    <col min="10976" max="10976" width="8.1640625" style="33" customWidth="1"/>
    <col min="10977" max="10977" width="7.75" style="33" customWidth="1"/>
    <col min="10978" max="10978" width="5.83203125" style="33" customWidth="1"/>
    <col min="10979" max="10979" width="5.75" style="33" customWidth="1"/>
    <col min="10980" max="10980" width="5.58203125" style="33" customWidth="1"/>
    <col min="10981" max="10982" width="6.25" style="33" customWidth="1"/>
    <col min="10983" max="10983" width="7.25" style="33" customWidth="1"/>
    <col min="10984" max="10984" width="5.83203125" style="33" customWidth="1"/>
    <col min="10985" max="10985" width="6.25" style="33" customWidth="1"/>
    <col min="10986" max="10990" width="6.83203125" style="33" customWidth="1"/>
    <col min="10991" max="10991" width="7.1640625" style="33" customWidth="1"/>
    <col min="10992" max="10993" width="7.4140625" style="33" customWidth="1"/>
    <col min="10994" max="10994" width="7.1640625" style="33" customWidth="1"/>
    <col min="10995" max="10995" width="5.1640625" style="33" customWidth="1"/>
    <col min="10996" max="10996" width="6.25" style="33" customWidth="1"/>
    <col min="10997" max="10997" width="6.4140625" style="33" customWidth="1"/>
    <col min="10998" max="10998" width="5.75" style="33" customWidth="1"/>
    <col min="10999" max="10999" width="6.25" style="33" customWidth="1"/>
    <col min="11000" max="11004" width="6.83203125" style="33" customWidth="1"/>
    <col min="11005" max="11005" width="6.58203125" style="33" customWidth="1"/>
    <col min="11006" max="11007" width="7.58203125" style="33" customWidth="1"/>
    <col min="11008" max="11229" width="9.1640625" style="33"/>
    <col min="11230" max="11230" width="3.4140625" style="33" customWidth="1"/>
    <col min="11231" max="11231" width="29.58203125" style="33" customWidth="1"/>
    <col min="11232" max="11232" width="8.1640625" style="33" customWidth="1"/>
    <col min="11233" max="11233" width="7.75" style="33" customWidth="1"/>
    <col min="11234" max="11234" width="5.83203125" style="33" customWidth="1"/>
    <col min="11235" max="11235" width="5.75" style="33" customWidth="1"/>
    <col min="11236" max="11236" width="5.58203125" style="33" customWidth="1"/>
    <col min="11237" max="11238" width="6.25" style="33" customWidth="1"/>
    <col min="11239" max="11239" width="7.25" style="33" customWidth="1"/>
    <col min="11240" max="11240" width="5.83203125" style="33" customWidth="1"/>
    <col min="11241" max="11241" width="6.25" style="33" customWidth="1"/>
    <col min="11242" max="11246" width="6.83203125" style="33" customWidth="1"/>
    <col min="11247" max="11247" width="7.1640625" style="33" customWidth="1"/>
    <col min="11248" max="11249" width="7.4140625" style="33" customWidth="1"/>
    <col min="11250" max="11250" width="7.1640625" style="33" customWidth="1"/>
    <col min="11251" max="11251" width="5.1640625" style="33" customWidth="1"/>
    <col min="11252" max="11252" width="6.25" style="33" customWidth="1"/>
    <col min="11253" max="11253" width="6.4140625" style="33" customWidth="1"/>
    <col min="11254" max="11254" width="5.75" style="33" customWidth="1"/>
    <col min="11255" max="11255" width="6.25" style="33" customWidth="1"/>
    <col min="11256" max="11260" width="6.83203125" style="33" customWidth="1"/>
    <col min="11261" max="11261" width="6.58203125" style="33" customWidth="1"/>
    <col min="11262" max="11263" width="7.58203125" style="33" customWidth="1"/>
    <col min="11264" max="11485" width="9.1640625" style="33"/>
    <col min="11486" max="11486" width="3.4140625" style="33" customWidth="1"/>
    <col min="11487" max="11487" width="29.58203125" style="33" customWidth="1"/>
    <col min="11488" max="11488" width="8.1640625" style="33" customWidth="1"/>
    <col min="11489" max="11489" width="7.75" style="33" customWidth="1"/>
    <col min="11490" max="11490" width="5.83203125" style="33" customWidth="1"/>
    <col min="11491" max="11491" width="5.75" style="33" customWidth="1"/>
    <col min="11492" max="11492" width="5.58203125" style="33" customWidth="1"/>
    <col min="11493" max="11494" width="6.25" style="33" customWidth="1"/>
    <col min="11495" max="11495" width="7.25" style="33" customWidth="1"/>
    <col min="11496" max="11496" width="5.83203125" style="33" customWidth="1"/>
    <col min="11497" max="11497" width="6.25" style="33" customWidth="1"/>
    <col min="11498" max="11502" width="6.83203125" style="33" customWidth="1"/>
    <col min="11503" max="11503" width="7.1640625" style="33" customWidth="1"/>
    <col min="11504" max="11505" width="7.4140625" style="33" customWidth="1"/>
    <col min="11506" max="11506" width="7.1640625" style="33" customWidth="1"/>
    <col min="11507" max="11507" width="5.1640625" style="33" customWidth="1"/>
    <col min="11508" max="11508" width="6.25" style="33" customWidth="1"/>
    <col min="11509" max="11509" width="6.4140625" style="33" customWidth="1"/>
    <col min="11510" max="11510" width="5.75" style="33" customWidth="1"/>
    <col min="11511" max="11511" width="6.25" style="33" customWidth="1"/>
    <col min="11512" max="11516" width="6.83203125" style="33" customWidth="1"/>
    <col min="11517" max="11517" width="6.58203125" style="33" customWidth="1"/>
    <col min="11518" max="11519" width="7.58203125" style="33" customWidth="1"/>
    <col min="11520" max="11741" width="9.1640625" style="33"/>
    <col min="11742" max="11742" width="3.4140625" style="33" customWidth="1"/>
    <col min="11743" max="11743" width="29.58203125" style="33" customWidth="1"/>
    <col min="11744" max="11744" width="8.1640625" style="33" customWidth="1"/>
    <col min="11745" max="11745" width="7.75" style="33" customWidth="1"/>
    <col min="11746" max="11746" width="5.83203125" style="33" customWidth="1"/>
    <col min="11747" max="11747" width="5.75" style="33" customWidth="1"/>
    <col min="11748" max="11748" width="5.58203125" style="33" customWidth="1"/>
    <col min="11749" max="11750" width="6.25" style="33" customWidth="1"/>
    <col min="11751" max="11751" width="7.25" style="33" customWidth="1"/>
    <col min="11752" max="11752" width="5.83203125" style="33" customWidth="1"/>
    <col min="11753" max="11753" width="6.25" style="33" customWidth="1"/>
    <col min="11754" max="11758" width="6.83203125" style="33" customWidth="1"/>
    <col min="11759" max="11759" width="7.1640625" style="33" customWidth="1"/>
    <col min="11760" max="11761" width="7.4140625" style="33" customWidth="1"/>
    <col min="11762" max="11762" width="7.1640625" style="33" customWidth="1"/>
    <col min="11763" max="11763" width="5.1640625" style="33" customWidth="1"/>
    <col min="11764" max="11764" width="6.25" style="33" customWidth="1"/>
    <col min="11765" max="11765" width="6.4140625" style="33" customWidth="1"/>
    <col min="11766" max="11766" width="5.75" style="33" customWidth="1"/>
    <col min="11767" max="11767" width="6.25" style="33" customWidth="1"/>
    <col min="11768" max="11772" width="6.83203125" style="33" customWidth="1"/>
    <col min="11773" max="11773" width="6.58203125" style="33" customWidth="1"/>
    <col min="11774" max="11775" width="7.58203125" style="33" customWidth="1"/>
    <col min="11776" max="11997" width="9.1640625" style="33"/>
    <col min="11998" max="11998" width="3.4140625" style="33" customWidth="1"/>
    <col min="11999" max="11999" width="29.58203125" style="33" customWidth="1"/>
    <col min="12000" max="12000" width="8.1640625" style="33" customWidth="1"/>
    <col min="12001" max="12001" width="7.75" style="33" customWidth="1"/>
    <col min="12002" max="12002" width="5.83203125" style="33" customWidth="1"/>
    <col min="12003" max="12003" width="5.75" style="33" customWidth="1"/>
    <col min="12004" max="12004" width="5.58203125" style="33" customWidth="1"/>
    <col min="12005" max="12006" width="6.25" style="33" customWidth="1"/>
    <col min="12007" max="12007" width="7.25" style="33" customWidth="1"/>
    <col min="12008" max="12008" width="5.83203125" style="33" customWidth="1"/>
    <col min="12009" max="12009" width="6.25" style="33" customWidth="1"/>
    <col min="12010" max="12014" width="6.83203125" style="33" customWidth="1"/>
    <col min="12015" max="12015" width="7.1640625" style="33" customWidth="1"/>
    <col min="12016" max="12017" width="7.4140625" style="33" customWidth="1"/>
    <col min="12018" max="12018" width="7.1640625" style="33" customWidth="1"/>
    <col min="12019" max="12019" width="5.1640625" style="33" customWidth="1"/>
    <col min="12020" max="12020" width="6.25" style="33" customWidth="1"/>
    <col min="12021" max="12021" width="6.4140625" style="33" customWidth="1"/>
    <col min="12022" max="12022" width="5.75" style="33" customWidth="1"/>
    <col min="12023" max="12023" width="6.25" style="33" customWidth="1"/>
    <col min="12024" max="12028" width="6.83203125" style="33" customWidth="1"/>
    <col min="12029" max="12029" width="6.58203125" style="33" customWidth="1"/>
    <col min="12030" max="12031" width="7.58203125" style="33" customWidth="1"/>
    <col min="12032" max="12253" width="9.1640625" style="33"/>
    <col min="12254" max="12254" width="3.4140625" style="33" customWidth="1"/>
    <col min="12255" max="12255" width="29.58203125" style="33" customWidth="1"/>
    <col min="12256" max="12256" width="8.1640625" style="33" customWidth="1"/>
    <col min="12257" max="12257" width="7.75" style="33" customWidth="1"/>
    <col min="12258" max="12258" width="5.83203125" style="33" customWidth="1"/>
    <col min="12259" max="12259" width="5.75" style="33" customWidth="1"/>
    <col min="12260" max="12260" width="5.58203125" style="33" customWidth="1"/>
    <col min="12261" max="12262" width="6.25" style="33" customWidth="1"/>
    <col min="12263" max="12263" width="7.25" style="33" customWidth="1"/>
    <col min="12264" max="12264" width="5.83203125" style="33" customWidth="1"/>
    <col min="12265" max="12265" width="6.25" style="33" customWidth="1"/>
    <col min="12266" max="12270" width="6.83203125" style="33" customWidth="1"/>
    <col min="12271" max="12271" width="7.1640625" style="33" customWidth="1"/>
    <col min="12272" max="12273" width="7.4140625" style="33" customWidth="1"/>
    <col min="12274" max="12274" width="7.1640625" style="33" customWidth="1"/>
    <col min="12275" max="12275" width="5.1640625" style="33" customWidth="1"/>
    <col min="12276" max="12276" width="6.25" style="33" customWidth="1"/>
    <col min="12277" max="12277" width="6.4140625" style="33" customWidth="1"/>
    <col min="12278" max="12278" width="5.75" style="33" customWidth="1"/>
    <col min="12279" max="12279" width="6.25" style="33" customWidth="1"/>
    <col min="12280" max="12284" width="6.83203125" style="33" customWidth="1"/>
    <col min="12285" max="12285" width="6.58203125" style="33" customWidth="1"/>
    <col min="12286" max="12287" width="7.58203125" style="33" customWidth="1"/>
    <col min="12288" max="12509" width="9.1640625" style="33"/>
    <col min="12510" max="12510" width="3.4140625" style="33" customWidth="1"/>
    <col min="12511" max="12511" width="29.58203125" style="33" customWidth="1"/>
    <col min="12512" max="12512" width="8.1640625" style="33" customWidth="1"/>
    <col min="12513" max="12513" width="7.75" style="33" customWidth="1"/>
    <col min="12514" max="12514" width="5.83203125" style="33" customWidth="1"/>
    <col min="12515" max="12515" width="5.75" style="33" customWidth="1"/>
    <col min="12516" max="12516" width="5.58203125" style="33" customWidth="1"/>
    <col min="12517" max="12518" width="6.25" style="33" customWidth="1"/>
    <col min="12519" max="12519" width="7.25" style="33" customWidth="1"/>
    <col min="12520" max="12520" width="5.83203125" style="33" customWidth="1"/>
    <col min="12521" max="12521" width="6.25" style="33" customWidth="1"/>
    <col min="12522" max="12526" width="6.83203125" style="33" customWidth="1"/>
    <col min="12527" max="12527" width="7.1640625" style="33" customWidth="1"/>
    <col min="12528" max="12529" width="7.4140625" style="33" customWidth="1"/>
    <col min="12530" max="12530" width="7.1640625" style="33" customWidth="1"/>
    <col min="12531" max="12531" width="5.1640625" style="33" customWidth="1"/>
    <col min="12532" max="12532" width="6.25" style="33" customWidth="1"/>
    <col min="12533" max="12533" width="6.4140625" style="33" customWidth="1"/>
    <col min="12534" max="12534" width="5.75" style="33" customWidth="1"/>
    <col min="12535" max="12535" width="6.25" style="33" customWidth="1"/>
    <col min="12536" max="12540" width="6.83203125" style="33" customWidth="1"/>
    <col min="12541" max="12541" width="6.58203125" style="33" customWidth="1"/>
    <col min="12542" max="12543" width="7.58203125" style="33" customWidth="1"/>
    <col min="12544" max="12765" width="9.1640625" style="33"/>
    <col min="12766" max="12766" width="3.4140625" style="33" customWidth="1"/>
    <col min="12767" max="12767" width="29.58203125" style="33" customWidth="1"/>
    <col min="12768" max="12768" width="8.1640625" style="33" customWidth="1"/>
    <col min="12769" max="12769" width="7.75" style="33" customWidth="1"/>
    <col min="12770" max="12770" width="5.83203125" style="33" customWidth="1"/>
    <col min="12771" max="12771" width="5.75" style="33" customWidth="1"/>
    <col min="12772" max="12772" width="5.58203125" style="33" customWidth="1"/>
    <col min="12773" max="12774" width="6.25" style="33" customWidth="1"/>
    <col min="12775" max="12775" width="7.25" style="33" customWidth="1"/>
    <col min="12776" max="12776" width="5.83203125" style="33" customWidth="1"/>
    <col min="12777" max="12777" width="6.25" style="33" customWidth="1"/>
    <col min="12778" max="12782" width="6.83203125" style="33" customWidth="1"/>
    <col min="12783" max="12783" width="7.1640625" style="33" customWidth="1"/>
    <col min="12784" max="12785" width="7.4140625" style="33" customWidth="1"/>
    <col min="12786" max="12786" width="7.1640625" style="33" customWidth="1"/>
    <col min="12787" max="12787" width="5.1640625" style="33" customWidth="1"/>
    <col min="12788" max="12788" width="6.25" style="33" customWidth="1"/>
    <col min="12789" max="12789" width="6.4140625" style="33" customWidth="1"/>
    <col min="12790" max="12790" width="5.75" style="33" customWidth="1"/>
    <col min="12791" max="12791" width="6.25" style="33" customWidth="1"/>
    <col min="12792" max="12796" width="6.83203125" style="33" customWidth="1"/>
    <col min="12797" max="12797" width="6.58203125" style="33" customWidth="1"/>
    <col min="12798" max="12799" width="7.58203125" style="33" customWidth="1"/>
    <col min="12800" max="13021" width="9.1640625" style="33"/>
    <col min="13022" max="13022" width="3.4140625" style="33" customWidth="1"/>
    <col min="13023" max="13023" width="29.58203125" style="33" customWidth="1"/>
    <col min="13024" max="13024" width="8.1640625" style="33" customWidth="1"/>
    <col min="13025" max="13025" width="7.75" style="33" customWidth="1"/>
    <col min="13026" max="13026" width="5.83203125" style="33" customWidth="1"/>
    <col min="13027" max="13027" width="5.75" style="33" customWidth="1"/>
    <col min="13028" max="13028" width="5.58203125" style="33" customWidth="1"/>
    <col min="13029" max="13030" width="6.25" style="33" customWidth="1"/>
    <col min="13031" max="13031" width="7.25" style="33" customWidth="1"/>
    <col min="13032" max="13032" width="5.83203125" style="33" customWidth="1"/>
    <col min="13033" max="13033" width="6.25" style="33" customWidth="1"/>
    <col min="13034" max="13038" width="6.83203125" style="33" customWidth="1"/>
    <col min="13039" max="13039" width="7.1640625" style="33" customWidth="1"/>
    <col min="13040" max="13041" width="7.4140625" style="33" customWidth="1"/>
    <col min="13042" max="13042" width="7.1640625" style="33" customWidth="1"/>
    <col min="13043" max="13043" width="5.1640625" style="33" customWidth="1"/>
    <col min="13044" max="13044" width="6.25" style="33" customWidth="1"/>
    <col min="13045" max="13045" width="6.4140625" style="33" customWidth="1"/>
    <col min="13046" max="13046" width="5.75" style="33" customWidth="1"/>
    <col min="13047" max="13047" width="6.25" style="33" customWidth="1"/>
    <col min="13048" max="13052" width="6.83203125" style="33" customWidth="1"/>
    <col min="13053" max="13053" width="6.58203125" style="33" customWidth="1"/>
    <col min="13054" max="13055" width="7.58203125" style="33" customWidth="1"/>
    <col min="13056" max="13277" width="9.1640625" style="33"/>
    <col min="13278" max="13278" width="3.4140625" style="33" customWidth="1"/>
    <col min="13279" max="13279" width="29.58203125" style="33" customWidth="1"/>
    <col min="13280" max="13280" width="8.1640625" style="33" customWidth="1"/>
    <col min="13281" max="13281" width="7.75" style="33" customWidth="1"/>
    <col min="13282" max="13282" width="5.83203125" style="33" customWidth="1"/>
    <col min="13283" max="13283" width="5.75" style="33" customWidth="1"/>
    <col min="13284" max="13284" width="5.58203125" style="33" customWidth="1"/>
    <col min="13285" max="13286" width="6.25" style="33" customWidth="1"/>
    <col min="13287" max="13287" width="7.25" style="33" customWidth="1"/>
    <col min="13288" max="13288" width="5.83203125" style="33" customWidth="1"/>
    <col min="13289" max="13289" width="6.25" style="33" customWidth="1"/>
    <col min="13290" max="13294" width="6.83203125" style="33" customWidth="1"/>
    <col min="13295" max="13295" width="7.1640625" style="33" customWidth="1"/>
    <col min="13296" max="13297" width="7.4140625" style="33" customWidth="1"/>
    <col min="13298" max="13298" width="7.1640625" style="33" customWidth="1"/>
    <col min="13299" max="13299" width="5.1640625" style="33" customWidth="1"/>
    <col min="13300" max="13300" width="6.25" style="33" customWidth="1"/>
    <col min="13301" max="13301" width="6.4140625" style="33" customWidth="1"/>
    <col min="13302" max="13302" width="5.75" style="33" customWidth="1"/>
    <col min="13303" max="13303" width="6.25" style="33" customWidth="1"/>
    <col min="13304" max="13308" width="6.83203125" style="33" customWidth="1"/>
    <col min="13309" max="13309" width="6.58203125" style="33" customWidth="1"/>
    <col min="13310" max="13311" width="7.58203125" style="33" customWidth="1"/>
    <col min="13312" max="13533" width="9.1640625" style="33"/>
    <col min="13534" max="13534" width="3.4140625" style="33" customWidth="1"/>
    <col min="13535" max="13535" width="29.58203125" style="33" customWidth="1"/>
    <col min="13536" max="13536" width="8.1640625" style="33" customWidth="1"/>
    <col min="13537" max="13537" width="7.75" style="33" customWidth="1"/>
    <col min="13538" max="13538" width="5.83203125" style="33" customWidth="1"/>
    <col min="13539" max="13539" width="5.75" style="33" customWidth="1"/>
    <col min="13540" max="13540" width="5.58203125" style="33" customWidth="1"/>
    <col min="13541" max="13542" width="6.25" style="33" customWidth="1"/>
    <col min="13543" max="13543" width="7.25" style="33" customWidth="1"/>
    <col min="13544" max="13544" width="5.83203125" style="33" customWidth="1"/>
    <col min="13545" max="13545" width="6.25" style="33" customWidth="1"/>
    <col min="13546" max="13550" width="6.83203125" style="33" customWidth="1"/>
    <col min="13551" max="13551" width="7.1640625" style="33" customWidth="1"/>
    <col min="13552" max="13553" width="7.4140625" style="33" customWidth="1"/>
    <col min="13554" max="13554" width="7.1640625" style="33" customWidth="1"/>
    <col min="13555" max="13555" width="5.1640625" style="33" customWidth="1"/>
    <col min="13556" max="13556" width="6.25" style="33" customWidth="1"/>
    <col min="13557" max="13557" width="6.4140625" style="33" customWidth="1"/>
    <col min="13558" max="13558" width="5.75" style="33" customWidth="1"/>
    <col min="13559" max="13559" width="6.25" style="33" customWidth="1"/>
    <col min="13560" max="13564" width="6.83203125" style="33" customWidth="1"/>
    <col min="13565" max="13565" width="6.58203125" style="33" customWidth="1"/>
    <col min="13566" max="13567" width="7.58203125" style="33" customWidth="1"/>
    <col min="13568" max="13789" width="9.1640625" style="33"/>
    <col min="13790" max="13790" width="3.4140625" style="33" customWidth="1"/>
    <col min="13791" max="13791" width="29.58203125" style="33" customWidth="1"/>
    <col min="13792" max="13792" width="8.1640625" style="33" customWidth="1"/>
    <col min="13793" max="13793" width="7.75" style="33" customWidth="1"/>
    <col min="13794" max="13794" width="5.83203125" style="33" customWidth="1"/>
    <col min="13795" max="13795" width="5.75" style="33" customWidth="1"/>
    <col min="13796" max="13796" width="5.58203125" style="33" customWidth="1"/>
    <col min="13797" max="13798" width="6.25" style="33" customWidth="1"/>
    <col min="13799" max="13799" width="7.25" style="33" customWidth="1"/>
    <col min="13800" max="13800" width="5.83203125" style="33" customWidth="1"/>
    <col min="13801" max="13801" width="6.25" style="33" customWidth="1"/>
    <col min="13802" max="13806" width="6.83203125" style="33" customWidth="1"/>
    <col min="13807" max="13807" width="7.1640625" style="33" customWidth="1"/>
    <col min="13808" max="13809" width="7.4140625" style="33" customWidth="1"/>
    <col min="13810" max="13810" width="7.1640625" style="33" customWidth="1"/>
    <col min="13811" max="13811" width="5.1640625" style="33" customWidth="1"/>
    <col min="13812" max="13812" width="6.25" style="33" customWidth="1"/>
    <col min="13813" max="13813" width="6.4140625" style="33" customWidth="1"/>
    <col min="13814" max="13814" width="5.75" style="33" customWidth="1"/>
    <col min="13815" max="13815" width="6.25" style="33" customWidth="1"/>
    <col min="13816" max="13820" width="6.83203125" style="33" customWidth="1"/>
    <col min="13821" max="13821" width="6.58203125" style="33" customWidth="1"/>
    <col min="13822" max="13823" width="7.58203125" style="33" customWidth="1"/>
    <col min="13824" max="14045" width="9.1640625" style="33"/>
    <col min="14046" max="14046" width="3.4140625" style="33" customWidth="1"/>
    <col min="14047" max="14047" width="29.58203125" style="33" customWidth="1"/>
    <col min="14048" max="14048" width="8.1640625" style="33" customWidth="1"/>
    <col min="14049" max="14049" width="7.75" style="33" customWidth="1"/>
    <col min="14050" max="14050" width="5.83203125" style="33" customWidth="1"/>
    <col min="14051" max="14051" width="5.75" style="33" customWidth="1"/>
    <col min="14052" max="14052" width="5.58203125" style="33" customWidth="1"/>
    <col min="14053" max="14054" width="6.25" style="33" customWidth="1"/>
    <col min="14055" max="14055" width="7.25" style="33" customWidth="1"/>
    <col min="14056" max="14056" width="5.83203125" style="33" customWidth="1"/>
    <col min="14057" max="14057" width="6.25" style="33" customWidth="1"/>
    <col min="14058" max="14062" width="6.83203125" style="33" customWidth="1"/>
    <col min="14063" max="14063" width="7.1640625" style="33" customWidth="1"/>
    <col min="14064" max="14065" width="7.4140625" style="33" customWidth="1"/>
    <col min="14066" max="14066" width="7.1640625" style="33" customWidth="1"/>
    <col min="14067" max="14067" width="5.1640625" style="33" customWidth="1"/>
    <col min="14068" max="14068" width="6.25" style="33" customWidth="1"/>
    <col min="14069" max="14069" width="6.4140625" style="33" customWidth="1"/>
    <col min="14070" max="14070" width="5.75" style="33" customWidth="1"/>
    <col min="14071" max="14071" width="6.25" style="33" customWidth="1"/>
    <col min="14072" max="14076" width="6.83203125" style="33" customWidth="1"/>
    <col min="14077" max="14077" width="6.58203125" style="33" customWidth="1"/>
    <col min="14078" max="14079" width="7.58203125" style="33" customWidth="1"/>
    <col min="14080" max="14301" width="9.1640625" style="33"/>
    <col min="14302" max="14302" width="3.4140625" style="33" customWidth="1"/>
    <col min="14303" max="14303" width="29.58203125" style="33" customWidth="1"/>
    <col min="14304" max="14304" width="8.1640625" style="33" customWidth="1"/>
    <col min="14305" max="14305" width="7.75" style="33" customWidth="1"/>
    <col min="14306" max="14306" width="5.83203125" style="33" customWidth="1"/>
    <col min="14307" max="14307" width="5.75" style="33" customWidth="1"/>
    <col min="14308" max="14308" width="5.58203125" style="33" customWidth="1"/>
    <col min="14309" max="14310" width="6.25" style="33" customWidth="1"/>
    <col min="14311" max="14311" width="7.25" style="33" customWidth="1"/>
    <col min="14312" max="14312" width="5.83203125" style="33" customWidth="1"/>
    <col min="14313" max="14313" width="6.25" style="33" customWidth="1"/>
    <col min="14314" max="14318" width="6.83203125" style="33" customWidth="1"/>
    <col min="14319" max="14319" width="7.1640625" style="33" customWidth="1"/>
    <col min="14320" max="14321" width="7.4140625" style="33" customWidth="1"/>
    <col min="14322" max="14322" width="7.1640625" style="33" customWidth="1"/>
    <col min="14323" max="14323" width="5.1640625" style="33" customWidth="1"/>
    <col min="14324" max="14324" width="6.25" style="33" customWidth="1"/>
    <col min="14325" max="14325" width="6.4140625" style="33" customWidth="1"/>
    <col min="14326" max="14326" width="5.75" style="33" customWidth="1"/>
    <col min="14327" max="14327" width="6.25" style="33" customWidth="1"/>
    <col min="14328" max="14332" width="6.83203125" style="33" customWidth="1"/>
    <col min="14333" max="14333" width="6.58203125" style="33" customWidth="1"/>
    <col min="14334" max="14335" width="7.58203125" style="33" customWidth="1"/>
    <col min="14336" max="14557" width="9.1640625" style="33"/>
    <col min="14558" max="14558" width="3.4140625" style="33" customWidth="1"/>
    <col min="14559" max="14559" width="29.58203125" style="33" customWidth="1"/>
    <col min="14560" max="14560" width="8.1640625" style="33" customWidth="1"/>
    <col min="14561" max="14561" width="7.75" style="33" customWidth="1"/>
    <col min="14562" max="14562" width="5.83203125" style="33" customWidth="1"/>
    <col min="14563" max="14563" width="5.75" style="33" customWidth="1"/>
    <col min="14564" max="14564" width="5.58203125" style="33" customWidth="1"/>
    <col min="14565" max="14566" width="6.25" style="33" customWidth="1"/>
    <col min="14567" max="14567" width="7.25" style="33" customWidth="1"/>
    <col min="14568" max="14568" width="5.83203125" style="33" customWidth="1"/>
    <col min="14569" max="14569" width="6.25" style="33" customWidth="1"/>
    <col min="14570" max="14574" width="6.83203125" style="33" customWidth="1"/>
    <col min="14575" max="14575" width="7.1640625" style="33" customWidth="1"/>
    <col min="14576" max="14577" width="7.4140625" style="33" customWidth="1"/>
    <col min="14578" max="14578" width="7.1640625" style="33" customWidth="1"/>
    <col min="14579" max="14579" width="5.1640625" style="33" customWidth="1"/>
    <col min="14580" max="14580" width="6.25" style="33" customWidth="1"/>
    <col min="14581" max="14581" width="6.4140625" style="33" customWidth="1"/>
    <col min="14582" max="14582" width="5.75" style="33" customWidth="1"/>
    <col min="14583" max="14583" width="6.25" style="33" customWidth="1"/>
    <col min="14584" max="14588" width="6.83203125" style="33" customWidth="1"/>
    <col min="14589" max="14589" width="6.58203125" style="33" customWidth="1"/>
    <col min="14590" max="14591" width="7.58203125" style="33" customWidth="1"/>
    <col min="14592" max="14813" width="9.1640625" style="33"/>
    <col min="14814" max="14814" width="3.4140625" style="33" customWidth="1"/>
    <col min="14815" max="14815" width="29.58203125" style="33" customWidth="1"/>
    <col min="14816" max="14816" width="8.1640625" style="33" customWidth="1"/>
    <col min="14817" max="14817" width="7.75" style="33" customWidth="1"/>
    <col min="14818" max="14818" width="5.83203125" style="33" customWidth="1"/>
    <col min="14819" max="14819" width="5.75" style="33" customWidth="1"/>
    <col min="14820" max="14820" width="5.58203125" style="33" customWidth="1"/>
    <col min="14821" max="14822" width="6.25" style="33" customWidth="1"/>
    <col min="14823" max="14823" width="7.25" style="33" customWidth="1"/>
    <col min="14824" max="14824" width="5.83203125" style="33" customWidth="1"/>
    <col min="14825" max="14825" width="6.25" style="33" customWidth="1"/>
    <col min="14826" max="14830" width="6.83203125" style="33" customWidth="1"/>
    <col min="14831" max="14831" width="7.1640625" style="33" customWidth="1"/>
    <col min="14832" max="14833" width="7.4140625" style="33" customWidth="1"/>
    <col min="14834" max="14834" width="7.1640625" style="33" customWidth="1"/>
    <col min="14835" max="14835" width="5.1640625" style="33" customWidth="1"/>
    <col min="14836" max="14836" width="6.25" style="33" customWidth="1"/>
    <col min="14837" max="14837" width="6.4140625" style="33" customWidth="1"/>
    <col min="14838" max="14838" width="5.75" style="33" customWidth="1"/>
    <col min="14839" max="14839" width="6.25" style="33" customWidth="1"/>
    <col min="14840" max="14844" width="6.83203125" style="33" customWidth="1"/>
    <col min="14845" max="14845" width="6.58203125" style="33" customWidth="1"/>
    <col min="14846" max="14847" width="7.58203125" style="33" customWidth="1"/>
    <col min="14848" max="15069" width="9.1640625" style="33"/>
    <col min="15070" max="15070" width="3.4140625" style="33" customWidth="1"/>
    <col min="15071" max="15071" width="29.58203125" style="33" customWidth="1"/>
    <col min="15072" max="15072" width="8.1640625" style="33" customWidth="1"/>
    <col min="15073" max="15073" width="7.75" style="33" customWidth="1"/>
    <col min="15074" max="15074" width="5.83203125" style="33" customWidth="1"/>
    <col min="15075" max="15075" width="5.75" style="33" customWidth="1"/>
    <col min="15076" max="15076" width="5.58203125" style="33" customWidth="1"/>
    <col min="15077" max="15078" width="6.25" style="33" customWidth="1"/>
    <col min="15079" max="15079" width="7.25" style="33" customWidth="1"/>
    <col min="15080" max="15080" width="5.83203125" style="33" customWidth="1"/>
    <col min="15081" max="15081" width="6.25" style="33" customWidth="1"/>
    <col min="15082" max="15086" width="6.83203125" style="33" customWidth="1"/>
    <col min="15087" max="15087" width="7.1640625" style="33" customWidth="1"/>
    <col min="15088" max="15089" width="7.4140625" style="33" customWidth="1"/>
    <col min="15090" max="15090" width="7.1640625" style="33" customWidth="1"/>
    <col min="15091" max="15091" width="5.1640625" style="33" customWidth="1"/>
    <col min="15092" max="15092" width="6.25" style="33" customWidth="1"/>
    <col min="15093" max="15093" width="6.4140625" style="33" customWidth="1"/>
    <col min="15094" max="15094" width="5.75" style="33" customWidth="1"/>
    <col min="15095" max="15095" width="6.25" style="33" customWidth="1"/>
    <col min="15096" max="15100" width="6.83203125" style="33" customWidth="1"/>
    <col min="15101" max="15101" width="6.58203125" style="33" customWidth="1"/>
    <col min="15102" max="15103" width="7.58203125" style="33" customWidth="1"/>
    <col min="15104" max="15325" width="9.1640625" style="33"/>
    <col min="15326" max="15326" width="3.4140625" style="33" customWidth="1"/>
    <col min="15327" max="15327" width="29.58203125" style="33" customWidth="1"/>
    <col min="15328" max="15328" width="8.1640625" style="33" customWidth="1"/>
    <col min="15329" max="15329" width="7.75" style="33" customWidth="1"/>
    <col min="15330" max="15330" width="5.83203125" style="33" customWidth="1"/>
    <col min="15331" max="15331" width="5.75" style="33" customWidth="1"/>
    <col min="15332" max="15332" width="5.58203125" style="33" customWidth="1"/>
    <col min="15333" max="15334" width="6.25" style="33" customWidth="1"/>
    <col min="15335" max="15335" width="7.25" style="33" customWidth="1"/>
    <col min="15336" max="15336" width="5.83203125" style="33" customWidth="1"/>
    <col min="15337" max="15337" width="6.25" style="33" customWidth="1"/>
    <col min="15338" max="15342" width="6.83203125" style="33" customWidth="1"/>
    <col min="15343" max="15343" width="7.1640625" style="33" customWidth="1"/>
    <col min="15344" max="15345" width="7.4140625" style="33" customWidth="1"/>
    <col min="15346" max="15346" width="7.1640625" style="33" customWidth="1"/>
    <col min="15347" max="15347" width="5.1640625" style="33" customWidth="1"/>
    <col min="15348" max="15348" width="6.25" style="33" customWidth="1"/>
    <col min="15349" max="15349" width="6.4140625" style="33" customWidth="1"/>
    <col min="15350" max="15350" width="5.75" style="33" customWidth="1"/>
    <col min="15351" max="15351" width="6.25" style="33" customWidth="1"/>
    <col min="15352" max="15356" width="6.83203125" style="33" customWidth="1"/>
    <col min="15357" max="15357" width="6.58203125" style="33" customWidth="1"/>
    <col min="15358" max="15359" width="7.58203125" style="33" customWidth="1"/>
    <col min="15360" max="15581" width="9.1640625" style="33"/>
    <col min="15582" max="15582" width="3.4140625" style="33" customWidth="1"/>
    <col min="15583" max="15583" width="29.58203125" style="33" customWidth="1"/>
    <col min="15584" max="15584" width="8.1640625" style="33" customWidth="1"/>
    <col min="15585" max="15585" width="7.75" style="33" customWidth="1"/>
    <col min="15586" max="15586" width="5.83203125" style="33" customWidth="1"/>
    <col min="15587" max="15587" width="5.75" style="33" customWidth="1"/>
    <col min="15588" max="15588" width="5.58203125" style="33" customWidth="1"/>
    <col min="15589" max="15590" width="6.25" style="33" customWidth="1"/>
    <col min="15591" max="15591" width="7.25" style="33" customWidth="1"/>
    <col min="15592" max="15592" width="5.83203125" style="33" customWidth="1"/>
    <col min="15593" max="15593" width="6.25" style="33" customWidth="1"/>
    <col min="15594" max="15598" width="6.83203125" style="33" customWidth="1"/>
    <col min="15599" max="15599" width="7.1640625" style="33" customWidth="1"/>
    <col min="15600" max="15601" width="7.4140625" style="33" customWidth="1"/>
    <col min="15602" max="15602" width="7.1640625" style="33" customWidth="1"/>
    <col min="15603" max="15603" width="5.1640625" style="33" customWidth="1"/>
    <col min="15604" max="15604" width="6.25" style="33" customWidth="1"/>
    <col min="15605" max="15605" width="6.4140625" style="33" customWidth="1"/>
    <col min="15606" max="15606" width="5.75" style="33" customWidth="1"/>
    <col min="15607" max="15607" width="6.25" style="33" customWidth="1"/>
    <col min="15608" max="15612" width="6.83203125" style="33" customWidth="1"/>
    <col min="15613" max="15613" width="6.58203125" style="33" customWidth="1"/>
    <col min="15614" max="15615" width="7.58203125" style="33" customWidth="1"/>
    <col min="15616" max="15837" width="9.1640625" style="33"/>
    <col min="15838" max="15838" width="3.4140625" style="33" customWidth="1"/>
    <col min="15839" max="15839" width="29.58203125" style="33" customWidth="1"/>
    <col min="15840" max="15840" width="8.1640625" style="33" customWidth="1"/>
    <col min="15841" max="15841" width="7.75" style="33" customWidth="1"/>
    <col min="15842" max="15842" width="5.83203125" style="33" customWidth="1"/>
    <col min="15843" max="15843" width="5.75" style="33" customWidth="1"/>
    <col min="15844" max="15844" width="5.58203125" style="33" customWidth="1"/>
    <col min="15845" max="15846" width="6.25" style="33" customWidth="1"/>
    <col min="15847" max="15847" width="7.25" style="33" customWidth="1"/>
    <col min="15848" max="15848" width="5.83203125" style="33" customWidth="1"/>
    <col min="15849" max="15849" width="6.25" style="33" customWidth="1"/>
    <col min="15850" max="15854" width="6.83203125" style="33" customWidth="1"/>
    <col min="15855" max="15855" width="7.1640625" style="33" customWidth="1"/>
    <col min="15856" max="15857" width="7.4140625" style="33" customWidth="1"/>
    <col min="15858" max="15858" width="7.1640625" style="33" customWidth="1"/>
    <col min="15859" max="15859" width="5.1640625" style="33" customWidth="1"/>
    <col min="15860" max="15860" width="6.25" style="33" customWidth="1"/>
    <col min="15861" max="15861" width="6.4140625" style="33" customWidth="1"/>
    <col min="15862" max="15862" width="5.75" style="33" customWidth="1"/>
    <col min="15863" max="15863" width="6.25" style="33" customWidth="1"/>
    <col min="15864" max="15868" width="6.83203125" style="33" customWidth="1"/>
    <col min="15869" max="15869" width="6.58203125" style="33" customWidth="1"/>
    <col min="15870" max="15871" width="7.58203125" style="33" customWidth="1"/>
    <col min="15872" max="16093" width="9.1640625" style="33"/>
    <col min="16094" max="16094" width="3.4140625" style="33" customWidth="1"/>
    <col min="16095" max="16095" width="29.58203125" style="33" customWidth="1"/>
    <col min="16096" max="16096" width="8.1640625" style="33" customWidth="1"/>
    <col min="16097" max="16097" width="7.75" style="33" customWidth="1"/>
    <col min="16098" max="16098" width="5.83203125" style="33" customWidth="1"/>
    <col min="16099" max="16099" width="5.75" style="33" customWidth="1"/>
    <col min="16100" max="16100" width="5.58203125" style="33" customWidth="1"/>
    <col min="16101" max="16102" width="6.25" style="33" customWidth="1"/>
    <col min="16103" max="16103" width="7.25" style="33" customWidth="1"/>
    <col min="16104" max="16104" width="5.83203125" style="33" customWidth="1"/>
    <col min="16105" max="16105" width="6.25" style="33" customWidth="1"/>
    <col min="16106" max="16110" width="6.83203125" style="33" customWidth="1"/>
    <col min="16111" max="16111" width="7.1640625" style="33" customWidth="1"/>
    <col min="16112" max="16113" width="7.4140625" style="33" customWidth="1"/>
    <col min="16114" max="16114" width="7.1640625" style="33" customWidth="1"/>
    <col min="16115" max="16115" width="5.1640625" style="33" customWidth="1"/>
    <col min="16116" max="16116" width="6.25" style="33" customWidth="1"/>
    <col min="16117" max="16117" width="6.4140625" style="33" customWidth="1"/>
    <col min="16118" max="16118" width="5.75" style="33" customWidth="1"/>
    <col min="16119" max="16119" width="6.25" style="33" customWidth="1"/>
    <col min="16120" max="16124" width="6.83203125" style="33" customWidth="1"/>
    <col min="16125" max="16125" width="6.58203125" style="33" customWidth="1"/>
    <col min="16126" max="16127" width="7.58203125" style="33" customWidth="1"/>
    <col min="16128" max="16384" width="9.1640625" style="33"/>
  </cols>
  <sheetData>
    <row r="1" spans="1:15" ht="13.5">
      <c r="L1" s="52" t="s">
        <v>18</v>
      </c>
    </row>
    <row r="2" spans="1:15" ht="36" customHeight="1">
      <c r="A2" s="308" t="s">
        <v>244</v>
      </c>
      <c r="B2" s="308"/>
      <c r="C2" s="308"/>
      <c r="D2" s="308"/>
      <c r="E2" s="308"/>
      <c r="F2" s="308"/>
      <c r="G2" s="308"/>
      <c r="H2" s="308"/>
      <c r="I2" s="308"/>
      <c r="J2" s="308"/>
      <c r="K2" s="308"/>
      <c r="L2" s="308"/>
    </row>
    <row r="3" spans="1:15" ht="15.5">
      <c r="A3" s="309" t="str">
        <f>'TỔNG HỢP'!A3:D3</f>
        <v>(Kèm theo Tờ trình số 190/TTr-UBND ngày 08/11/2024 của UBND huyện Na Rì)</v>
      </c>
      <c r="B3" s="309"/>
      <c r="C3" s="309"/>
      <c r="D3" s="309"/>
      <c r="E3" s="309"/>
      <c r="F3" s="309"/>
      <c r="G3" s="309"/>
      <c r="H3" s="309"/>
      <c r="I3" s="309"/>
      <c r="J3" s="309"/>
      <c r="K3" s="309"/>
      <c r="L3" s="309"/>
    </row>
    <row r="4" spans="1:15">
      <c r="J4" s="310" t="s">
        <v>46</v>
      </c>
      <c r="K4" s="310"/>
      <c r="L4" s="310"/>
    </row>
    <row r="5" spans="1:15" ht="21.75" customHeight="1">
      <c r="A5" s="311" t="s">
        <v>21</v>
      </c>
      <c r="B5" s="311" t="s">
        <v>19</v>
      </c>
      <c r="C5" s="317" t="s">
        <v>48</v>
      </c>
      <c r="D5" s="312" t="s">
        <v>22</v>
      </c>
      <c r="E5" s="312"/>
      <c r="F5" s="312"/>
      <c r="G5" s="312"/>
      <c r="H5" s="312"/>
      <c r="I5" s="312"/>
      <c r="J5" s="313" t="s">
        <v>23</v>
      </c>
      <c r="K5" s="315" t="s">
        <v>47</v>
      </c>
      <c r="L5" s="316" t="s">
        <v>24</v>
      </c>
    </row>
    <row r="6" spans="1:15" ht="64.5" customHeight="1">
      <c r="A6" s="311"/>
      <c r="B6" s="311"/>
      <c r="C6" s="318"/>
      <c r="D6" s="49" t="s">
        <v>25</v>
      </c>
      <c r="E6" s="49" t="s">
        <v>49</v>
      </c>
      <c r="F6" s="49" t="s">
        <v>50</v>
      </c>
      <c r="G6" s="49" t="s">
        <v>27</v>
      </c>
      <c r="H6" s="49" t="s">
        <v>56</v>
      </c>
      <c r="I6" s="49" t="s">
        <v>57</v>
      </c>
      <c r="J6" s="314"/>
      <c r="K6" s="315"/>
      <c r="L6" s="316"/>
    </row>
    <row r="7" spans="1:15" s="37" customFormat="1" ht="17.25" customHeight="1">
      <c r="A7" s="277" t="s">
        <v>28</v>
      </c>
      <c r="B7" s="277" t="s">
        <v>12</v>
      </c>
      <c r="C7" s="277" t="s">
        <v>88</v>
      </c>
      <c r="D7" s="278" t="s">
        <v>87</v>
      </c>
      <c r="E7" s="278">
        <v>5</v>
      </c>
      <c r="F7" s="278">
        <v>6</v>
      </c>
      <c r="G7" s="278">
        <v>7</v>
      </c>
      <c r="H7" s="278">
        <v>8</v>
      </c>
      <c r="I7" s="278">
        <v>9</v>
      </c>
      <c r="J7" s="278">
        <v>10</v>
      </c>
      <c r="K7" s="278" t="s">
        <v>91</v>
      </c>
      <c r="L7" s="278">
        <v>12</v>
      </c>
    </row>
    <row r="8" spans="1:15" ht="19.5" customHeight="1">
      <c r="A8" s="48"/>
      <c r="B8" s="48" t="s">
        <v>7</v>
      </c>
      <c r="C8" s="57">
        <f t="shared" ref="C8:K8" si="0">C9+C30+C33+C35+C37+C49+C56</f>
        <v>29155458.149999999</v>
      </c>
      <c r="D8" s="57">
        <f t="shared" si="0"/>
        <v>27736433.149999999</v>
      </c>
      <c r="E8" s="57">
        <f t="shared" si="0"/>
        <v>34992</v>
      </c>
      <c r="F8" s="57">
        <f t="shared" si="0"/>
        <v>64152</v>
      </c>
      <c r="G8" s="57">
        <f t="shared" si="0"/>
        <v>84240</v>
      </c>
      <c r="H8" s="57">
        <f t="shared" si="0"/>
        <v>216000</v>
      </c>
      <c r="I8" s="57">
        <f t="shared" si="0"/>
        <v>1019641</v>
      </c>
      <c r="J8" s="57">
        <f t="shared" si="0"/>
        <v>1254124.534</v>
      </c>
      <c r="K8" s="57">
        <f t="shared" si="0"/>
        <v>27901333.615999997</v>
      </c>
      <c r="L8" s="57">
        <f>L9+L30+L33+L35+L37+L49+L56</f>
        <v>12266390.473999999</v>
      </c>
      <c r="N8" s="74"/>
      <c r="O8" s="74"/>
    </row>
    <row r="9" spans="1:15" s="54" customFormat="1" ht="20.149999999999999" customHeight="1">
      <c r="A9" s="53" t="s">
        <v>1</v>
      </c>
      <c r="B9" s="76" t="s">
        <v>58</v>
      </c>
      <c r="C9" s="58">
        <f>SUM(C10:C29)</f>
        <v>25840066</v>
      </c>
      <c r="D9" s="58">
        <f>SUM(D10:D29)</f>
        <v>24598593</v>
      </c>
      <c r="E9" s="58">
        <f t="shared" ref="E9:K9" si="1">SUM(E10:E29)</f>
        <v>0</v>
      </c>
      <c r="F9" s="58">
        <f t="shared" si="1"/>
        <v>5832</v>
      </c>
      <c r="G9" s="58">
        <f t="shared" si="1"/>
        <v>0</v>
      </c>
      <c r="H9" s="58">
        <f t="shared" si="1"/>
        <v>216000</v>
      </c>
      <c r="I9" s="58">
        <f t="shared" si="1"/>
        <v>1019641</v>
      </c>
      <c r="J9" s="58">
        <f t="shared" si="1"/>
        <v>988927.53399999999</v>
      </c>
      <c r="K9" s="58">
        <f t="shared" si="1"/>
        <v>24851138.465999998</v>
      </c>
      <c r="L9" s="58">
        <f>SUM(L10:L29)</f>
        <v>10847481.473999999</v>
      </c>
    </row>
    <row r="10" spans="1:15" ht="20.149999999999999" customHeight="1">
      <c r="A10" s="50">
        <v>1</v>
      </c>
      <c r="B10" s="77" t="s">
        <v>59</v>
      </c>
      <c r="C10" s="59">
        <f>SUM(D10:I10)</f>
        <v>25504336</v>
      </c>
      <c r="D10" s="60">
        <f>23937117+175254+153408</f>
        <v>24265779</v>
      </c>
      <c r="E10" s="60"/>
      <c r="F10" s="60">
        <f>2916</f>
        <v>2916</v>
      </c>
      <c r="G10" s="60"/>
      <c r="H10" s="60">
        <v>216000</v>
      </c>
      <c r="I10" s="60">
        <v>1019641</v>
      </c>
      <c r="J10" s="60">
        <f>290653+543643+13530+64.534+79396</f>
        <v>927286.53399999999</v>
      </c>
      <c r="K10" s="60">
        <f>C10-J10</f>
        <v>24577049.465999998</v>
      </c>
      <c r="L10" s="60">
        <f>ROUNDDOWN(K10*0.44,0)-141797.526</f>
        <v>10672103.473999999</v>
      </c>
    </row>
    <row r="11" spans="1:15" ht="20.149999999999999" customHeight="1">
      <c r="A11" s="50">
        <v>2</v>
      </c>
      <c r="B11" s="78" t="s">
        <v>60</v>
      </c>
      <c r="C11" s="59">
        <f>SUM(D11:I11)</f>
        <v>60146</v>
      </c>
      <c r="D11" s="60">
        <v>59174</v>
      </c>
      <c r="E11" s="60"/>
      <c r="F11" s="60">
        <v>972</v>
      </c>
      <c r="G11" s="60"/>
      <c r="H11" s="60"/>
      <c r="I11" s="60"/>
      <c r="J11" s="60"/>
      <c r="K11" s="60">
        <f>C11-J11</f>
        <v>60146</v>
      </c>
      <c r="L11" s="60">
        <f>ROUNDDOWN(K11*0.45,0)</f>
        <v>27065</v>
      </c>
    </row>
    <row r="12" spans="1:15" ht="20.149999999999999" customHeight="1">
      <c r="A12" s="50">
        <v>3</v>
      </c>
      <c r="B12" s="78" t="s">
        <v>95</v>
      </c>
      <c r="C12" s="59">
        <f>SUM(D12:I12)</f>
        <v>180968</v>
      </c>
      <c r="D12" s="60">
        <v>179024</v>
      </c>
      <c r="E12" s="60"/>
      <c r="F12" s="60">
        <v>1944</v>
      </c>
      <c r="G12" s="60"/>
      <c r="H12" s="60"/>
      <c r="I12" s="60"/>
      <c r="J12" s="60">
        <f>6665+54976</f>
        <v>61641</v>
      </c>
      <c r="K12" s="131">
        <f>C12-J12</f>
        <v>119327</v>
      </c>
      <c r="L12" s="60">
        <f>ROUNDDOWN(K12*0.45,0)</f>
        <v>53697</v>
      </c>
      <c r="N12" s="74"/>
    </row>
    <row r="13" spans="1:15" ht="20.149999999999999" customHeight="1">
      <c r="A13" s="50">
        <v>4</v>
      </c>
      <c r="B13" s="32" t="s">
        <v>127</v>
      </c>
      <c r="C13" s="59">
        <f t="shared" ref="C13:C29" si="2">SUM(D13:I13)</f>
        <v>5566</v>
      </c>
      <c r="D13" s="60">
        <v>5566</v>
      </c>
      <c r="E13" s="60"/>
      <c r="F13" s="60"/>
      <c r="G13" s="60"/>
      <c r="H13" s="60"/>
      <c r="I13" s="60"/>
      <c r="J13" s="60"/>
      <c r="K13" s="60">
        <f t="shared" ref="K13:K29" si="3">C13-J13</f>
        <v>5566</v>
      </c>
      <c r="L13" s="60">
        <f>K13</f>
        <v>5566</v>
      </c>
      <c r="N13" s="74"/>
    </row>
    <row r="14" spans="1:15" ht="20.149999999999999" customHeight="1">
      <c r="A14" s="50">
        <v>5</v>
      </c>
      <c r="B14" s="32" t="s">
        <v>128</v>
      </c>
      <c r="C14" s="59">
        <f t="shared" si="2"/>
        <v>5566</v>
      </c>
      <c r="D14" s="60">
        <v>5566</v>
      </c>
      <c r="E14" s="60"/>
      <c r="F14" s="60"/>
      <c r="G14" s="60"/>
      <c r="H14" s="60"/>
      <c r="I14" s="60"/>
      <c r="J14" s="60"/>
      <c r="K14" s="60">
        <f t="shared" si="3"/>
        <v>5566</v>
      </c>
      <c r="L14" s="60">
        <f>K14</f>
        <v>5566</v>
      </c>
      <c r="N14" s="74"/>
    </row>
    <row r="15" spans="1:15" ht="20.149999999999999" customHeight="1">
      <c r="A15" s="50">
        <v>6</v>
      </c>
      <c r="B15" s="32" t="s">
        <v>129</v>
      </c>
      <c r="C15" s="59">
        <f t="shared" si="2"/>
        <v>5566</v>
      </c>
      <c r="D15" s="60">
        <v>5566</v>
      </c>
      <c r="E15" s="60"/>
      <c r="F15" s="60"/>
      <c r="G15" s="60"/>
      <c r="H15" s="60"/>
      <c r="I15" s="60"/>
      <c r="J15" s="60"/>
      <c r="K15" s="60">
        <f t="shared" si="3"/>
        <v>5566</v>
      </c>
      <c r="L15" s="60">
        <f t="shared" ref="L15:L28" si="4">K15</f>
        <v>5566</v>
      </c>
      <c r="N15" s="74"/>
    </row>
    <row r="16" spans="1:15" ht="20.149999999999999" customHeight="1">
      <c r="A16" s="50">
        <v>7</v>
      </c>
      <c r="B16" s="32" t="s">
        <v>130</v>
      </c>
      <c r="C16" s="59">
        <f t="shared" si="2"/>
        <v>5566</v>
      </c>
      <c r="D16" s="60">
        <v>5566</v>
      </c>
      <c r="E16" s="60"/>
      <c r="F16" s="60"/>
      <c r="G16" s="60"/>
      <c r="H16" s="60"/>
      <c r="I16" s="60"/>
      <c r="J16" s="60"/>
      <c r="K16" s="60">
        <f t="shared" si="3"/>
        <v>5566</v>
      </c>
      <c r="L16" s="60">
        <f t="shared" si="4"/>
        <v>5566</v>
      </c>
      <c r="N16" s="74"/>
    </row>
    <row r="17" spans="1:17" ht="20.149999999999999" customHeight="1">
      <c r="A17" s="50">
        <v>8</v>
      </c>
      <c r="B17" s="32" t="s">
        <v>131</v>
      </c>
      <c r="C17" s="59">
        <f t="shared" si="2"/>
        <v>5566</v>
      </c>
      <c r="D17" s="60">
        <v>5566</v>
      </c>
      <c r="E17" s="60"/>
      <c r="F17" s="60"/>
      <c r="G17" s="60"/>
      <c r="H17" s="60"/>
      <c r="I17" s="60"/>
      <c r="J17" s="60"/>
      <c r="K17" s="60">
        <f t="shared" si="3"/>
        <v>5566</v>
      </c>
      <c r="L17" s="60">
        <f t="shared" si="4"/>
        <v>5566</v>
      </c>
      <c r="N17" s="74"/>
      <c r="Q17" s="74"/>
    </row>
    <row r="18" spans="1:17" ht="20.149999999999999" customHeight="1">
      <c r="A18" s="50">
        <v>9</v>
      </c>
      <c r="B18" s="32" t="s">
        <v>132</v>
      </c>
      <c r="C18" s="59">
        <f t="shared" si="2"/>
        <v>5566</v>
      </c>
      <c r="D18" s="60">
        <v>5566</v>
      </c>
      <c r="E18" s="60"/>
      <c r="F18" s="60"/>
      <c r="G18" s="60"/>
      <c r="H18" s="60"/>
      <c r="I18" s="60"/>
      <c r="J18" s="60"/>
      <c r="K18" s="60">
        <f t="shared" si="3"/>
        <v>5566</v>
      </c>
      <c r="L18" s="60">
        <f t="shared" si="4"/>
        <v>5566</v>
      </c>
      <c r="N18" s="74"/>
    </row>
    <row r="19" spans="1:17" ht="20.149999999999999" customHeight="1">
      <c r="A19" s="50">
        <v>10</v>
      </c>
      <c r="B19" s="32" t="s">
        <v>133</v>
      </c>
      <c r="C19" s="59">
        <f t="shared" si="2"/>
        <v>5566</v>
      </c>
      <c r="D19" s="60">
        <v>5566</v>
      </c>
      <c r="E19" s="60"/>
      <c r="F19" s="60"/>
      <c r="G19" s="60"/>
      <c r="H19" s="60"/>
      <c r="I19" s="60"/>
      <c r="J19" s="60"/>
      <c r="K19" s="60">
        <f t="shared" si="3"/>
        <v>5566</v>
      </c>
      <c r="L19" s="60">
        <f t="shared" si="4"/>
        <v>5566</v>
      </c>
      <c r="N19" s="74"/>
    </row>
    <row r="20" spans="1:17" ht="20.149999999999999" customHeight="1">
      <c r="A20" s="50">
        <v>11</v>
      </c>
      <c r="B20" s="32" t="s">
        <v>134</v>
      </c>
      <c r="C20" s="59">
        <f t="shared" si="2"/>
        <v>5566</v>
      </c>
      <c r="D20" s="60">
        <v>5566</v>
      </c>
      <c r="E20" s="60"/>
      <c r="F20" s="60"/>
      <c r="G20" s="60"/>
      <c r="H20" s="60"/>
      <c r="I20" s="60"/>
      <c r="J20" s="60"/>
      <c r="K20" s="60">
        <f t="shared" si="3"/>
        <v>5566</v>
      </c>
      <c r="L20" s="60">
        <f t="shared" si="4"/>
        <v>5566</v>
      </c>
      <c r="N20" s="74"/>
    </row>
    <row r="21" spans="1:17" ht="20.149999999999999" customHeight="1">
      <c r="A21" s="50">
        <v>12</v>
      </c>
      <c r="B21" s="155" t="s">
        <v>135</v>
      </c>
      <c r="C21" s="59">
        <f t="shared" si="2"/>
        <v>5566</v>
      </c>
      <c r="D21" s="60">
        <v>5566</v>
      </c>
      <c r="E21" s="60"/>
      <c r="F21" s="60"/>
      <c r="G21" s="60"/>
      <c r="H21" s="60"/>
      <c r="I21" s="60"/>
      <c r="J21" s="60"/>
      <c r="K21" s="60">
        <f t="shared" si="3"/>
        <v>5566</v>
      </c>
      <c r="L21" s="60">
        <f t="shared" si="4"/>
        <v>5566</v>
      </c>
      <c r="N21" s="74"/>
    </row>
    <row r="22" spans="1:17" ht="20.149999999999999" customHeight="1">
      <c r="A22" s="50">
        <v>13</v>
      </c>
      <c r="B22" s="32" t="s">
        <v>136</v>
      </c>
      <c r="C22" s="59">
        <f t="shared" si="2"/>
        <v>5566</v>
      </c>
      <c r="D22" s="60">
        <v>5566</v>
      </c>
      <c r="E22" s="60"/>
      <c r="F22" s="60"/>
      <c r="G22" s="60"/>
      <c r="H22" s="60"/>
      <c r="I22" s="60"/>
      <c r="J22" s="60"/>
      <c r="K22" s="60">
        <f t="shared" si="3"/>
        <v>5566</v>
      </c>
      <c r="L22" s="60">
        <f t="shared" si="4"/>
        <v>5566</v>
      </c>
      <c r="N22" s="74"/>
    </row>
    <row r="23" spans="1:17" ht="20.149999999999999" customHeight="1">
      <c r="A23" s="50">
        <v>14</v>
      </c>
      <c r="B23" s="32" t="s">
        <v>137</v>
      </c>
      <c r="C23" s="59">
        <f t="shared" si="2"/>
        <v>5566</v>
      </c>
      <c r="D23" s="60">
        <v>5566</v>
      </c>
      <c r="E23" s="60"/>
      <c r="F23" s="60"/>
      <c r="G23" s="60"/>
      <c r="H23" s="60"/>
      <c r="I23" s="60"/>
      <c r="J23" s="60"/>
      <c r="K23" s="60">
        <f t="shared" si="3"/>
        <v>5566</v>
      </c>
      <c r="L23" s="60">
        <f t="shared" si="4"/>
        <v>5566</v>
      </c>
      <c r="N23" s="74"/>
    </row>
    <row r="24" spans="1:17" ht="20.149999999999999" customHeight="1">
      <c r="A24" s="50">
        <v>15</v>
      </c>
      <c r="B24" s="32" t="s">
        <v>138</v>
      </c>
      <c r="C24" s="59">
        <f t="shared" si="2"/>
        <v>5566</v>
      </c>
      <c r="D24" s="60">
        <v>5566</v>
      </c>
      <c r="E24" s="60"/>
      <c r="F24" s="60"/>
      <c r="G24" s="60"/>
      <c r="H24" s="60"/>
      <c r="I24" s="60"/>
      <c r="J24" s="60"/>
      <c r="K24" s="60">
        <f t="shared" si="3"/>
        <v>5566</v>
      </c>
      <c r="L24" s="60">
        <f t="shared" si="4"/>
        <v>5566</v>
      </c>
      <c r="N24" s="74"/>
    </row>
    <row r="25" spans="1:17" ht="20.149999999999999" customHeight="1">
      <c r="A25" s="50">
        <v>16</v>
      </c>
      <c r="B25" s="155" t="s">
        <v>139</v>
      </c>
      <c r="C25" s="59">
        <f t="shared" si="2"/>
        <v>5566</v>
      </c>
      <c r="D25" s="60">
        <v>5566</v>
      </c>
      <c r="E25" s="60"/>
      <c r="F25" s="60"/>
      <c r="G25" s="60"/>
      <c r="H25" s="60"/>
      <c r="I25" s="60"/>
      <c r="J25" s="60"/>
      <c r="K25" s="60">
        <f t="shared" si="3"/>
        <v>5566</v>
      </c>
      <c r="L25" s="60">
        <f t="shared" si="4"/>
        <v>5566</v>
      </c>
      <c r="N25" s="74"/>
    </row>
    <row r="26" spans="1:17" ht="20.149999999999999" customHeight="1">
      <c r="A26" s="50">
        <v>17</v>
      </c>
      <c r="B26" s="32" t="s">
        <v>140</v>
      </c>
      <c r="C26" s="59">
        <f t="shared" si="2"/>
        <v>5560</v>
      </c>
      <c r="D26" s="60">
        <v>5560</v>
      </c>
      <c r="E26" s="60"/>
      <c r="F26" s="60"/>
      <c r="G26" s="60"/>
      <c r="H26" s="60"/>
      <c r="I26" s="60"/>
      <c r="J26" s="60"/>
      <c r="K26" s="60">
        <f t="shared" si="3"/>
        <v>5560</v>
      </c>
      <c r="L26" s="60">
        <f t="shared" si="4"/>
        <v>5560</v>
      </c>
      <c r="N26" s="74"/>
    </row>
    <row r="27" spans="1:17" ht="20.149999999999999" customHeight="1">
      <c r="A27" s="50">
        <v>18</v>
      </c>
      <c r="B27" s="155" t="s">
        <v>141</v>
      </c>
      <c r="C27" s="59">
        <f t="shared" si="2"/>
        <v>5566</v>
      </c>
      <c r="D27" s="60">
        <v>5566</v>
      </c>
      <c r="E27" s="60"/>
      <c r="F27" s="60"/>
      <c r="G27" s="60"/>
      <c r="H27" s="60"/>
      <c r="I27" s="60"/>
      <c r="J27" s="60"/>
      <c r="K27" s="60">
        <f t="shared" si="3"/>
        <v>5566</v>
      </c>
      <c r="L27" s="60">
        <f t="shared" si="4"/>
        <v>5566</v>
      </c>
      <c r="N27" s="74"/>
    </row>
    <row r="28" spans="1:17" ht="20.149999999999999" customHeight="1">
      <c r="A28" s="50">
        <v>19</v>
      </c>
      <c r="B28" s="32" t="s">
        <v>142</v>
      </c>
      <c r="C28" s="59">
        <f t="shared" si="2"/>
        <v>5566</v>
      </c>
      <c r="D28" s="60">
        <v>5566</v>
      </c>
      <c r="E28" s="60"/>
      <c r="F28" s="60"/>
      <c r="G28" s="60"/>
      <c r="H28" s="60"/>
      <c r="I28" s="60"/>
      <c r="J28" s="60"/>
      <c r="K28" s="60">
        <f t="shared" si="3"/>
        <v>5566</v>
      </c>
      <c r="L28" s="60">
        <f t="shared" si="4"/>
        <v>5566</v>
      </c>
      <c r="N28" s="74"/>
    </row>
    <row r="29" spans="1:17" ht="20.149999999999999" customHeight="1">
      <c r="A29" s="50">
        <v>20</v>
      </c>
      <c r="B29" s="32" t="s">
        <v>143</v>
      </c>
      <c r="C29" s="59">
        <f t="shared" si="2"/>
        <v>5566</v>
      </c>
      <c r="D29" s="60">
        <v>5566</v>
      </c>
      <c r="E29" s="60"/>
      <c r="F29" s="60"/>
      <c r="G29" s="60"/>
      <c r="H29" s="60"/>
      <c r="I29" s="60"/>
      <c r="J29" s="60"/>
      <c r="K29" s="60">
        <f t="shared" si="3"/>
        <v>5566</v>
      </c>
      <c r="L29" s="60">
        <f>K29</f>
        <v>5566</v>
      </c>
      <c r="N29" s="74"/>
    </row>
    <row r="30" spans="1:17" ht="20.149999999999999" customHeight="1">
      <c r="A30" s="51" t="s">
        <v>2</v>
      </c>
      <c r="B30" s="56" t="s">
        <v>61</v>
      </c>
      <c r="C30" s="61">
        <f>SUM(C31:C32)</f>
        <v>172443</v>
      </c>
      <c r="D30" s="61">
        <f>SUM(D31:D32)</f>
        <v>171471</v>
      </c>
      <c r="E30" s="61">
        <f t="shared" ref="E30" si="5">SUM(E31:E32)</f>
        <v>0</v>
      </c>
      <c r="F30" s="61">
        <f t="shared" ref="F30:L30" si="6">SUM(F31:F32)</f>
        <v>972</v>
      </c>
      <c r="G30" s="61">
        <f t="shared" si="6"/>
        <v>0</v>
      </c>
      <c r="H30" s="61">
        <f t="shared" si="6"/>
        <v>0</v>
      </c>
      <c r="I30" s="61">
        <f t="shared" si="6"/>
        <v>0</v>
      </c>
      <c r="J30" s="61">
        <f t="shared" si="6"/>
        <v>57908</v>
      </c>
      <c r="K30" s="61">
        <f t="shared" si="6"/>
        <v>114535</v>
      </c>
      <c r="L30" s="61">
        <f t="shared" si="6"/>
        <v>51540</v>
      </c>
    </row>
    <row r="31" spans="1:17" ht="21" customHeight="1">
      <c r="A31" s="50">
        <v>1</v>
      </c>
      <c r="B31" s="78" t="s">
        <v>62</v>
      </c>
      <c r="C31" s="59">
        <f>SUM(D31:I31)</f>
        <v>67288</v>
      </c>
      <c r="D31" s="60">
        <v>66316</v>
      </c>
      <c r="E31" s="60"/>
      <c r="F31" s="60">
        <v>972</v>
      </c>
      <c r="G31" s="60"/>
      <c r="H31" s="60"/>
      <c r="I31" s="60"/>
      <c r="J31" s="60">
        <f>33853</f>
        <v>33853</v>
      </c>
      <c r="K31" s="60">
        <f>C31-J31</f>
        <v>33435</v>
      </c>
      <c r="L31" s="60">
        <f>ROUNDDOWN(K31*0.45,0)</f>
        <v>15045</v>
      </c>
    </row>
    <row r="32" spans="1:17" ht="27.75" customHeight="1">
      <c r="A32" s="50">
        <v>2</v>
      </c>
      <c r="B32" s="78" t="s">
        <v>63</v>
      </c>
      <c r="C32" s="59">
        <f>SUM(D32:I32)</f>
        <v>105155</v>
      </c>
      <c r="D32" s="60">
        <v>105155</v>
      </c>
      <c r="E32" s="60"/>
      <c r="F32" s="60"/>
      <c r="G32" s="60"/>
      <c r="H32" s="60"/>
      <c r="I32" s="60"/>
      <c r="J32" s="60">
        <f>19403+4652</f>
        <v>24055</v>
      </c>
      <c r="K32" s="60">
        <f>C32-J32</f>
        <v>81100</v>
      </c>
      <c r="L32" s="60">
        <f>ROUNDDOWN(K32*0.45,0)</f>
        <v>36495</v>
      </c>
    </row>
    <row r="33" spans="1:15" ht="20.149999999999999" customHeight="1">
      <c r="A33" s="51" t="s">
        <v>3</v>
      </c>
      <c r="B33" s="56" t="s">
        <v>64</v>
      </c>
      <c r="C33" s="61">
        <f>C34</f>
        <v>19633</v>
      </c>
      <c r="D33" s="61">
        <f>D34</f>
        <v>19633</v>
      </c>
      <c r="E33" s="61">
        <f t="shared" ref="E33:J33" si="7">E34</f>
        <v>0</v>
      </c>
      <c r="F33" s="61">
        <f t="shared" si="7"/>
        <v>0</v>
      </c>
      <c r="G33" s="61">
        <f t="shared" si="7"/>
        <v>0</v>
      </c>
      <c r="H33" s="61">
        <f t="shared" si="7"/>
        <v>0</v>
      </c>
      <c r="I33" s="61">
        <f t="shared" si="7"/>
        <v>0</v>
      </c>
      <c r="J33" s="61">
        <f t="shared" si="7"/>
        <v>0</v>
      </c>
      <c r="K33" s="61">
        <f>K34</f>
        <v>19633</v>
      </c>
      <c r="L33" s="61">
        <f>L34</f>
        <v>8834</v>
      </c>
      <c r="N33" s="74"/>
    </row>
    <row r="34" spans="1:15" ht="20.149999999999999" customHeight="1">
      <c r="A34" s="50">
        <v>1</v>
      </c>
      <c r="B34" s="78" t="s">
        <v>94</v>
      </c>
      <c r="C34" s="59">
        <f>SUM(D34:I34)</f>
        <v>19633</v>
      </c>
      <c r="D34" s="60">
        <v>19633</v>
      </c>
      <c r="E34" s="60"/>
      <c r="F34" s="60"/>
      <c r="G34" s="60"/>
      <c r="H34" s="60"/>
      <c r="I34" s="60"/>
      <c r="J34" s="60"/>
      <c r="K34" s="60">
        <f>C34-J34</f>
        <v>19633</v>
      </c>
      <c r="L34" s="60">
        <f>ROUNDDOWN(K34*0.45,0)</f>
        <v>8834</v>
      </c>
      <c r="O34" s="74"/>
    </row>
    <row r="35" spans="1:15" ht="20.149999999999999" customHeight="1">
      <c r="A35" s="51" t="s">
        <v>5</v>
      </c>
      <c r="B35" s="56" t="s">
        <v>65</v>
      </c>
      <c r="C35" s="61">
        <f t="shared" ref="C35:L35" si="8">C36</f>
        <v>151628</v>
      </c>
      <c r="D35" s="61">
        <f t="shared" si="8"/>
        <v>149684</v>
      </c>
      <c r="E35" s="61">
        <f t="shared" si="8"/>
        <v>0</v>
      </c>
      <c r="F35" s="61">
        <f t="shared" si="8"/>
        <v>1944</v>
      </c>
      <c r="G35" s="61">
        <f t="shared" si="8"/>
        <v>0</v>
      </c>
      <c r="H35" s="61">
        <f t="shared" si="8"/>
        <v>0</v>
      </c>
      <c r="I35" s="61">
        <f t="shared" si="8"/>
        <v>0</v>
      </c>
      <c r="J35" s="61">
        <f t="shared" si="8"/>
        <v>151628</v>
      </c>
      <c r="K35" s="61">
        <f t="shared" si="8"/>
        <v>0</v>
      </c>
      <c r="L35" s="61">
        <f t="shared" si="8"/>
        <v>0</v>
      </c>
    </row>
    <row r="36" spans="1:15" ht="20.149999999999999" customHeight="1">
      <c r="A36" s="50">
        <v>1</v>
      </c>
      <c r="B36" s="77" t="s">
        <v>66</v>
      </c>
      <c r="C36" s="59">
        <f>SUM(D36:I36)</f>
        <v>151628</v>
      </c>
      <c r="D36" s="60">
        <v>149684</v>
      </c>
      <c r="E36" s="60"/>
      <c r="F36" s="60">
        <v>1944</v>
      </c>
      <c r="G36" s="60"/>
      <c r="H36" s="60"/>
      <c r="I36" s="60"/>
      <c r="J36" s="60">
        <v>151628</v>
      </c>
      <c r="K36" s="60">
        <f>C36-J36</f>
        <v>0</v>
      </c>
      <c r="L36" s="60">
        <f>ROUNDDOWN(K36*0.4,0)</f>
        <v>0</v>
      </c>
    </row>
    <row r="37" spans="1:15" ht="20.149999999999999" customHeight="1">
      <c r="A37" s="51" t="s">
        <v>14</v>
      </c>
      <c r="B37" s="79" t="s">
        <v>67</v>
      </c>
      <c r="C37" s="62">
        <f>SUM(C38:C48)</f>
        <v>1573062</v>
      </c>
      <c r="D37" s="62">
        <f t="shared" ref="D37:L37" si="9">SUM(D38:D48)</f>
        <v>1530294</v>
      </c>
      <c r="E37" s="62">
        <f t="shared" si="9"/>
        <v>34992</v>
      </c>
      <c r="F37" s="62">
        <f t="shared" si="9"/>
        <v>7776</v>
      </c>
      <c r="G37" s="62">
        <f t="shared" si="9"/>
        <v>0</v>
      </c>
      <c r="H37" s="62">
        <f t="shared" si="9"/>
        <v>0</v>
      </c>
      <c r="I37" s="62">
        <f t="shared" si="9"/>
        <v>0</v>
      </c>
      <c r="J37" s="62">
        <f t="shared" si="9"/>
        <v>55661</v>
      </c>
      <c r="K37" s="62">
        <f t="shared" si="9"/>
        <v>1517401</v>
      </c>
      <c r="L37" s="62">
        <f t="shared" si="9"/>
        <v>682824</v>
      </c>
      <c r="O37" s="74"/>
    </row>
    <row r="38" spans="1:15" ht="20.149999999999999" customHeight="1">
      <c r="A38" s="50">
        <v>1</v>
      </c>
      <c r="B38" s="77" t="s">
        <v>68</v>
      </c>
      <c r="C38" s="59">
        <f t="shared" ref="C38:C48" si="10">SUM(D38:I38)</f>
        <v>124804</v>
      </c>
      <c r="D38" s="60">
        <v>123832</v>
      </c>
      <c r="E38" s="60"/>
      <c r="F38" s="60">
        <v>972</v>
      </c>
      <c r="G38" s="60"/>
      <c r="H38" s="60"/>
      <c r="I38" s="60"/>
      <c r="J38" s="60"/>
      <c r="K38" s="60">
        <f t="shared" ref="K38:K48" si="11">C38-J38</f>
        <v>124804</v>
      </c>
      <c r="L38" s="60">
        <f>ROUNDDOWN(K38*0.45,0)</f>
        <v>56161</v>
      </c>
    </row>
    <row r="39" spans="1:15" ht="20.149999999999999" customHeight="1">
      <c r="A39" s="50">
        <v>2</v>
      </c>
      <c r="B39" s="77" t="s">
        <v>69</v>
      </c>
      <c r="C39" s="59">
        <f t="shared" si="10"/>
        <v>517992</v>
      </c>
      <c r="D39" s="60">
        <f>380625+101403</f>
        <v>482028</v>
      </c>
      <c r="E39" s="60">
        <v>34992</v>
      </c>
      <c r="F39" s="60">
        <v>972</v>
      </c>
      <c r="G39" s="60"/>
      <c r="H39" s="60"/>
      <c r="I39" s="60"/>
      <c r="J39" s="60"/>
      <c r="K39" s="60">
        <f t="shared" si="11"/>
        <v>517992</v>
      </c>
      <c r="L39" s="60">
        <f>ROUNDDOWN(K39*0.45,0)</f>
        <v>233096</v>
      </c>
    </row>
    <row r="40" spans="1:15" ht="20.149999999999999" customHeight="1">
      <c r="A40" s="50">
        <v>3</v>
      </c>
      <c r="B40" s="77" t="s">
        <v>70</v>
      </c>
      <c r="C40" s="59">
        <f>SUM(D40:I40)</f>
        <v>111571</v>
      </c>
      <c r="D40" s="60">
        <v>110599</v>
      </c>
      <c r="E40" s="60"/>
      <c r="F40" s="60">
        <v>972</v>
      </c>
      <c r="G40" s="60"/>
      <c r="H40" s="60"/>
      <c r="I40" s="60"/>
      <c r="J40" s="60">
        <v>8510</v>
      </c>
      <c r="K40" s="60">
        <f t="shared" si="11"/>
        <v>103061</v>
      </c>
      <c r="L40" s="60">
        <f t="shared" ref="L40:L48" si="12">ROUNDDOWN(K40*0.45,0)</f>
        <v>46377</v>
      </c>
    </row>
    <row r="41" spans="1:15" ht="20.149999999999999" customHeight="1">
      <c r="A41" s="50">
        <v>4</v>
      </c>
      <c r="B41" s="77" t="s">
        <v>71</v>
      </c>
      <c r="C41" s="59">
        <f t="shared" si="10"/>
        <v>114013</v>
      </c>
      <c r="D41" s="60">
        <v>114013</v>
      </c>
      <c r="E41" s="60"/>
      <c r="F41" s="60"/>
      <c r="G41" s="60"/>
      <c r="H41" s="60"/>
      <c r="I41" s="60"/>
      <c r="J41" s="60"/>
      <c r="K41" s="60">
        <f t="shared" si="11"/>
        <v>114013</v>
      </c>
      <c r="L41" s="60">
        <f t="shared" si="12"/>
        <v>51305</v>
      </c>
    </row>
    <row r="42" spans="1:15" ht="20.149999999999999" customHeight="1">
      <c r="A42" s="50">
        <v>5</v>
      </c>
      <c r="B42" s="77" t="s">
        <v>72</v>
      </c>
      <c r="C42" s="59">
        <f t="shared" si="10"/>
        <v>58702</v>
      </c>
      <c r="D42" s="60">
        <v>58702</v>
      </c>
      <c r="E42" s="60"/>
      <c r="F42" s="60"/>
      <c r="G42" s="60"/>
      <c r="H42" s="60"/>
      <c r="I42" s="60"/>
      <c r="J42" s="60"/>
      <c r="K42" s="60">
        <f t="shared" si="11"/>
        <v>58702</v>
      </c>
      <c r="L42" s="60">
        <f t="shared" si="12"/>
        <v>26415</v>
      </c>
    </row>
    <row r="43" spans="1:15" ht="20.149999999999999" customHeight="1">
      <c r="A43" s="50">
        <v>6</v>
      </c>
      <c r="B43" s="77" t="s">
        <v>73</v>
      </c>
      <c r="C43" s="59">
        <f t="shared" si="10"/>
        <v>121841</v>
      </c>
      <c r="D43" s="60">
        <v>120869</v>
      </c>
      <c r="E43" s="60"/>
      <c r="F43" s="60">
        <v>972</v>
      </c>
      <c r="G43" s="60"/>
      <c r="H43" s="60"/>
      <c r="I43" s="60"/>
      <c r="J43" s="60"/>
      <c r="K43" s="60">
        <f t="shared" si="11"/>
        <v>121841</v>
      </c>
      <c r="L43" s="60">
        <f t="shared" si="12"/>
        <v>54828</v>
      </c>
    </row>
    <row r="44" spans="1:15" ht="20.149999999999999" customHeight="1">
      <c r="A44" s="50">
        <v>7</v>
      </c>
      <c r="B44" s="77" t="s">
        <v>93</v>
      </c>
      <c r="C44" s="59">
        <f t="shared" si="10"/>
        <v>120534</v>
      </c>
      <c r="D44" s="60">
        <v>119562</v>
      </c>
      <c r="E44" s="60"/>
      <c r="F44" s="60">
        <v>972</v>
      </c>
      <c r="G44" s="60"/>
      <c r="H44" s="60"/>
      <c r="I44" s="60"/>
      <c r="J44" s="60">
        <v>47151</v>
      </c>
      <c r="K44" s="60">
        <f t="shared" si="11"/>
        <v>73383</v>
      </c>
      <c r="L44" s="60">
        <f t="shared" si="12"/>
        <v>33022</v>
      </c>
    </row>
    <row r="45" spans="1:15" ht="20.149999999999999" customHeight="1">
      <c r="A45" s="50">
        <v>8</v>
      </c>
      <c r="B45" s="77" t="s">
        <v>74</v>
      </c>
      <c r="C45" s="59">
        <f t="shared" si="10"/>
        <v>178462</v>
      </c>
      <c r="D45" s="60">
        <v>177490</v>
      </c>
      <c r="E45" s="60"/>
      <c r="F45" s="60">
        <v>972</v>
      </c>
      <c r="G45" s="60"/>
      <c r="H45" s="60"/>
      <c r="I45" s="60"/>
      <c r="J45" s="60"/>
      <c r="K45" s="60">
        <f t="shared" si="11"/>
        <v>178462</v>
      </c>
      <c r="L45" s="60">
        <f t="shared" si="12"/>
        <v>80307</v>
      </c>
    </row>
    <row r="46" spans="1:15" ht="20.149999999999999" customHeight="1">
      <c r="A46" s="50">
        <v>9</v>
      </c>
      <c r="B46" s="77" t="s">
        <v>75</v>
      </c>
      <c r="C46" s="59">
        <f t="shared" si="10"/>
        <v>48768</v>
      </c>
      <c r="D46" s="60">
        <v>47796</v>
      </c>
      <c r="E46" s="60"/>
      <c r="F46" s="60">
        <v>972</v>
      </c>
      <c r="G46" s="60"/>
      <c r="H46" s="60"/>
      <c r="I46" s="60"/>
      <c r="J46" s="60"/>
      <c r="K46" s="60">
        <f t="shared" si="11"/>
        <v>48768</v>
      </c>
      <c r="L46" s="60">
        <f t="shared" si="12"/>
        <v>21945</v>
      </c>
    </row>
    <row r="47" spans="1:15" ht="20.149999999999999" customHeight="1">
      <c r="A47" s="50">
        <v>10</v>
      </c>
      <c r="B47" s="77" t="s">
        <v>89</v>
      </c>
      <c r="C47" s="59">
        <f t="shared" si="10"/>
        <v>67066</v>
      </c>
      <c r="D47" s="60">
        <v>67066</v>
      </c>
      <c r="E47" s="60"/>
      <c r="F47" s="60"/>
      <c r="G47" s="60"/>
      <c r="H47" s="60"/>
      <c r="I47" s="60"/>
      <c r="J47" s="60"/>
      <c r="K47" s="60">
        <f t="shared" si="11"/>
        <v>67066</v>
      </c>
      <c r="L47" s="60">
        <f t="shared" si="12"/>
        <v>30179</v>
      </c>
    </row>
    <row r="48" spans="1:15" ht="20.149999999999999" customHeight="1">
      <c r="A48" s="50">
        <v>11</v>
      </c>
      <c r="B48" s="77" t="s">
        <v>76</v>
      </c>
      <c r="C48" s="59">
        <f t="shared" si="10"/>
        <v>109309</v>
      </c>
      <c r="D48" s="60">
        <v>108337</v>
      </c>
      <c r="E48" s="60"/>
      <c r="F48" s="60">
        <v>972</v>
      </c>
      <c r="G48" s="60"/>
      <c r="H48" s="60"/>
      <c r="I48" s="60"/>
      <c r="J48" s="60"/>
      <c r="K48" s="60">
        <f t="shared" si="11"/>
        <v>109309</v>
      </c>
      <c r="L48" s="60">
        <f t="shared" si="12"/>
        <v>49189</v>
      </c>
    </row>
    <row r="49" spans="1:14" ht="20.149999999999999" customHeight="1">
      <c r="A49" s="51" t="s">
        <v>15</v>
      </c>
      <c r="B49" s="79" t="s">
        <v>77</v>
      </c>
      <c r="C49" s="62">
        <f>SUM(C50:C55)</f>
        <v>1314386.1499999999</v>
      </c>
      <c r="D49" s="62">
        <f>SUM(D50:D55)</f>
        <v>1266758.1499999999</v>
      </c>
      <c r="E49" s="62">
        <f t="shared" ref="E49:L49" si="13">SUM(E50:E55)</f>
        <v>0</v>
      </c>
      <c r="F49" s="62">
        <f t="shared" si="13"/>
        <v>47628</v>
      </c>
      <c r="G49" s="62">
        <f t="shared" si="13"/>
        <v>0</v>
      </c>
      <c r="H49" s="62">
        <f t="shared" si="13"/>
        <v>0</v>
      </c>
      <c r="I49" s="62">
        <f t="shared" si="13"/>
        <v>0</v>
      </c>
      <c r="J49" s="62">
        <f t="shared" si="13"/>
        <v>0</v>
      </c>
      <c r="K49" s="62">
        <f t="shared" si="13"/>
        <v>1314386.1499999999</v>
      </c>
      <c r="L49" s="62">
        <f t="shared" si="13"/>
        <v>591471</v>
      </c>
    </row>
    <row r="50" spans="1:14" ht="20.149999999999999" customHeight="1">
      <c r="A50" s="50">
        <v>1</v>
      </c>
      <c r="B50" s="78" t="s">
        <v>78</v>
      </c>
      <c r="C50" s="59">
        <f t="shared" ref="C50:C55" si="14">SUM(D50:I50)</f>
        <v>879850.15</v>
      </c>
      <c r="D50" s="60">
        <f>750311+81899+12.15</f>
        <v>832222.15</v>
      </c>
      <c r="E50" s="60"/>
      <c r="F50" s="60">
        <f>46656+972</f>
        <v>47628</v>
      </c>
      <c r="G50" s="60"/>
      <c r="H50" s="60"/>
      <c r="I50" s="60"/>
      <c r="J50" s="60"/>
      <c r="K50" s="60">
        <f t="shared" ref="K50:K55" si="15">C50-J50</f>
        <v>879850.15</v>
      </c>
      <c r="L50" s="60">
        <f t="shared" ref="L50:L53" si="16">ROUNDDOWN(K50*0.45,0)</f>
        <v>395932</v>
      </c>
    </row>
    <row r="51" spans="1:14" ht="20.149999999999999" customHeight="1">
      <c r="A51" s="50">
        <v>2</v>
      </c>
      <c r="B51" s="77" t="s">
        <v>79</v>
      </c>
      <c r="C51" s="59">
        <f t="shared" si="14"/>
        <v>117383</v>
      </c>
      <c r="D51" s="60">
        <v>117383</v>
      </c>
      <c r="E51" s="60"/>
      <c r="F51" s="60"/>
      <c r="G51" s="60"/>
      <c r="H51" s="60"/>
      <c r="I51" s="60"/>
      <c r="J51" s="60"/>
      <c r="K51" s="60">
        <f t="shared" si="15"/>
        <v>117383</v>
      </c>
      <c r="L51" s="60">
        <f t="shared" si="16"/>
        <v>52822</v>
      </c>
    </row>
    <row r="52" spans="1:14" ht="20.149999999999999" customHeight="1">
      <c r="A52" s="50">
        <v>3</v>
      </c>
      <c r="B52" s="77" t="s">
        <v>80</v>
      </c>
      <c r="C52" s="59">
        <f t="shared" si="14"/>
        <v>49718</v>
      </c>
      <c r="D52" s="60">
        <v>49718</v>
      </c>
      <c r="E52" s="60"/>
      <c r="F52" s="60"/>
      <c r="G52" s="60"/>
      <c r="H52" s="60"/>
      <c r="I52" s="60"/>
      <c r="J52" s="60"/>
      <c r="K52" s="60">
        <f t="shared" si="15"/>
        <v>49718</v>
      </c>
      <c r="L52" s="60">
        <f t="shared" si="16"/>
        <v>22373</v>
      </c>
      <c r="N52" s="74"/>
    </row>
    <row r="53" spans="1:14" ht="20.149999999999999" customHeight="1">
      <c r="A53" s="50">
        <v>4</v>
      </c>
      <c r="B53" s="77" t="s">
        <v>17</v>
      </c>
      <c r="C53" s="59">
        <f t="shared" si="14"/>
        <v>95300</v>
      </c>
      <c r="D53" s="75">
        <v>95300</v>
      </c>
      <c r="E53" s="75"/>
      <c r="F53" s="75"/>
      <c r="G53" s="75"/>
      <c r="H53" s="75"/>
      <c r="I53" s="60"/>
      <c r="J53" s="60"/>
      <c r="K53" s="60">
        <f t="shared" si="15"/>
        <v>95300</v>
      </c>
      <c r="L53" s="60">
        <f t="shared" si="16"/>
        <v>42885</v>
      </c>
    </row>
    <row r="54" spans="1:14" ht="20.149999999999999" customHeight="1">
      <c r="A54" s="50">
        <v>5</v>
      </c>
      <c r="B54" s="77" t="s">
        <v>81</v>
      </c>
      <c r="C54" s="59">
        <f t="shared" si="14"/>
        <v>115304</v>
      </c>
      <c r="D54" s="60">
        <f>74280+41024</f>
        <v>115304</v>
      </c>
      <c r="E54" s="60"/>
      <c r="F54" s="60"/>
      <c r="G54" s="60"/>
      <c r="H54" s="60"/>
      <c r="I54" s="60"/>
      <c r="J54" s="60"/>
      <c r="K54" s="60">
        <f t="shared" si="15"/>
        <v>115304</v>
      </c>
      <c r="L54" s="60">
        <f>ROUNDDOWN(K54*0.45,0)</f>
        <v>51886</v>
      </c>
    </row>
    <row r="55" spans="1:14" ht="20.149999999999999" customHeight="1">
      <c r="A55" s="50">
        <v>6</v>
      </c>
      <c r="B55" s="77" t="s">
        <v>82</v>
      </c>
      <c r="C55" s="59">
        <f t="shared" si="14"/>
        <v>56831</v>
      </c>
      <c r="D55" s="60">
        <v>56831</v>
      </c>
      <c r="E55" s="60"/>
      <c r="F55" s="60"/>
      <c r="G55" s="60"/>
      <c r="H55" s="60"/>
      <c r="I55" s="60"/>
      <c r="J55" s="60"/>
      <c r="K55" s="60">
        <f t="shared" si="15"/>
        <v>56831</v>
      </c>
      <c r="L55" s="60">
        <f>ROUNDDOWN(K55*0.45,0)</f>
        <v>25573</v>
      </c>
    </row>
    <row r="56" spans="1:14" ht="20.149999999999999" customHeight="1">
      <c r="A56" s="51" t="s">
        <v>16</v>
      </c>
      <c r="B56" s="56" t="s">
        <v>92</v>
      </c>
      <c r="C56" s="61">
        <f t="shared" ref="C56:H56" si="17">SUM(C57:C61)</f>
        <v>84240</v>
      </c>
      <c r="D56" s="61">
        <f t="shared" si="17"/>
        <v>0</v>
      </c>
      <c r="E56" s="61">
        <f t="shared" si="17"/>
        <v>0</v>
      </c>
      <c r="F56" s="61">
        <f t="shared" si="17"/>
        <v>0</v>
      </c>
      <c r="G56" s="61">
        <f t="shared" si="17"/>
        <v>84240</v>
      </c>
      <c r="H56" s="61">
        <f t="shared" si="17"/>
        <v>0</v>
      </c>
      <c r="I56" s="61">
        <f t="shared" ref="I56" si="18">SUM(I57:I61)</f>
        <v>0</v>
      </c>
      <c r="J56" s="61">
        <f>SUM(J57:J61)</f>
        <v>0</v>
      </c>
      <c r="K56" s="61">
        <f>SUM(K57:K61)</f>
        <v>84240</v>
      </c>
      <c r="L56" s="61">
        <f>SUM(L57:L61)</f>
        <v>84240</v>
      </c>
    </row>
    <row r="57" spans="1:14" ht="20.149999999999999" customHeight="1">
      <c r="A57" s="50">
        <v>1</v>
      </c>
      <c r="B57" s="80" t="s">
        <v>83</v>
      </c>
      <c r="C57" s="59">
        <f>SUM(D57:I57)</f>
        <v>18468</v>
      </c>
      <c r="D57" s="60"/>
      <c r="E57" s="60"/>
      <c r="F57" s="60"/>
      <c r="G57" s="60">
        <f>10368+8100</f>
        <v>18468</v>
      </c>
      <c r="H57" s="60"/>
      <c r="I57" s="60"/>
      <c r="J57" s="60"/>
      <c r="K57" s="60">
        <f>C57-J57</f>
        <v>18468</v>
      </c>
      <c r="L57" s="60">
        <f>K57</f>
        <v>18468</v>
      </c>
    </row>
    <row r="58" spans="1:14" ht="20.149999999999999" customHeight="1">
      <c r="A58" s="50">
        <v>2</v>
      </c>
      <c r="B58" s="80" t="s">
        <v>84</v>
      </c>
      <c r="C58" s="59">
        <f>SUM(D58:I58)</f>
        <v>10368</v>
      </c>
      <c r="D58" s="60"/>
      <c r="E58" s="60"/>
      <c r="F58" s="60"/>
      <c r="G58" s="60">
        <v>10368</v>
      </c>
      <c r="H58" s="60"/>
      <c r="I58" s="60"/>
      <c r="J58" s="60"/>
      <c r="K58" s="60">
        <f>C58-J58</f>
        <v>10368</v>
      </c>
      <c r="L58" s="60">
        <f>K58</f>
        <v>10368</v>
      </c>
    </row>
    <row r="59" spans="1:14" ht="20.149999999999999" customHeight="1">
      <c r="A59" s="50">
        <v>3</v>
      </c>
      <c r="B59" s="80" t="s">
        <v>20</v>
      </c>
      <c r="C59" s="59">
        <f>SUM(D59:I59)</f>
        <v>18468</v>
      </c>
      <c r="D59" s="60"/>
      <c r="E59" s="60"/>
      <c r="F59" s="60"/>
      <c r="G59" s="60">
        <v>18468</v>
      </c>
      <c r="H59" s="60"/>
      <c r="I59" s="60"/>
      <c r="J59" s="60"/>
      <c r="K59" s="60">
        <f>C59-J59</f>
        <v>18468</v>
      </c>
      <c r="L59" s="60">
        <f>K59</f>
        <v>18468</v>
      </c>
    </row>
    <row r="60" spans="1:14" ht="20.149999999999999" customHeight="1">
      <c r="A60" s="50">
        <v>4</v>
      </c>
      <c r="B60" s="80" t="s">
        <v>85</v>
      </c>
      <c r="C60" s="59">
        <f>SUM(D60:I60)</f>
        <v>18468</v>
      </c>
      <c r="D60" s="60"/>
      <c r="E60" s="60"/>
      <c r="F60" s="60"/>
      <c r="G60" s="60">
        <v>18468</v>
      </c>
      <c r="H60" s="60"/>
      <c r="I60" s="60"/>
      <c r="J60" s="60"/>
      <c r="K60" s="60">
        <f>C60-J60</f>
        <v>18468</v>
      </c>
      <c r="L60" s="60">
        <f>K60</f>
        <v>18468</v>
      </c>
    </row>
    <row r="61" spans="1:14" ht="20.149999999999999" customHeight="1">
      <c r="A61" s="55">
        <v>5</v>
      </c>
      <c r="B61" s="81" t="s">
        <v>86</v>
      </c>
      <c r="C61" s="63">
        <f>SUM(D61:I61)</f>
        <v>18468</v>
      </c>
      <c r="D61" s="64"/>
      <c r="E61" s="64"/>
      <c r="F61" s="64"/>
      <c r="G61" s="64">
        <v>18468</v>
      </c>
      <c r="H61" s="64"/>
      <c r="I61" s="64"/>
      <c r="J61" s="64"/>
      <c r="K61" s="64">
        <f>C61-J61</f>
        <v>18468</v>
      </c>
      <c r="L61" s="64">
        <f>K61</f>
        <v>18468</v>
      </c>
    </row>
  </sheetData>
  <mergeCells count="10">
    <mergeCell ref="A2:L2"/>
    <mergeCell ref="A3:L3"/>
    <mergeCell ref="J4:L4"/>
    <mergeCell ref="A5:A6"/>
    <mergeCell ref="B5:B6"/>
    <mergeCell ref="D5:I5"/>
    <mergeCell ref="J5:J6"/>
    <mergeCell ref="K5:K6"/>
    <mergeCell ref="L5:L6"/>
    <mergeCell ref="C5:C6"/>
  </mergeCells>
  <pageMargins left="0.47" right="0.33" top="0.33" bottom="0.27559055118110198" header="0.19" footer="0.15748031496063"/>
  <pageSetup scale="83" orientation="landscape" useFirstPageNumber="1" r:id="rId1"/>
  <headerFooter>
    <oddFooter>&amp;C&amp;"Times New Roman,Regular"&amp;10&amp;P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5"/>
  <sheetViews>
    <sheetView zoomScale="115" zoomScaleNormal="115" zoomScaleSheetLayoutView="100" workbookViewId="0">
      <pane ySplit="7" topLeftCell="A14" activePane="bottomLeft" state="frozen"/>
      <selection activeCell="B61" sqref="B61"/>
      <selection pane="bottomLeft" activeCell="K19" sqref="K19"/>
    </sheetView>
  </sheetViews>
  <sheetFormatPr defaultRowHeight="13"/>
  <cols>
    <col min="1" max="1" width="5" style="33" customWidth="1"/>
    <col min="2" max="2" width="20.58203125" style="33" customWidth="1"/>
    <col min="3" max="3" width="10.25" style="33" customWidth="1"/>
    <col min="4" max="4" width="10.25" style="34" customWidth="1"/>
    <col min="5" max="5" width="9" style="34" customWidth="1"/>
    <col min="6" max="6" width="9.1640625" style="34" customWidth="1"/>
    <col min="7" max="7" width="8.75" style="34" customWidth="1"/>
    <col min="8" max="8" width="8.83203125" style="34" customWidth="1"/>
    <col min="9" max="9" width="8.4140625" style="35" customWidth="1"/>
    <col min="10" max="10" width="10" style="34" customWidth="1"/>
    <col min="11" max="11" width="8.25" style="34" customWidth="1"/>
    <col min="12" max="12" width="9.75" style="34" customWidth="1"/>
    <col min="13" max="13" width="8.83203125" style="34" customWidth="1"/>
    <col min="14" max="14" width="9.1640625" style="34" customWidth="1"/>
    <col min="15" max="15" width="10.58203125" style="36" customWidth="1"/>
    <col min="16" max="16" width="10.4140625" style="41" customWidth="1"/>
    <col min="17" max="17" width="9.1640625" style="33"/>
    <col min="18" max="18" width="13" style="33" hidden="1" customWidth="1"/>
    <col min="19" max="19" width="0" style="33" hidden="1" customWidth="1"/>
    <col min="20" max="223" width="9.1640625" style="33"/>
    <col min="224" max="224" width="3.4140625" style="33" customWidth="1"/>
    <col min="225" max="225" width="29.58203125" style="33" customWidth="1"/>
    <col min="226" max="226" width="8.1640625" style="33" customWidth="1"/>
    <col min="227" max="227" width="7.75" style="33" customWidth="1"/>
    <col min="228" max="228" width="5.83203125" style="33" customWidth="1"/>
    <col min="229" max="229" width="5.75" style="33" customWidth="1"/>
    <col min="230" max="230" width="5.58203125" style="33" customWidth="1"/>
    <col min="231" max="232" width="6.25" style="33" customWidth="1"/>
    <col min="233" max="233" width="7.25" style="33" customWidth="1"/>
    <col min="234" max="234" width="5.83203125" style="33" customWidth="1"/>
    <col min="235" max="235" width="6.25" style="33" customWidth="1"/>
    <col min="236" max="240" width="6.83203125" style="33" customWidth="1"/>
    <col min="241" max="241" width="7.1640625" style="33" customWidth="1"/>
    <col min="242" max="243" width="7.4140625" style="33" customWidth="1"/>
    <col min="244" max="244" width="7.1640625" style="33" customWidth="1"/>
    <col min="245" max="245" width="5.1640625" style="33" customWidth="1"/>
    <col min="246" max="246" width="6.25" style="33" customWidth="1"/>
    <col min="247" max="247" width="6.4140625" style="33" customWidth="1"/>
    <col min="248" max="248" width="5.75" style="33" customWidth="1"/>
    <col min="249" max="249" width="6.25" style="33" customWidth="1"/>
    <col min="250" max="254" width="6.83203125" style="33" customWidth="1"/>
    <col min="255" max="255" width="6.58203125" style="33" customWidth="1"/>
    <col min="256" max="257" width="7.58203125" style="33" customWidth="1"/>
    <col min="258" max="479" width="9.1640625" style="33"/>
    <col min="480" max="480" width="3.4140625" style="33" customWidth="1"/>
    <col min="481" max="481" width="29.58203125" style="33" customWidth="1"/>
    <col min="482" max="482" width="8.1640625" style="33" customWidth="1"/>
    <col min="483" max="483" width="7.75" style="33" customWidth="1"/>
    <col min="484" max="484" width="5.83203125" style="33" customWidth="1"/>
    <col min="485" max="485" width="5.75" style="33" customWidth="1"/>
    <col min="486" max="486" width="5.58203125" style="33" customWidth="1"/>
    <col min="487" max="488" width="6.25" style="33" customWidth="1"/>
    <col min="489" max="489" width="7.25" style="33" customWidth="1"/>
    <col min="490" max="490" width="5.83203125" style="33" customWidth="1"/>
    <col min="491" max="491" width="6.25" style="33" customWidth="1"/>
    <col min="492" max="496" width="6.83203125" style="33" customWidth="1"/>
    <col min="497" max="497" width="7.1640625" style="33" customWidth="1"/>
    <col min="498" max="499" width="7.4140625" style="33" customWidth="1"/>
    <col min="500" max="500" width="7.1640625" style="33" customWidth="1"/>
    <col min="501" max="501" width="5.1640625" style="33" customWidth="1"/>
    <col min="502" max="502" width="6.25" style="33" customWidth="1"/>
    <col min="503" max="503" width="6.4140625" style="33" customWidth="1"/>
    <col min="504" max="504" width="5.75" style="33" customWidth="1"/>
    <col min="505" max="505" width="6.25" style="33" customWidth="1"/>
    <col min="506" max="510" width="6.83203125" style="33" customWidth="1"/>
    <col min="511" max="511" width="6.58203125" style="33" customWidth="1"/>
    <col min="512" max="513" width="7.58203125" style="33" customWidth="1"/>
    <col min="514" max="735" width="9.1640625" style="33"/>
    <col min="736" max="736" width="3.4140625" style="33" customWidth="1"/>
    <col min="737" max="737" width="29.58203125" style="33" customWidth="1"/>
    <col min="738" max="738" width="8.1640625" style="33" customWidth="1"/>
    <col min="739" max="739" width="7.75" style="33" customWidth="1"/>
    <col min="740" max="740" width="5.83203125" style="33" customWidth="1"/>
    <col min="741" max="741" width="5.75" style="33" customWidth="1"/>
    <col min="742" max="742" width="5.58203125" style="33" customWidth="1"/>
    <col min="743" max="744" width="6.25" style="33" customWidth="1"/>
    <col min="745" max="745" width="7.25" style="33" customWidth="1"/>
    <col min="746" max="746" width="5.83203125" style="33" customWidth="1"/>
    <col min="747" max="747" width="6.25" style="33" customWidth="1"/>
    <col min="748" max="752" width="6.83203125" style="33" customWidth="1"/>
    <col min="753" max="753" width="7.1640625" style="33" customWidth="1"/>
    <col min="754" max="755" width="7.4140625" style="33" customWidth="1"/>
    <col min="756" max="756" width="7.1640625" style="33" customWidth="1"/>
    <col min="757" max="757" width="5.1640625" style="33" customWidth="1"/>
    <col min="758" max="758" width="6.25" style="33" customWidth="1"/>
    <col min="759" max="759" width="6.4140625" style="33" customWidth="1"/>
    <col min="760" max="760" width="5.75" style="33" customWidth="1"/>
    <col min="761" max="761" width="6.25" style="33" customWidth="1"/>
    <col min="762" max="766" width="6.83203125" style="33" customWidth="1"/>
    <col min="767" max="767" width="6.58203125" style="33" customWidth="1"/>
    <col min="768" max="769" width="7.58203125" style="33" customWidth="1"/>
    <col min="770" max="991" width="9.1640625" style="33"/>
    <col min="992" max="992" width="3.4140625" style="33" customWidth="1"/>
    <col min="993" max="993" width="29.58203125" style="33" customWidth="1"/>
    <col min="994" max="994" width="8.1640625" style="33" customWidth="1"/>
    <col min="995" max="995" width="7.75" style="33" customWidth="1"/>
    <col min="996" max="996" width="5.83203125" style="33" customWidth="1"/>
    <col min="997" max="997" width="5.75" style="33" customWidth="1"/>
    <col min="998" max="998" width="5.58203125" style="33" customWidth="1"/>
    <col min="999" max="1000" width="6.25" style="33" customWidth="1"/>
    <col min="1001" max="1001" width="7.25" style="33" customWidth="1"/>
    <col min="1002" max="1002" width="5.83203125" style="33" customWidth="1"/>
    <col min="1003" max="1003" width="6.25" style="33" customWidth="1"/>
    <col min="1004" max="1008" width="6.83203125" style="33" customWidth="1"/>
    <col min="1009" max="1009" width="7.1640625" style="33" customWidth="1"/>
    <col min="1010" max="1011" width="7.4140625" style="33" customWidth="1"/>
    <col min="1012" max="1012" width="7.1640625" style="33" customWidth="1"/>
    <col min="1013" max="1013" width="5.1640625" style="33" customWidth="1"/>
    <col min="1014" max="1014" width="6.25" style="33" customWidth="1"/>
    <col min="1015" max="1015" width="6.4140625" style="33" customWidth="1"/>
    <col min="1016" max="1016" width="5.75" style="33" customWidth="1"/>
    <col min="1017" max="1017" width="6.25" style="33" customWidth="1"/>
    <col min="1018" max="1022" width="6.83203125" style="33" customWidth="1"/>
    <col min="1023" max="1023" width="6.58203125" style="33" customWidth="1"/>
    <col min="1024" max="1025" width="7.58203125" style="33" customWidth="1"/>
    <col min="1026" max="1247" width="9.1640625" style="33"/>
    <col min="1248" max="1248" width="3.4140625" style="33" customWidth="1"/>
    <col min="1249" max="1249" width="29.58203125" style="33" customWidth="1"/>
    <col min="1250" max="1250" width="8.1640625" style="33" customWidth="1"/>
    <col min="1251" max="1251" width="7.75" style="33" customWidth="1"/>
    <col min="1252" max="1252" width="5.83203125" style="33" customWidth="1"/>
    <col min="1253" max="1253" width="5.75" style="33" customWidth="1"/>
    <col min="1254" max="1254" width="5.58203125" style="33" customWidth="1"/>
    <col min="1255" max="1256" width="6.25" style="33" customWidth="1"/>
    <col min="1257" max="1257" width="7.25" style="33" customWidth="1"/>
    <col min="1258" max="1258" width="5.83203125" style="33" customWidth="1"/>
    <col min="1259" max="1259" width="6.25" style="33" customWidth="1"/>
    <col min="1260" max="1264" width="6.83203125" style="33" customWidth="1"/>
    <col min="1265" max="1265" width="7.1640625" style="33" customWidth="1"/>
    <col min="1266" max="1267" width="7.4140625" style="33" customWidth="1"/>
    <col min="1268" max="1268" width="7.1640625" style="33" customWidth="1"/>
    <col min="1269" max="1269" width="5.1640625" style="33" customWidth="1"/>
    <col min="1270" max="1270" width="6.25" style="33" customWidth="1"/>
    <col min="1271" max="1271" width="6.4140625" style="33" customWidth="1"/>
    <col min="1272" max="1272" width="5.75" style="33" customWidth="1"/>
    <col min="1273" max="1273" width="6.25" style="33" customWidth="1"/>
    <col min="1274" max="1278" width="6.83203125" style="33" customWidth="1"/>
    <col min="1279" max="1279" width="6.58203125" style="33" customWidth="1"/>
    <col min="1280" max="1281" width="7.58203125" style="33" customWidth="1"/>
    <col min="1282" max="1503" width="9.1640625" style="33"/>
    <col min="1504" max="1504" width="3.4140625" style="33" customWidth="1"/>
    <col min="1505" max="1505" width="29.58203125" style="33" customWidth="1"/>
    <col min="1506" max="1506" width="8.1640625" style="33" customWidth="1"/>
    <col min="1507" max="1507" width="7.75" style="33" customWidth="1"/>
    <col min="1508" max="1508" width="5.83203125" style="33" customWidth="1"/>
    <col min="1509" max="1509" width="5.75" style="33" customWidth="1"/>
    <col min="1510" max="1510" width="5.58203125" style="33" customWidth="1"/>
    <col min="1511" max="1512" width="6.25" style="33" customWidth="1"/>
    <col min="1513" max="1513" width="7.25" style="33" customWidth="1"/>
    <col min="1514" max="1514" width="5.83203125" style="33" customWidth="1"/>
    <col min="1515" max="1515" width="6.25" style="33" customWidth="1"/>
    <col min="1516" max="1520" width="6.83203125" style="33" customWidth="1"/>
    <col min="1521" max="1521" width="7.1640625" style="33" customWidth="1"/>
    <col min="1522" max="1523" width="7.4140625" style="33" customWidth="1"/>
    <col min="1524" max="1524" width="7.1640625" style="33" customWidth="1"/>
    <col min="1525" max="1525" width="5.1640625" style="33" customWidth="1"/>
    <col min="1526" max="1526" width="6.25" style="33" customWidth="1"/>
    <col min="1527" max="1527" width="6.4140625" style="33" customWidth="1"/>
    <col min="1528" max="1528" width="5.75" style="33" customWidth="1"/>
    <col min="1529" max="1529" width="6.25" style="33" customWidth="1"/>
    <col min="1530" max="1534" width="6.83203125" style="33" customWidth="1"/>
    <col min="1535" max="1535" width="6.58203125" style="33" customWidth="1"/>
    <col min="1536" max="1537" width="7.58203125" style="33" customWidth="1"/>
    <col min="1538" max="1759" width="9.1640625" style="33"/>
    <col min="1760" max="1760" width="3.4140625" style="33" customWidth="1"/>
    <col min="1761" max="1761" width="29.58203125" style="33" customWidth="1"/>
    <col min="1762" max="1762" width="8.1640625" style="33" customWidth="1"/>
    <col min="1763" max="1763" width="7.75" style="33" customWidth="1"/>
    <col min="1764" max="1764" width="5.83203125" style="33" customWidth="1"/>
    <col min="1765" max="1765" width="5.75" style="33" customWidth="1"/>
    <col min="1766" max="1766" width="5.58203125" style="33" customWidth="1"/>
    <col min="1767" max="1768" width="6.25" style="33" customWidth="1"/>
    <col min="1769" max="1769" width="7.25" style="33" customWidth="1"/>
    <col min="1770" max="1770" width="5.83203125" style="33" customWidth="1"/>
    <col min="1771" max="1771" width="6.25" style="33" customWidth="1"/>
    <col min="1772" max="1776" width="6.83203125" style="33" customWidth="1"/>
    <col min="1777" max="1777" width="7.1640625" style="33" customWidth="1"/>
    <col min="1778" max="1779" width="7.4140625" style="33" customWidth="1"/>
    <col min="1780" max="1780" width="7.1640625" style="33" customWidth="1"/>
    <col min="1781" max="1781" width="5.1640625" style="33" customWidth="1"/>
    <col min="1782" max="1782" width="6.25" style="33" customWidth="1"/>
    <col min="1783" max="1783" width="6.4140625" style="33" customWidth="1"/>
    <col min="1784" max="1784" width="5.75" style="33" customWidth="1"/>
    <col min="1785" max="1785" width="6.25" style="33" customWidth="1"/>
    <col min="1786" max="1790" width="6.83203125" style="33" customWidth="1"/>
    <col min="1791" max="1791" width="6.58203125" style="33" customWidth="1"/>
    <col min="1792" max="1793" width="7.58203125" style="33" customWidth="1"/>
    <col min="1794" max="2015" width="9.1640625" style="33"/>
    <col min="2016" max="2016" width="3.4140625" style="33" customWidth="1"/>
    <col min="2017" max="2017" width="29.58203125" style="33" customWidth="1"/>
    <col min="2018" max="2018" width="8.1640625" style="33" customWidth="1"/>
    <col min="2019" max="2019" width="7.75" style="33" customWidth="1"/>
    <col min="2020" max="2020" width="5.83203125" style="33" customWidth="1"/>
    <col min="2021" max="2021" width="5.75" style="33" customWidth="1"/>
    <col min="2022" max="2022" width="5.58203125" style="33" customWidth="1"/>
    <col min="2023" max="2024" width="6.25" style="33" customWidth="1"/>
    <col min="2025" max="2025" width="7.25" style="33" customWidth="1"/>
    <col min="2026" max="2026" width="5.83203125" style="33" customWidth="1"/>
    <col min="2027" max="2027" width="6.25" style="33" customWidth="1"/>
    <col min="2028" max="2032" width="6.83203125" style="33" customWidth="1"/>
    <col min="2033" max="2033" width="7.1640625" style="33" customWidth="1"/>
    <col min="2034" max="2035" width="7.4140625" style="33" customWidth="1"/>
    <col min="2036" max="2036" width="7.1640625" style="33" customWidth="1"/>
    <col min="2037" max="2037" width="5.1640625" style="33" customWidth="1"/>
    <col min="2038" max="2038" width="6.25" style="33" customWidth="1"/>
    <col min="2039" max="2039" width="6.4140625" style="33" customWidth="1"/>
    <col min="2040" max="2040" width="5.75" style="33" customWidth="1"/>
    <col min="2041" max="2041" width="6.25" style="33" customWidth="1"/>
    <col min="2042" max="2046" width="6.83203125" style="33" customWidth="1"/>
    <col min="2047" max="2047" width="6.58203125" style="33" customWidth="1"/>
    <col min="2048" max="2049" width="7.58203125" style="33" customWidth="1"/>
    <col min="2050" max="2271" width="9.1640625" style="33"/>
    <col min="2272" max="2272" width="3.4140625" style="33" customWidth="1"/>
    <col min="2273" max="2273" width="29.58203125" style="33" customWidth="1"/>
    <col min="2274" max="2274" width="8.1640625" style="33" customWidth="1"/>
    <col min="2275" max="2275" width="7.75" style="33" customWidth="1"/>
    <col min="2276" max="2276" width="5.83203125" style="33" customWidth="1"/>
    <col min="2277" max="2277" width="5.75" style="33" customWidth="1"/>
    <col min="2278" max="2278" width="5.58203125" style="33" customWidth="1"/>
    <col min="2279" max="2280" width="6.25" style="33" customWidth="1"/>
    <col min="2281" max="2281" width="7.25" style="33" customWidth="1"/>
    <col min="2282" max="2282" width="5.83203125" style="33" customWidth="1"/>
    <col min="2283" max="2283" width="6.25" style="33" customWidth="1"/>
    <col min="2284" max="2288" width="6.83203125" style="33" customWidth="1"/>
    <col min="2289" max="2289" width="7.1640625" style="33" customWidth="1"/>
    <col min="2290" max="2291" width="7.4140625" style="33" customWidth="1"/>
    <col min="2292" max="2292" width="7.1640625" style="33" customWidth="1"/>
    <col min="2293" max="2293" width="5.1640625" style="33" customWidth="1"/>
    <col min="2294" max="2294" width="6.25" style="33" customWidth="1"/>
    <col min="2295" max="2295" width="6.4140625" style="33" customWidth="1"/>
    <col min="2296" max="2296" width="5.75" style="33" customWidth="1"/>
    <col min="2297" max="2297" width="6.25" style="33" customWidth="1"/>
    <col min="2298" max="2302" width="6.83203125" style="33" customWidth="1"/>
    <col min="2303" max="2303" width="6.58203125" style="33" customWidth="1"/>
    <col min="2304" max="2305" width="7.58203125" style="33" customWidth="1"/>
    <col min="2306" max="2527" width="9.1640625" style="33"/>
    <col min="2528" max="2528" width="3.4140625" style="33" customWidth="1"/>
    <col min="2529" max="2529" width="29.58203125" style="33" customWidth="1"/>
    <col min="2530" max="2530" width="8.1640625" style="33" customWidth="1"/>
    <col min="2531" max="2531" width="7.75" style="33" customWidth="1"/>
    <col min="2532" max="2532" width="5.83203125" style="33" customWidth="1"/>
    <col min="2533" max="2533" width="5.75" style="33" customWidth="1"/>
    <col min="2534" max="2534" width="5.58203125" style="33" customWidth="1"/>
    <col min="2535" max="2536" width="6.25" style="33" customWidth="1"/>
    <col min="2537" max="2537" width="7.25" style="33" customWidth="1"/>
    <col min="2538" max="2538" width="5.83203125" style="33" customWidth="1"/>
    <col min="2539" max="2539" width="6.25" style="33" customWidth="1"/>
    <col min="2540" max="2544" width="6.83203125" style="33" customWidth="1"/>
    <col min="2545" max="2545" width="7.1640625" style="33" customWidth="1"/>
    <col min="2546" max="2547" width="7.4140625" style="33" customWidth="1"/>
    <col min="2548" max="2548" width="7.1640625" style="33" customWidth="1"/>
    <col min="2549" max="2549" width="5.1640625" style="33" customWidth="1"/>
    <col min="2550" max="2550" width="6.25" style="33" customWidth="1"/>
    <col min="2551" max="2551" width="6.4140625" style="33" customWidth="1"/>
    <col min="2552" max="2552" width="5.75" style="33" customWidth="1"/>
    <col min="2553" max="2553" width="6.25" style="33" customWidth="1"/>
    <col min="2554" max="2558" width="6.83203125" style="33" customWidth="1"/>
    <col min="2559" max="2559" width="6.58203125" style="33" customWidth="1"/>
    <col min="2560" max="2561" width="7.58203125" style="33" customWidth="1"/>
    <col min="2562" max="2783" width="9.1640625" style="33"/>
    <col min="2784" max="2784" width="3.4140625" style="33" customWidth="1"/>
    <col min="2785" max="2785" width="29.58203125" style="33" customWidth="1"/>
    <col min="2786" max="2786" width="8.1640625" style="33" customWidth="1"/>
    <col min="2787" max="2787" width="7.75" style="33" customWidth="1"/>
    <col min="2788" max="2788" width="5.83203125" style="33" customWidth="1"/>
    <col min="2789" max="2789" width="5.75" style="33" customWidth="1"/>
    <col min="2790" max="2790" width="5.58203125" style="33" customWidth="1"/>
    <col min="2791" max="2792" width="6.25" style="33" customWidth="1"/>
    <col min="2793" max="2793" width="7.25" style="33" customWidth="1"/>
    <col min="2794" max="2794" width="5.83203125" style="33" customWidth="1"/>
    <col min="2795" max="2795" width="6.25" style="33" customWidth="1"/>
    <col min="2796" max="2800" width="6.83203125" style="33" customWidth="1"/>
    <col min="2801" max="2801" width="7.1640625" style="33" customWidth="1"/>
    <col min="2802" max="2803" width="7.4140625" style="33" customWidth="1"/>
    <col min="2804" max="2804" width="7.1640625" style="33" customWidth="1"/>
    <col min="2805" max="2805" width="5.1640625" style="33" customWidth="1"/>
    <col min="2806" max="2806" width="6.25" style="33" customWidth="1"/>
    <col min="2807" max="2807" width="6.4140625" style="33" customWidth="1"/>
    <col min="2808" max="2808" width="5.75" style="33" customWidth="1"/>
    <col min="2809" max="2809" width="6.25" style="33" customWidth="1"/>
    <col min="2810" max="2814" width="6.83203125" style="33" customWidth="1"/>
    <col min="2815" max="2815" width="6.58203125" style="33" customWidth="1"/>
    <col min="2816" max="2817" width="7.58203125" style="33" customWidth="1"/>
    <col min="2818" max="3039" width="9.1640625" style="33"/>
    <col min="3040" max="3040" width="3.4140625" style="33" customWidth="1"/>
    <col min="3041" max="3041" width="29.58203125" style="33" customWidth="1"/>
    <col min="3042" max="3042" width="8.1640625" style="33" customWidth="1"/>
    <col min="3043" max="3043" width="7.75" style="33" customWidth="1"/>
    <col min="3044" max="3044" width="5.83203125" style="33" customWidth="1"/>
    <col min="3045" max="3045" width="5.75" style="33" customWidth="1"/>
    <col min="3046" max="3046" width="5.58203125" style="33" customWidth="1"/>
    <col min="3047" max="3048" width="6.25" style="33" customWidth="1"/>
    <col min="3049" max="3049" width="7.25" style="33" customWidth="1"/>
    <col min="3050" max="3050" width="5.83203125" style="33" customWidth="1"/>
    <col min="3051" max="3051" width="6.25" style="33" customWidth="1"/>
    <col min="3052" max="3056" width="6.83203125" style="33" customWidth="1"/>
    <col min="3057" max="3057" width="7.1640625" style="33" customWidth="1"/>
    <col min="3058" max="3059" width="7.4140625" style="33" customWidth="1"/>
    <col min="3060" max="3060" width="7.1640625" style="33" customWidth="1"/>
    <col min="3061" max="3061" width="5.1640625" style="33" customWidth="1"/>
    <col min="3062" max="3062" width="6.25" style="33" customWidth="1"/>
    <col min="3063" max="3063" width="6.4140625" style="33" customWidth="1"/>
    <col min="3064" max="3064" width="5.75" style="33" customWidth="1"/>
    <col min="3065" max="3065" width="6.25" style="33" customWidth="1"/>
    <col min="3066" max="3070" width="6.83203125" style="33" customWidth="1"/>
    <col min="3071" max="3071" width="6.58203125" style="33" customWidth="1"/>
    <col min="3072" max="3073" width="7.58203125" style="33" customWidth="1"/>
    <col min="3074" max="3295" width="9.1640625" style="33"/>
    <col min="3296" max="3296" width="3.4140625" style="33" customWidth="1"/>
    <col min="3297" max="3297" width="29.58203125" style="33" customWidth="1"/>
    <col min="3298" max="3298" width="8.1640625" style="33" customWidth="1"/>
    <col min="3299" max="3299" width="7.75" style="33" customWidth="1"/>
    <col min="3300" max="3300" width="5.83203125" style="33" customWidth="1"/>
    <col min="3301" max="3301" width="5.75" style="33" customWidth="1"/>
    <col min="3302" max="3302" width="5.58203125" style="33" customWidth="1"/>
    <col min="3303" max="3304" width="6.25" style="33" customWidth="1"/>
    <col min="3305" max="3305" width="7.25" style="33" customWidth="1"/>
    <col min="3306" max="3306" width="5.83203125" style="33" customWidth="1"/>
    <col min="3307" max="3307" width="6.25" style="33" customWidth="1"/>
    <col min="3308" max="3312" width="6.83203125" style="33" customWidth="1"/>
    <col min="3313" max="3313" width="7.1640625" style="33" customWidth="1"/>
    <col min="3314" max="3315" width="7.4140625" style="33" customWidth="1"/>
    <col min="3316" max="3316" width="7.1640625" style="33" customWidth="1"/>
    <col min="3317" max="3317" width="5.1640625" style="33" customWidth="1"/>
    <col min="3318" max="3318" width="6.25" style="33" customWidth="1"/>
    <col min="3319" max="3319" width="6.4140625" style="33" customWidth="1"/>
    <col min="3320" max="3320" width="5.75" style="33" customWidth="1"/>
    <col min="3321" max="3321" width="6.25" style="33" customWidth="1"/>
    <col min="3322" max="3326" width="6.83203125" style="33" customWidth="1"/>
    <col min="3327" max="3327" width="6.58203125" style="33" customWidth="1"/>
    <col min="3328" max="3329" width="7.58203125" style="33" customWidth="1"/>
    <col min="3330" max="3551" width="9.1640625" style="33"/>
    <col min="3552" max="3552" width="3.4140625" style="33" customWidth="1"/>
    <col min="3553" max="3553" width="29.58203125" style="33" customWidth="1"/>
    <col min="3554" max="3554" width="8.1640625" style="33" customWidth="1"/>
    <col min="3555" max="3555" width="7.75" style="33" customWidth="1"/>
    <col min="3556" max="3556" width="5.83203125" style="33" customWidth="1"/>
    <col min="3557" max="3557" width="5.75" style="33" customWidth="1"/>
    <col min="3558" max="3558" width="5.58203125" style="33" customWidth="1"/>
    <col min="3559" max="3560" width="6.25" style="33" customWidth="1"/>
    <col min="3561" max="3561" width="7.25" style="33" customWidth="1"/>
    <col min="3562" max="3562" width="5.83203125" style="33" customWidth="1"/>
    <col min="3563" max="3563" width="6.25" style="33" customWidth="1"/>
    <col min="3564" max="3568" width="6.83203125" style="33" customWidth="1"/>
    <col min="3569" max="3569" width="7.1640625" style="33" customWidth="1"/>
    <col min="3570" max="3571" width="7.4140625" style="33" customWidth="1"/>
    <col min="3572" max="3572" width="7.1640625" style="33" customWidth="1"/>
    <col min="3573" max="3573" width="5.1640625" style="33" customWidth="1"/>
    <col min="3574" max="3574" width="6.25" style="33" customWidth="1"/>
    <col min="3575" max="3575" width="6.4140625" style="33" customWidth="1"/>
    <col min="3576" max="3576" width="5.75" style="33" customWidth="1"/>
    <col min="3577" max="3577" width="6.25" style="33" customWidth="1"/>
    <col min="3578" max="3582" width="6.83203125" style="33" customWidth="1"/>
    <col min="3583" max="3583" width="6.58203125" style="33" customWidth="1"/>
    <col min="3584" max="3585" width="7.58203125" style="33" customWidth="1"/>
    <col min="3586" max="3807" width="9.1640625" style="33"/>
    <col min="3808" max="3808" width="3.4140625" style="33" customWidth="1"/>
    <col min="3809" max="3809" width="29.58203125" style="33" customWidth="1"/>
    <col min="3810" max="3810" width="8.1640625" style="33" customWidth="1"/>
    <col min="3811" max="3811" width="7.75" style="33" customWidth="1"/>
    <col min="3812" max="3812" width="5.83203125" style="33" customWidth="1"/>
    <col min="3813" max="3813" width="5.75" style="33" customWidth="1"/>
    <col min="3814" max="3814" width="5.58203125" style="33" customWidth="1"/>
    <col min="3815" max="3816" width="6.25" style="33" customWidth="1"/>
    <col min="3817" max="3817" width="7.25" style="33" customWidth="1"/>
    <col min="3818" max="3818" width="5.83203125" style="33" customWidth="1"/>
    <col min="3819" max="3819" width="6.25" style="33" customWidth="1"/>
    <col min="3820" max="3824" width="6.83203125" style="33" customWidth="1"/>
    <col min="3825" max="3825" width="7.1640625" style="33" customWidth="1"/>
    <col min="3826" max="3827" width="7.4140625" style="33" customWidth="1"/>
    <col min="3828" max="3828" width="7.1640625" style="33" customWidth="1"/>
    <col min="3829" max="3829" width="5.1640625" style="33" customWidth="1"/>
    <col min="3830" max="3830" width="6.25" style="33" customWidth="1"/>
    <col min="3831" max="3831" width="6.4140625" style="33" customWidth="1"/>
    <col min="3832" max="3832" width="5.75" style="33" customWidth="1"/>
    <col min="3833" max="3833" width="6.25" style="33" customWidth="1"/>
    <col min="3834" max="3838" width="6.83203125" style="33" customWidth="1"/>
    <col min="3839" max="3839" width="6.58203125" style="33" customWidth="1"/>
    <col min="3840" max="3841" width="7.58203125" style="33" customWidth="1"/>
    <col min="3842" max="4063" width="9.1640625" style="33"/>
    <col min="4064" max="4064" width="3.4140625" style="33" customWidth="1"/>
    <col min="4065" max="4065" width="29.58203125" style="33" customWidth="1"/>
    <col min="4066" max="4066" width="8.1640625" style="33" customWidth="1"/>
    <col min="4067" max="4067" width="7.75" style="33" customWidth="1"/>
    <col min="4068" max="4068" width="5.83203125" style="33" customWidth="1"/>
    <col min="4069" max="4069" width="5.75" style="33" customWidth="1"/>
    <col min="4070" max="4070" width="5.58203125" style="33" customWidth="1"/>
    <col min="4071" max="4072" width="6.25" style="33" customWidth="1"/>
    <col min="4073" max="4073" width="7.25" style="33" customWidth="1"/>
    <col min="4074" max="4074" width="5.83203125" style="33" customWidth="1"/>
    <col min="4075" max="4075" width="6.25" style="33" customWidth="1"/>
    <col min="4076" max="4080" width="6.83203125" style="33" customWidth="1"/>
    <col min="4081" max="4081" width="7.1640625" style="33" customWidth="1"/>
    <col min="4082" max="4083" width="7.4140625" style="33" customWidth="1"/>
    <col min="4084" max="4084" width="7.1640625" style="33" customWidth="1"/>
    <col min="4085" max="4085" width="5.1640625" style="33" customWidth="1"/>
    <col min="4086" max="4086" width="6.25" style="33" customWidth="1"/>
    <col min="4087" max="4087" width="6.4140625" style="33" customWidth="1"/>
    <col min="4088" max="4088" width="5.75" style="33" customWidth="1"/>
    <col min="4089" max="4089" width="6.25" style="33" customWidth="1"/>
    <col min="4090" max="4094" width="6.83203125" style="33" customWidth="1"/>
    <col min="4095" max="4095" width="6.58203125" style="33" customWidth="1"/>
    <col min="4096" max="4097" width="7.58203125" style="33" customWidth="1"/>
    <col min="4098" max="4319" width="9.1640625" style="33"/>
    <col min="4320" max="4320" width="3.4140625" style="33" customWidth="1"/>
    <col min="4321" max="4321" width="29.58203125" style="33" customWidth="1"/>
    <col min="4322" max="4322" width="8.1640625" style="33" customWidth="1"/>
    <col min="4323" max="4323" width="7.75" style="33" customWidth="1"/>
    <col min="4324" max="4324" width="5.83203125" style="33" customWidth="1"/>
    <col min="4325" max="4325" width="5.75" style="33" customWidth="1"/>
    <col min="4326" max="4326" width="5.58203125" style="33" customWidth="1"/>
    <col min="4327" max="4328" width="6.25" style="33" customWidth="1"/>
    <col min="4329" max="4329" width="7.25" style="33" customWidth="1"/>
    <col min="4330" max="4330" width="5.83203125" style="33" customWidth="1"/>
    <col min="4331" max="4331" width="6.25" style="33" customWidth="1"/>
    <col min="4332" max="4336" width="6.83203125" style="33" customWidth="1"/>
    <col min="4337" max="4337" width="7.1640625" style="33" customWidth="1"/>
    <col min="4338" max="4339" width="7.4140625" style="33" customWidth="1"/>
    <col min="4340" max="4340" width="7.1640625" style="33" customWidth="1"/>
    <col min="4341" max="4341" width="5.1640625" style="33" customWidth="1"/>
    <col min="4342" max="4342" width="6.25" style="33" customWidth="1"/>
    <col min="4343" max="4343" width="6.4140625" style="33" customWidth="1"/>
    <col min="4344" max="4344" width="5.75" style="33" customWidth="1"/>
    <col min="4345" max="4345" width="6.25" style="33" customWidth="1"/>
    <col min="4346" max="4350" width="6.83203125" style="33" customWidth="1"/>
    <col min="4351" max="4351" width="6.58203125" style="33" customWidth="1"/>
    <col min="4352" max="4353" width="7.58203125" style="33" customWidth="1"/>
    <col min="4354" max="4575" width="9.1640625" style="33"/>
    <col min="4576" max="4576" width="3.4140625" style="33" customWidth="1"/>
    <col min="4577" max="4577" width="29.58203125" style="33" customWidth="1"/>
    <col min="4578" max="4578" width="8.1640625" style="33" customWidth="1"/>
    <col min="4579" max="4579" width="7.75" style="33" customWidth="1"/>
    <col min="4580" max="4580" width="5.83203125" style="33" customWidth="1"/>
    <col min="4581" max="4581" width="5.75" style="33" customWidth="1"/>
    <col min="4582" max="4582" width="5.58203125" style="33" customWidth="1"/>
    <col min="4583" max="4584" width="6.25" style="33" customWidth="1"/>
    <col min="4585" max="4585" width="7.25" style="33" customWidth="1"/>
    <col min="4586" max="4586" width="5.83203125" style="33" customWidth="1"/>
    <col min="4587" max="4587" width="6.25" style="33" customWidth="1"/>
    <col min="4588" max="4592" width="6.83203125" style="33" customWidth="1"/>
    <col min="4593" max="4593" width="7.1640625" style="33" customWidth="1"/>
    <col min="4594" max="4595" width="7.4140625" style="33" customWidth="1"/>
    <col min="4596" max="4596" width="7.1640625" style="33" customWidth="1"/>
    <col min="4597" max="4597" width="5.1640625" style="33" customWidth="1"/>
    <col min="4598" max="4598" width="6.25" style="33" customWidth="1"/>
    <col min="4599" max="4599" width="6.4140625" style="33" customWidth="1"/>
    <col min="4600" max="4600" width="5.75" style="33" customWidth="1"/>
    <col min="4601" max="4601" width="6.25" style="33" customWidth="1"/>
    <col min="4602" max="4606" width="6.83203125" style="33" customWidth="1"/>
    <col min="4607" max="4607" width="6.58203125" style="33" customWidth="1"/>
    <col min="4608" max="4609" width="7.58203125" style="33" customWidth="1"/>
    <col min="4610" max="4831" width="9.1640625" style="33"/>
    <col min="4832" max="4832" width="3.4140625" style="33" customWidth="1"/>
    <col min="4833" max="4833" width="29.58203125" style="33" customWidth="1"/>
    <col min="4834" max="4834" width="8.1640625" style="33" customWidth="1"/>
    <col min="4835" max="4835" width="7.75" style="33" customWidth="1"/>
    <col min="4836" max="4836" width="5.83203125" style="33" customWidth="1"/>
    <col min="4837" max="4837" width="5.75" style="33" customWidth="1"/>
    <col min="4838" max="4838" width="5.58203125" style="33" customWidth="1"/>
    <col min="4839" max="4840" width="6.25" style="33" customWidth="1"/>
    <col min="4841" max="4841" width="7.25" style="33" customWidth="1"/>
    <col min="4842" max="4842" width="5.83203125" style="33" customWidth="1"/>
    <col min="4843" max="4843" width="6.25" style="33" customWidth="1"/>
    <col min="4844" max="4848" width="6.83203125" style="33" customWidth="1"/>
    <col min="4849" max="4849" width="7.1640625" style="33" customWidth="1"/>
    <col min="4850" max="4851" width="7.4140625" style="33" customWidth="1"/>
    <col min="4852" max="4852" width="7.1640625" style="33" customWidth="1"/>
    <col min="4853" max="4853" width="5.1640625" style="33" customWidth="1"/>
    <col min="4854" max="4854" width="6.25" style="33" customWidth="1"/>
    <col min="4855" max="4855" width="6.4140625" style="33" customWidth="1"/>
    <col min="4856" max="4856" width="5.75" style="33" customWidth="1"/>
    <col min="4857" max="4857" width="6.25" style="33" customWidth="1"/>
    <col min="4858" max="4862" width="6.83203125" style="33" customWidth="1"/>
    <col min="4863" max="4863" width="6.58203125" style="33" customWidth="1"/>
    <col min="4864" max="4865" width="7.58203125" style="33" customWidth="1"/>
    <col min="4866" max="5087" width="9.1640625" style="33"/>
    <col min="5088" max="5088" width="3.4140625" style="33" customWidth="1"/>
    <col min="5089" max="5089" width="29.58203125" style="33" customWidth="1"/>
    <col min="5090" max="5090" width="8.1640625" style="33" customWidth="1"/>
    <col min="5091" max="5091" width="7.75" style="33" customWidth="1"/>
    <col min="5092" max="5092" width="5.83203125" style="33" customWidth="1"/>
    <col min="5093" max="5093" width="5.75" style="33" customWidth="1"/>
    <col min="5094" max="5094" width="5.58203125" style="33" customWidth="1"/>
    <col min="5095" max="5096" width="6.25" style="33" customWidth="1"/>
    <col min="5097" max="5097" width="7.25" style="33" customWidth="1"/>
    <col min="5098" max="5098" width="5.83203125" style="33" customWidth="1"/>
    <col min="5099" max="5099" width="6.25" style="33" customWidth="1"/>
    <col min="5100" max="5104" width="6.83203125" style="33" customWidth="1"/>
    <col min="5105" max="5105" width="7.1640625" style="33" customWidth="1"/>
    <col min="5106" max="5107" width="7.4140625" style="33" customWidth="1"/>
    <col min="5108" max="5108" width="7.1640625" style="33" customWidth="1"/>
    <col min="5109" max="5109" width="5.1640625" style="33" customWidth="1"/>
    <col min="5110" max="5110" width="6.25" style="33" customWidth="1"/>
    <col min="5111" max="5111" width="6.4140625" style="33" customWidth="1"/>
    <col min="5112" max="5112" width="5.75" style="33" customWidth="1"/>
    <col min="5113" max="5113" width="6.25" style="33" customWidth="1"/>
    <col min="5114" max="5118" width="6.83203125" style="33" customWidth="1"/>
    <col min="5119" max="5119" width="6.58203125" style="33" customWidth="1"/>
    <col min="5120" max="5121" width="7.58203125" style="33" customWidth="1"/>
    <col min="5122" max="5343" width="9.1640625" style="33"/>
    <col min="5344" max="5344" width="3.4140625" style="33" customWidth="1"/>
    <col min="5345" max="5345" width="29.58203125" style="33" customWidth="1"/>
    <col min="5346" max="5346" width="8.1640625" style="33" customWidth="1"/>
    <col min="5347" max="5347" width="7.75" style="33" customWidth="1"/>
    <col min="5348" max="5348" width="5.83203125" style="33" customWidth="1"/>
    <col min="5349" max="5349" width="5.75" style="33" customWidth="1"/>
    <col min="5350" max="5350" width="5.58203125" style="33" customWidth="1"/>
    <col min="5351" max="5352" width="6.25" style="33" customWidth="1"/>
    <col min="5353" max="5353" width="7.25" style="33" customWidth="1"/>
    <col min="5354" max="5354" width="5.83203125" style="33" customWidth="1"/>
    <col min="5355" max="5355" width="6.25" style="33" customWidth="1"/>
    <col min="5356" max="5360" width="6.83203125" style="33" customWidth="1"/>
    <col min="5361" max="5361" width="7.1640625" style="33" customWidth="1"/>
    <col min="5362" max="5363" width="7.4140625" style="33" customWidth="1"/>
    <col min="5364" max="5364" width="7.1640625" style="33" customWidth="1"/>
    <col min="5365" max="5365" width="5.1640625" style="33" customWidth="1"/>
    <col min="5366" max="5366" width="6.25" style="33" customWidth="1"/>
    <col min="5367" max="5367" width="6.4140625" style="33" customWidth="1"/>
    <col min="5368" max="5368" width="5.75" style="33" customWidth="1"/>
    <col min="5369" max="5369" width="6.25" style="33" customWidth="1"/>
    <col min="5370" max="5374" width="6.83203125" style="33" customWidth="1"/>
    <col min="5375" max="5375" width="6.58203125" style="33" customWidth="1"/>
    <col min="5376" max="5377" width="7.58203125" style="33" customWidth="1"/>
    <col min="5378" max="5599" width="9.1640625" style="33"/>
    <col min="5600" max="5600" width="3.4140625" style="33" customWidth="1"/>
    <col min="5601" max="5601" width="29.58203125" style="33" customWidth="1"/>
    <col min="5602" max="5602" width="8.1640625" style="33" customWidth="1"/>
    <col min="5603" max="5603" width="7.75" style="33" customWidth="1"/>
    <col min="5604" max="5604" width="5.83203125" style="33" customWidth="1"/>
    <col min="5605" max="5605" width="5.75" style="33" customWidth="1"/>
    <col min="5606" max="5606" width="5.58203125" style="33" customWidth="1"/>
    <col min="5607" max="5608" width="6.25" style="33" customWidth="1"/>
    <col min="5609" max="5609" width="7.25" style="33" customWidth="1"/>
    <col min="5610" max="5610" width="5.83203125" style="33" customWidth="1"/>
    <col min="5611" max="5611" width="6.25" style="33" customWidth="1"/>
    <col min="5612" max="5616" width="6.83203125" style="33" customWidth="1"/>
    <col min="5617" max="5617" width="7.1640625" style="33" customWidth="1"/>
    <col min="5618" max="5619" width="7.4140625" style="33" customWidth="1"/>
    <col min="5620" max="5620" width="7.1640625" style="33" customWidth="1"/>
    <col min="5621" max="5621" width="5.1640625" style="33" customWidth="1"/>
    <col min="5622" max="5622" width="6.25" style="33" customWidth="1"/>
    <col min="5623" max="5623" width="6.4140625" style="33" customWidth="1"/>
    <col min="5624" max="5624" width="5.75" style="33" customWidth="1"/>
    <col min="5625" max="5625" width="6.25" style="33" customWidth="1"/>
    <col min="5626" max="5630" width="6.83203125" style="33" customWidth="1"/>
    <col min="5631" max="5631" width="6.58203125" style="33" customWidth="1"/>
    <col min="5632" max="5633" width="7.58203125" style="33" customWidth="1"/>
    <col min="5634" max="5855" width="9.1640625" style="33"/>
    <col min="5856" max="5856" width="3.4140625" style="33" customWidth="1"/>
    <col min="5857" max="5857" width="29.58203125" style="33" customWidth="1"/>
    <col min="5858" max="5858" width="8.1640625" style="33" customWidth="1"/>
    <col min="5859" max="5859" width="7.75" style="33" customWidth="1"/>
    <col min="5860" max="5860" width="5.83203125" style="33" customWidth="1"/>
    <col min="5861" max="5861" width="5.75" style="33" customWidth="1"/>
    <col min="5862" max="5862" width="5.58203125" style="33" customWidth="1"/>
    <col min="5863" max="5864" width="6.25" style="33" customWidth="1"/>
    <col min="5865" max="5865" width="7.25" style="33" customWidth="1"/>
    <col min="5866" max="5866" width="5.83203125" style="33" customWidth="1"/>
    <col min="5867" max="5867" width="6.25" style="33" customWidth="1"/>
    <col min="5868" max="5872" width="6.83203125" style="33" customWidth="1"/>
    <col min="5873" max="5873" width="7.1640625" style="33" customWidth="1"/>
    <col min="5874" max="5875" width="7.4140625" style="33" customWidth="1"/>
    <col min="5876" max="5876" width="7.1640625" style="33" customWidth="1"/>
    <col min="5877" max="5877" width="5.1640625" style="33" customWidth="1"/>
    <col min="5878" max="5878" width="6.25" style="33" customWidth="1"/>
    <col min="5879" max="5879" width="6.4140625" style="33" customWidth="1"/>
    <col min="5880" max="5880" width="5.75" style="33" customWidth="1"/>
    <col min="5881" max="5881" width="6.25" style="33" customWidth="1"/>
    <col min="5882" max="5886" width="6.83203125" style="33" customWidth="1"/>
    <col min="5887" max="5887" width="6.58203125" style="33" customWidth="1"/>
    <col min="5888" max="5889" width="7.58203125" style="33" customWidth="1"/>
    <col min="5890" max="6111" width="9.1640625" style="33"/>
    <col min="6112" max="6112" width="3.4140625" style="33" customWidth="1"/>
    <col min="6113" max="6113" width="29.58203125" style="33" customWidth="1"/>
    <col min="6114" max="6114" width="8.1640625" style="33" customWidth="1"/>
    <col min="6115" max="6115" width="7.75" style="33" customWidth="1"/>
    <col min="6116" max="6116" width="5.83203125" style="33" customWidth="1"/>
    <col min="6117" max="6117" width="5.75" style="33" customWidth="1"/>
    <col min="6118" max="6118" width="5.58203125" style="33" customWidth="1"/>
    <col min="6119" max="6120" width="6.25" style="33" customWidth="1"/>
    <col min="6121" max="6121" width="7.25" style="33" customWidth="1"/>
    <col min="6122" max="6122" width="5.83203125" style="33" customWidth="1"/>
    <col min="6123" max="6123" width="6.25" style="33" customWidth="1"/>
    <col min="6124" max="6128" width="6.83203125" style="33" customWidth="1"/>
    <col min="6129" max="6129" width="7.1640625" style="33" customWidth="1"/>
    <col min="6130" max="6131" width="7.4140625" style="33" customWidth="1"/>
    <col min="6132" max="6132" width="7.1640625" style="33" customWidth="1"/>
    <col min="6133" max="6133" width="5.1640625" style="33" customWidth="1"/>
    <col min="6134" max="6134" width="6.25" style="33" customWidth="1"/>
    <col min="6135" max="6135" width="6.4140625" style="33" customWidth="1"/>
    <col min="6136" max="6136" width="5.75" style="33" customWidth="1"/>
    <col min="6137" max="6137" width="6.25" style="33" customWidth="1"/>
    <col min="6138" max="6142" width="6.83203125" style="33" customWidth="1"/>
    <col min="6143" max="6143" width="6.58203125" style="33" customWidth="1"/>
    <col min="6144" max="6145" width="7.58203125" style="33" customWidth="1"/>
    <col min="6146" max="6367" width="9.1640625" style="33"/>
    <col min="6368" max="6368" width="3.4140625" style="33" customWidth="1"/>
    <col min="6369" max="6369" width="29.58203125" style="33" customWidth="1"/>
    <col min="6370" max="6370" width="8.1640625" style="33" customWidth="1"/>
    <col min="6371" max="6371" width="7.75" style="33" customWidth="1"/>
    <col min="6372" max="6372" width="5.83203125" style="33" customWidth="1"/>
    <col min="6373" max="6373" width="5.75" style="33" customWidth="1"/>
    <col min="6374" max="6374" width="5.58203125" style="33" customWidth="1"/>
    <col min="6375" max="6376" width="6.25" style="33" customWidth="1"/>
    <col min="6377" max="6377" width="7.25" style="33" customWidth="1"/>
    <col min="6378" max="6378" width="5.83203125" style="33" customWidth="1"/>
    <col min="6379" max="6379" width="6.25" style="33" customWidth="1"/>
    <col min="6380" max="6384" width="6.83203125" style="33" customWidth="1"/>
    <col min="6385" max="6385" width="7.1640625" style="33" customWidth="1"/>
    <col min="6386" max="6387" width="7.4140625" style="33" customWidth="1"/>
    <col min="6388" max="6388" width="7.1640625" style="33" customWidth="1"/>
    <col min="6389" max="6389" width="5.1640625" style="33" customWidth="1"/>
    <col min="6390" max="6390" width="6.25" style="33" customWidth="1"/>
    <col min="6391" max="6391" width="6.4140625" style="33" customWidth="1"/>
    <col min="6392" max="6392" width="5.75" style="33" customWidth="1"/>
    <col min="6393" max="6393" width="6.25" style="33" customWidth="1"/>
    <col min="6394" max="6398" width="6.83203125" style="33" customWidth="1"/>
    <col min="6399" max="6399" width="6.58203125" style="33" customWidth="1"/>
    <col min="6400" max="6401" width="7.58203125" style="33" customWidth="1"/>
    <col min="6402" max="6623" width="9.1640625" style="33"/>
    <col min="6624" max="6624" width="3.4140625" style="33" customWidth="1"/>
    <col min="6625" max="6625" width="29.58203125" style="33" customWidth="1"/>
    <col min="6626" max="6626" width="8.1640625" style="33" customWidth="1"/>
    <col min="6627" max="6627" width="7.75" style="33" customWidth="1"/>
    <col min="6628" max="6628" width="5.83203125" style="33" customWidth="1"/>
    <col min="6629" max="6629" width="5.75" style="33" customWidth="1"/>
    <col min="6630" max="6630" width="5.58203125" style="33" customWidth="1"/>
    <col min="6631" max="6632" width="6.25" style="33" customWidth="1"/>
    <col min="6633" max="6633" width="7.25" style="33" customWidth="1"/>
    <col min="6634" max="6634" width="5.83203125" style="33" customWidth="1"/>
    <col min="6635" max="6635" width="6.25" style="33" customWidth="1"/>
    <col min="6636" max="6640" width="6.83203125" style="33" customWidth="1"/>
    <col min="6641" max="6641" width="7.1640625" style="33" customWidth="1"/>
    <col min="6642" max="6643" width="7.4140625" style="33" customWidth="1"/>
    <col min="6644" max="6644" width="7.1640625" style="33" customWidth="1"/>
    <col min="6645" max="6645" width="5.1640625" style="33" customWidth="1"/>
    <col min="6646" max="6646" width="6.25" style="33" customWidth="1"/>
    <col min="6647" max="6647" width="6.4140625" style="33" customWidth="1"/>
    <col min="6648" max="6648" width="5.75" style="33" customWidth="1"/>
    <col min="6649" max="6649" width="6.25" style="33" customWidth="1"/>
    <col min="6650" max="6654" width="6.83203125" style="33" customWidth="1"/>
    <col min="6655" max="6655" width="6.58203125" style="33" customWidth="1"/>
    <col min="6656" max="6657" width="7.58203125" style="33" customWidth="1"/>
    <col min="6658" max="6879" width="9.1640625" style="33"/>
    <col min="6880" max="6880" width="3.4140625" style="33" customWidth="1"/>
    <col min="6881" max="6881" width="29.58203125" style="33" customWidth="1"/>
    <col min="6882" max="6882" width="8.1640625" style="33" customWidth="1"/>
    <col min="6883" max="6883" width="7.75" style="33" customWidth="1"/>
    <col min="6884" max="6884" width="5.83203125" style="33" customWidth="1"/>
    <col min="6885" max="6885" width="5.75" style="33" customWidth="1"/>
    <col min="6886" max="6886" width="5.58203125" style="33" customWidth="1"/>
    <col min="6887" max="6888" width="6.25" style="33" customWidth="1"/>
    <col min="6889" max="6889" width="7.25" style="33" customWidth="1"/>
    <col min="6890" max="6890" width="5.83203125" style="33" customWidth="1"/>
    <col min="6891" max="6891" width="6.25" style="33" customWidth="1"/>
    <col min="6892" max="6896" width="6.83203125" style="33" customWidth="1"/>
    <col min="6897" max="6897" width="7.1640625" style="33" customWidth="1"/>
    <col min="6898" max="6899" width="7.4140625" style="33" customWidth="1"/>
    <col min="6900" max="6900" width="7.1640625" style="33" customWidth="1"/>
    <col min="6901" max="6901" width="5.1640625" style="33" customWidth="1"/>
    <col min="6902" max="6902" width="6.25" style="33" customWidth="1"/>
    <col min="6903" max="6903" width="6.4140625" style="33" customWidth="1"/>
    <col min="6904" max="6904" width="5.75" style="33" customWidth="1"/>
    <col min="6905" max="6905" width="6.25" style="33" customWidth="1"/>
    <col min="6906" max="6910" width="6.83203125" style="33" customWidth="1"/>
    <col min="6911" max="6911" width="6.58203125" style="33" customWidth="1"/>
    <col min="6912" max="6913" width="7.58203125" style="33" customWidth="1"/>
    <col min="6914" max="7135" width="9.1640625" style="33"/>
    <col min="7136" max="7136" width="3.4140625" style="33" customWidth="1"/>
    <col min="7137" max="7137" width="29.58203125" style="33" customWidth="1"/>
    <col min="7138" max="7138" width="8.1640625" style="33" customWidth="1"/>
    <col min="7139" max="7139" width="7.75" style="33" customWidth="1"/>
    <col min="7140" max="7140" width="5.83203125" style="33" customWidth="1"/>
    <col min="7141" max="7141" width="5.75" style="33" customWidth="1"/>
    <col min="7142" max="7142" width="5.58203125" style="33" customWidth="1"/>
    <col min="7143" max="7144" width="6.25" style="33" customWidth="1"/>
    <col min="7145" max="7145" width="7.25" style="33" customWidth="1"/>
    <col min="7146" max="7146" width="5.83203125" style="33" customWidth="1"/>
    <col min="7147" max="7147" width="6.25" style="33" customWidth="1"/>
    <col min="7148" max="7152" width="6.83203125" style="33" customWidth="1"/>
    <col min="7153" max="7153" width="7.1640625" style="33" customWidth="1"/>
    <col min="7154" max="7155" width="7.4140625" style="33" customWidth="1"/>
    <col min="7156" max="7156" width="7.1640625" style="33" customWidth="1"/>
    <col min="7157" max="7157" width="5.1640625" style="33" customWidth="1"/>
    <col min="7158" max="7158" width="6.25" style="33" customWidth="1"/>
    <col min="7159" max="7159" width="6.4140625" style="33" customWidth="1"/>
    <col min="7160" max="7160" width="5.75" style="33" customWidth="1"/>
    <col min="7161" max="7161" width="6.25" style="33" customWidth="1"/>
    <col min="7162" max="7166" width="6.83203125" style="33" customWidth="1"/>
    <col min="7167" max="7167" width="6.58203125" style="33" customWidth="1"/>
    <col min="7168" max="7169" width="7.58203125" style="33" customWidth="1"/>
    <col min="7170" max="7391" width="9.1640625" style="33"/>
    <col min="7392" max="7392" width="3.4140625" style="33" customWidth="1"/>
    <col min="7393" max="7393" width="29.58203125" style="33" customWidth="1"/>
    <col min="7394" max="7394" width="8.1640625" style="33" customWidth="1"/>
    <col min="7395" max="7395" width="7.75" style="33" customWidth="1"/>
    <col min="7396" max="7396" width="5.83203125" style="33" customWidth="1"/>
    <col min="7397" max="7397" width="5.75" style="33" customWidth="1"/>
    <col min="7398" max="7398" width="5.58203125" style="33" customWidth="1"/>
    <col min="7399" max="7400" width="6.25" style="33" customWidth="1"/>
    <col min="7401" max="7401" width="7.25" style="33" customWidth="1"/>
    <col min="7402" max="7402" width="5.83203125" style="33" customWidth="1"/>
    <col min="7403" max="7403" width="6.25" style="33" customWidth="1"/>
    <col min="7404" max="7408" width="6.83203125" style="33" customWidth="1"/>
    <col min="7409" max="7409" width="7.1640625" style="33" customWidth="1"/>
    <col min="7410" max="7411" width="7.4140625" style="33" customWidth="1"/>
    <col min="7412" max="7412" width="7.1640625" style="33" customWidth="1"/>
    <col min="7413" max="7413" width="5.1640625" style="33" customWidth="1"/>
    <col min="7414" max="7414" width="6.25" style="33" customWidth="1"/>
    <col min="7415" max="7415" width="6.4140625" style="33" customWidth="1"/>
    <col min="7416" max="7416" width="5.75" style="33" customWidth="1"/>
    <col min="7417" max="7417" width="6.25" style="33" customWidth="1"/>
    <col min="7418" max="7422" width="6.83203125" style="33" customWidth="1"/>
    <col min="7423" max="7423" width="6.58203125" style="33" customWidth="1"/>
    <col min="7424" max="7425" width="7.58203125" style="33" customWidth="1"/>
    <col min="7426" max="7647" width="9.1640625" style="33"/>
    <col min="7648" max="7648" width="3.4140625" style="33" customWidth="1"/>
    <col min="7649" max="7649" width="29.58203125" style="33" customWidth="1"/>
    <col min="7650" max="7650" width="8.1640625" style="33" customWidth="1"/>
    <col min="7651" max="7651" width="7.75" style="33" customWidth="1"/>
    <col min="7652" max="7652" width="5.83203125" style="33" customWidth="1"/>
    <col min="7653" max="7653" width="5.75" style="33" customWidth="1"/>
    <col min="7654" max="7654" width="5.58203125" style="33" customWidth="1"/>
    <col min="7655" max="7656" width="6.25" style="33" customWidth="1"/>
    <col min="7657" max="7657" width="7.25" style="33" customWidth="1"/>
    <col min="7658" max="7658" width="5.83203125" style="33" customWidth="1"/>
    <col min="7659" max="7659" width="6.25" style="33" customWidth="1"/>
    <col min="7660" max="7664" width="6.83203125" style="33" customWidth="1"/>
    <col min="7665" max="7665" width="7.1640625" style="33" customWidth="1"/>
    <col min="7666" max="7667" width="7.4140625" style="33" customWidth="1"/>
    <col min="7668" max="7668" width="7.1640625" style="33" customWidth="1"/>
    <col min="7669" max="7669" width="5.1640625" style="33" customWidth="1"/>
    <col min="7670" max="7670" width="6.25" style="33" customWidth="1"/>
    <col min="7671" max="7671" width="6.4140625" style="33" customWidth="1"/>
    <col min="7672" max="7672" width="5.75" style="33" customWidth="1"/>
    <col min="7673" max="7673" width="6.25" style="33" customWidth="1"/>
    <col min="7674" max="7678" width="6.83203125" style="33" customWidth="1"/>
    <col min="7679" max="7679" width="6.58203125" style="33" customWidth="1"/>
    <col min="7680" max="7681" width="7.58203125" style="33" customWidth="1"/>
    <col min="7682" max="7903" width="9.1640625" style="33"/>
    <col min="7904" max="7904" width="3.4140625" style="33" customWidth="1"/>
    <col min="7905" max="7905" width="29.58203125" style="33" customWidth="1"/>
    <col min="7906" max="7906" width="8.1640625" style="33" customWidth="1"/>
    <col min="7907" max="7907" width="7.75" style="33" customWidth="1"/>
    <col min="7908" max="7908" width="5.83203125" style="33" customWidth="1"/>
    <col min="7909" max="7909" width="5.75" style="33" customWidth="1"/>
    <col min="7910" max="7910" width="5.58203125" style="33" customWidth="1"/>
    <col min="7911" max="7912" width="6.25" style="33" customWidth="1"/>
    <col min="7913" max="7913" width="7.25" style="33" customWidth="1"/>
    <col min="7914" max="7914" width="5.83203125" style="33" customWidth="1"/>
    <col min="7915" max="7915" width="6.25" style="33" customWidth="1"/>
    <col min="7916" max="7920" width="6.83203125" style="33" customWidth="1"/>
    <col min="7921" max="7921" width="7.1640625" style="33" customWidth="1"/>
    <col min="7922" max="7923" width="7.4140625" style="33" customWidth="1"/>
    <col min="7924" max="7924" width="7.1640625" style="33" customWidth="1"/>
    <col min="7925" max="7925" width="5.1640625" style="33" customWidth="1"/>
    <col min="7926" max="7926" width="6.25" style="33" customWidth="1"/>
    <col min="7927" max="7927" width="6.4140625" style="33" customWidth="1"/>
    <col min="7928" max="7928" width="5.75" style="33" customWidth="1"/>
    <col min="7929" max="7929" width="6.25" style="33" customWidth="1"/>
    <col min="7930" max="7934" width="6.83203125" style="33" customWidth="1"/>
    <col min="7935" max="7935" width="6.58203125" style="33" customWidth="1"/>
    <col min="7936" max="7937" width="7.58203125" style="33" customWidth="1"/>
    <col min="7938" max="8159" width="9.1640625" style="33"/>
    <col min="8160" max="8160" width="3.4140625" style="33" customWidth="1"/>
    <col min="8161" max="8161" width="29.58203125" style="33" customWidth="1"/>
    <col min="8162" max="8162" width="8.1640625" style="33" customWidth="1"/>
    <col min="8163" max="8163" width="7.75" style="33" customWidth="1"/>
    <col min="8164" max="8164" width="5.83203125" style="33" customWidth="1"/>
    <col min="8165" max="8165" width="5.75" style="33" customWidth="1"/>
    <col min="8166" max="8166" width="5.58203125" style="33" customWidth="1"/>
    <col min="8167" max="8168" width="6.25" style="33" customWidth="1"/>
    <col min="8169" max="8169" width="7.25" style="33" customWidth="1"/>
    <col min="8170" max="8170" width="5.83203125" style="33" customWidth="1"/>
    <col min="8171" max="8171" width="6.25" style="33" customWidth="1"/>
    <col min="8172" max="8176" width="6.83203125" style="33" customWidth="1"/>
    <col min="8177" max="8177" width="7.1640625" style="33" customWidth="1"/>
    <col min="8178" max="8179" width="7.4140625" style="33" customWidth="1"/>
    <col min="8180" max="8180" width="7.1640625" style="33" customWidth="1"/>
    <col min="8181" max="8181" width="5.1640625" style="33" customWidth="1"/>
    <col min="8182" max="8182" width="6.25" style="33" customWidth="1"/>
    <col min="8183" max="8183" width="6.4140625" style="33" customWidth="1"/>
    <col min="8184" max="8184" width="5.75" style="33" customWidth="1"/>
    <col min="8185" max="8185" width="6.25" style="33" customWidth="1"/>
    <col min="8186" max="8190" width="6.83203125" style="33" customWidth="1"/>
    <col min="8191" max="8191" width="6.58203125" style="33" customWidth="1"/>
    <col min="8192" max="8193" width="7.58203125" style="33" customWidth="1"/>
    <col min="8194" max="8415" width="9.1640625" style="33"/>
    <col min="8416" max="8416" width="3.4140625" style="33" customWidth="1"/>
    <col min="8417" max="8417" width="29.58203125" style="33" customWidth="1"/>
    <col min="8418" max="8418" width="8.1640625" style="33" customWidth="1"/>
    <col min="8419" max="8419" width="7.75" style="33" customWidth="1"/>
    <col min="8420" max="8420" width="5.83203125" style="33" customWidth="1"/>
    <col min="8421" max="8421" width="5.75" style="33" customWidth="1"/>
    <col min="8422" max="8422" width="5.58203125" style="33" customWidth="1"/>
    <col min="8423" max="8424" width="6.25" style="33" customWidth="1"/>
    <col min="8425" max="8425" width="7.25" style="33" customWidth="1"/>
    <col min="8426" max="8426" width="5.83203125" style="33" customWidth="1"/>
    <col min="8427" max="8427" width="6.25" style="33" customWidth="1"/>
    <col min="8428" max="8432" width="6.83203125" style="33" customWidth="1"/>
    <col min="8433" max="8433" width="7.1640625" style="33" customWidth="1"/>
    <col min="8434" max="8435" width="7.4140625" style="33" customWidth="1"/>
    <col min="8436" max="8436" width="7.1640625" style="33" customWidth="1"/>
    <col min="8437" max="8437" width="5.1640625" style="33" customWidth="1"/>
    <col min="8438" max="8438" width="6.25" style="33" customWidth="1"/>
    <col min="8439" max="8439" width="6.4140625" style="33" customWidth="1"/>
    <col min="8440" max="8440" width="5.75" style="33" customWidth="1"/>
    <col min="8441" max="8441" width="6.25" style="33" customWidth="1"/>
    <col min="8442" max="8446" width="6.83203125" style="33" customWidth="1"/>
    <col min="8447" max="8447" width="6.58203125" style="33" customWidth="1"/>
    <col min="8448" max="8449" width="7.58203125" style="33" customWidth="1"/>
    <col min="8450" max="8671" width="9.1640625" style="33"/>
    <col min="8672" max="8672" width="3.4140625" style="33" customWidth="1"/>
    <col min="8673" max="8673" width="29.58203125" style="33" customWidth="1"/>
    <col min="8674" max="8674" width="8.1640625" style="33" customWidth="1"/>
    <col min="8675" max="8675" width="7.75" style="33" customWidth="1"/>
    <col min="8676" max="8676" width="5.83203125" style="33" customWidth="1"/>
    <col min="8677" max="8677" width="5.75" style="33" customWidth="1"/>
    <col min="8678" max="8678" width="5.58203125" style="33" customWidth="1"/>
    <col min="8679" max="8680" width="6.25" style="33" customWidth="1"/>
    <col min="8681" max="8681" width="7.25" style="33" customWidth="1"/>
    <col min="8682" max="8682" width="5.83203125" style="33" customWidth="1"/>
    <col min="8683" max="8683" width="6.25" style="33" customWidth="1"/>
    <col min="8684" max="8688" width="6.83203125" style="33" customWidth="1"/>
    <col min="8689" max="8689" width="7.1640625" style="33" customWidth="1"/>
    <col min="8690" max="8691" width="7.4140625" style="33" customWidth="1"/>
    <col min="8692" max="8692" width="7.1640625" style="33" customWidth="1"/>
    <col min="8693" max="8693" width="5.1640625" style="33" customWidth="1"/>
    <col min="8694" max="8694" width="6.25" style="33" customWidth="1"/>
    <col min="8695" max="8695" width="6.4140625" style="33" customWidth="1"/>
    <col min="8696" max="8696" width="5.75" style="33" customWidth="1"/>
    <col min="8697" max="8697" width="6.25" style="33" customWidth="1"/>
    <col min="8698" max="8702" width="6.83203125" style="33" customWidth="1"/>
    <col min="8703" max="8703" width="6.58203125" style="33" customWidth="1"/>
    <col min="8704" max="8705" width="7.58203125" style="33" customWidth="1"/>
    <col min="8706" max="8927" width="9.1640625" style="33"/>
    <col min="8928" max="8928" width="3.4140625" style="33" customWidth="1"/>
    <col min="8929" max="8929" width="29.58203125" style="33" customWidth="1"/>
    <col min="8930" max="8930" width="8.1640625" style="33" customWidth="1"/>
    <col min="8931" max="8931" width="7.75" style="33" customWidth="1"/>
    <col min="8932" max="8932" width="5.83203125" style="33" customWidth="1"/>
    <col min="8933" max="8933" width="5.75" style="33" customWidth="1"/>
    <col min="8934" max="8934" width="5.58203125" style="33" customWidth="1"/>
    <col min="8935" max="8936" width="6.25" style="33" customWidth="1"/>
    <col min="8937" max="8937" width="7.25" style="33" customWidth="1"/>
    <col min="8938" max="8938" width="5.83203125" style="33" customWidth="1"/>
    <col min="8939" max="8939" width="6.25" style="33" customWidth="1"/>
    <col min="8940" max="8944" width="6.83203125" style="33" customWidth="1"/>
    <col min="8945" max="8945" width="7.1640625" style="33" customWidth="1"/>
    <col min="8946" max="8947" width="7.4140625" style="33" customWidth="1"/>
    <col min="8948" max="8948" width="7.1640625" style="33" customWidth="1"/>
    <col min="8949" max="8949" width="5.1640625" style="33" customWidth="1"/>
    <col min="8950" max="8950" width="6.25" style="33" customWidth="1"/>
    <col min="8951" max="8951" width="6.4140625" style="33" customWidth="1"/>
    <col min="8952" max="8952" width="5.75" style="33" customWidth="1"/>
    <col min="8953" max="8953" width="6.25" style="33" customWidth="1"/>
    <col min="8954" max="8958" width="6.83203125" style="33" customWidth="1"/>
    <col min="8959" max="8959" width="6.58203125" style="33" customWidth="1"/>
    <col min="8960" max="8961" width="7.58203125" style="33" customWidth="1"/>
    <col min="8962" max="9183" width="9.1640625" style="33"/>
    <col min="9184" max="9184" width="3.4140625" style="33" customWidth="1"/>
    <col min="9185" max="9185" width="29.58203125" style="33" customWidth="1"/>
    <col min="9186" max="9186" width="8.1640625" style="33" customWidth="1"/>
    <col min="9187" max="9187" width="7.75" style="33" customWidth="1"/>
    <col min="9188" max="9188" width="5.83203125" style="33" customWidth="1"/>
    <col min="9189" max="9189" width="5.75" style="33" customWidth="1"/>
    <col min="9190" max="9190" width="5.58203125" style="33" customWidth="1"/>
    <col min="9191" max="9192" width="6.25" style="33" customWidth="1"/>
    <col min="9193" max="9193" width="7.25" style="33" customWidth="1"/>
    <col min="9194" max="9194" width="5.83203125" style="33" customWidth="1"/>
    <col min="9195" max="9195" width="6.25" style="33" customWidth="1"/>
    <col min="9196" max="9200" width="6.83203125" style="33" customWidth="1"/>
    <col min="9201" max="9201" width="7.1640625" style="33" customWidth="1"/>
    <col min="9202" max="9203" width="7.4140625" style="33" customWidth="1"/>
    <col min="9204" max="9204" width="7.1640625" style="33" customWidth="1"/>
    <col min="9205" max="9205" width="5.1640625" style="33" customWidth="1"/>
    <col min="9206" max="9206" width="6.25" style="33" customWidth="1"/>
    <col min="9207" max="9207" width="6.4140625" style="33" customWidth="1"/>
    <col min="9208" max="9208" width="5.75" style="33" customWidth="1"/>
    <col min="9209" max="9209" width="6.25" style="33" customWidth="1"/>
    <col min="9210" max="9214" width="6.83203125" style="33" customWidth="1"/>
    <col min="9215" max="9215" width="6.58203125" style="33" customWidth="1"/>
    <col min="9216" max="9217" width="7.58203125" style="33" customWidth="1"/>
    <col min="9218" max="9439" width="9.1640625" style="33"/>
    <col min="9440" max="9440" width="3.4140625" style="33" customWidth="1"/>
    <col min="9441" max="9441" width="29.58203125" style="33" customWidth="1"/>
    <col min="9442" max="9442" width="8.1640625" style="33" customWidth="1"/>
    <col min="9443" max="9443" width="7.75" style="33" customWidth="1"/>
    <col min="9444" max="9444" width="5.83203125" style="33" customWidth="1"/>
    <col min="9445" max="9445" width="5.75" style="33" customWidth="1"/>
    <col min="9446" max="9446" width="5.58203125" style="33" customWidth="1"/>
    <col min="9447" max="9448" width="6.25" style="33" customWidth="1"/>
    <col min="9449" max="9449" width="7.25" style="33" customWidth="1"/>
    <col min="9450" max="9450" width="5.83203125" style="33" customWidth="1"/>
    <col min="9451" max="9451" width="6.25" style="33" customWidth="1"/>
    <col min="9452" max="9456" width="6.83203125" style="33" customWidth="1"/>
    <col min="9457" max="9457" width="7.1640625" style="33" customWidth="1"/>
    <col min="9458" max="9459" width="7.4140625" style="33" customWidth="1"/>
    <col min="9460" max="9460" width="7.1640625" style="33" customWidth="1"/>
    <col min="9461" max="9461" width="5.1640625" style="33" customWidth="1"/>
    <col min="9462" max="9462" width="6.25" style="33" customWidth="1"/>
    <col min="9463" max="9463" width="6.4140625" style="33" customWidth="1"/>
    <col min="9464" max="9464" width="5.75" style="33" customWidth="1"/>
    <col min="9465" max="9465" width="6.25" style="33" customWidth="1"/>
    <col min="9466" max="9470" width="6.83203125" style="33" customWidth="1"/>
    <col min="9471" max="9471" width="6.58203125" style="33" customWidth="1"/>
    <col min="9472" max="9473" width="7.58203125" style="33" customWidth="1"/>
    <col min="9474" max="9695" width="9.1640625" style="33"/>
    <col min="9696" max="9696" width="3.4140625" style="33" customWidth="1"/>
    <col min="9697" max="9697" width="29.58203125" style="33" customWidth="1"/>
    <col min="9698" max="9698" width="8.1640625" style="33" customWidth="1"/>
    <col min="9699" max="9699" width="7.75" style="33" customWidth="1"/>
    <col min="9700" max="9700" width="5.83203125" style="33" customWidth="1"/>
    <col min="9701" max="9701" width="5.75" style="33" customWidth="1"/>
    <col min="9702" max="9702" width="5.58203125" style="33" customWidth="1"/>
    <col min="9703" max="9704" width="6.25" style="33" customWidth="1"/>
    <col min="9705" max="9705" width="7.25" style="33" customWidth="1"/>
    <col min="9706" max="9706" width="5.83203125" style="33" customWidth="1"/>
    <col min="9707" max="9707" width="6.25" style="33" customWidth="1"/>
    <col min="9708" max="9712" width="6.83203125" style="33" customWidth="1"/>
    <col min="9713" max="9713" width="7.1640625" style="33" customWidth="1"/>
    <col min="9714" max="9715" width="7.4140625" style="33" customWidth="1"/>
    <col min="9716" max="9716" width="7.1640625" style="33" customWidth="1"/>
    <col min="9717" max="9717" width="5.1640625" style="33" customWidth="1"/>
    <col min="9718" max="9718" width="6.25" style="33" customWidth="1"/>
    <col min="9719" max="9719" width="6.4140625" style="33" customWidth="1"/>
    <col min="9720" max="9720" width="5.75" style="33" customWidth="1"/>
    <col min="9721" max="9721" width="6.25" style="33" customWidth="1"/>
    <col min="9722" max="9726" width="6.83203125" style="33" customWidth="1"/>
    <col min="9727" max="9727" width="6.58203125" style="33" customWidth="1"/>
    <col min="9728" max="9729" width="7.58203125" style="33" customWidth="1"/>
    <col min="9730" max="9951" width="9.1640625" style="33"/>
    <col min="9952" max="9952" width="3.4140625" style="33" customWidth="1"/>
    <col min="9953" max="9953" width="29.58203125" style="33" customWidth="1"/>
    <col min="9954" max="9954" width="8.1640625" style="33" customWidth="1"/>
    <col min="9955" max="9955" width="7.75" style="33" customWidth="1"/>
    <col min="9956" max="9956" width="5.83203125" style="33" customWidth="1"/>
    <col min="9957" max="9957" width="5.75" style="33" customWidth="1"/>
    <col min="9958" max="9958" width="5.58203125" style="33" customWidth="1"/>
    <col min="9959" max="9960" width="6.25" style="33" customWidth="1"/>
    <col min="9961" max="9961" width="7.25" style="33" customWidth="1"/>
    <col min="9962" max="9962" width="5.83203125" style="33" customWidth="1"/>
    <col min="9963" max="9963" width="6.25" style="33" customWidth="1"/>
    <col min="9964" max="9968" width="6.83203125" style="33" customWidth="1"/>
    <col min="9969" max="9969" width="7.1640625" style="33" customWidth="1"/>
    <col min="9970" max="9971" width="7.4140625" style="33" customWidth="1"/>
    <col min="9972" max="9972" width="7.1640625" style="33" customWidth="1"/>
    <col min="9973" max="9973" width="5.1640625" style="33" customWidth="1"/>
    <col min="9974" max="9974" width="6.25" style="33" customWidth="1"/>
    <col min="9975" max="9975" width="6.4140625" style="33" customWidth="1"/>
    <col min="9976" max="9976" width="5.75" style="33" customWidth="1"/>
    <col min="9977" max="9977" width="6.25" style="33" customWidth="1"/>
    <col min="9978" max="9982" width="6.83203125" style="33" customWidth="1"/>
    <col min="9983" max="9983" width="6.58203125" style="33" customWidth="1"/>
    <col min="9984" max="9985" width="7.58203125" style="33" customWidth="1"/>
    <col min="9986" max="10207" width="9.1640625" style="33"/>
    <col min="10208" max="10208" width="3.4140625" style="33" customWidth="1"/>
    <col min="10209" max="10209" width="29.58203125" style="33" customWidth="1"/>
    <col min="10210" max="10210" width="8.1640625" style="33" customWidth="1"/>
    <col min="10211" max="10211" width="7.75" style="33" customWidth="1"/>
    <col min="10212" max="10212" width="5.83203125" style="33" customWidth="1"/>
    <col min="10213" max="10213" width="5.75" style="33" customWidth="1"/>
    <col min="10214" max="10214" width="5.58203125" style="33" customWidth="1"/>
    <col min="10215" max="10216" width="6.25" style="33" customWidth="1"/>
    <col min="10217" max="10217" width="7.25" style="33" customWidth="1"/>
    <col min="10218" max="10218" width="5.83203125" style="33" customWidth="1"/>
    <col min="10219" max="10219" width="6.25" style="33" customWidth="1"/>
    <col min="10220" max="10224" width="6.83203125" style="33" customWidth="1"/>
    <col min="10225" max="10225" width="7.1640625" style="33" customWidth="1"/>
    <col min="10226" max="10227" width="7.4140625" style="33" customWidth="1"/>
    <col min="10228" max="10228" width="7.1640625" style="33" customWidth="1"/>
    <col min="10229" max="10229" width="5.1640625" style="33" customWidth="1"/>
    <col min="10230" max="10230" width="6.25" style="33" customWidth="1"/>
    <col min="10231" max="10231" width="6.4140625" style="33" customWidth="1"/>
    <col min="10232" max="10232" width="5.75" style="33" customWidth="1"/>
    <col min="10233" max="10233" width="6.25" style="33" customWidth="1"/>
    <col min="10234" max="10238" width="6.83203125" style="33" customWidth="1"/>
    <col min="10239" max="10239" width="6.58203125" style="33" customWidth="1"/>
    <col min="10240" max="10241" width="7.58203125" style="33" customWidth="1"/>
    <col min="10242" max="10463" width="9.1640625" style="33"/>
    <col min="10464" max="10464" width="3.4140625" style="33" customWidth="1"/>
    <col min="10465" max="10465" width="29.58203125" style="33" customWidth="1"/>
    <col min="10466" max="10466" width="8.1640625" style="33" customWidth="1"/>
    <col min="10467" max="10467" width="7.75" style="33" customWidth="1"/>
    <col min="10468" max="10468" width="5.83203125" style="33" customWidth="1"/>
    <col min="10469" max="10469" width="5.75" style="33" customWidth="1"/>
    <col min="10470" max="10470" width="5.58203125" style="33" customWidth="1"/>
    <col min="10471" max="10472" width="6.25" style="33" customWidth="1"/>
    <col min="10473" max="10473" width="7.25" style="33" customWidth="1"/>
    <col min="10474" max="10474" width="5.83203125" style="33" customWidth="1"/>
    <col min="10475" max="10475" width="6.25" style="33" customWidth="1"/>
    <col min="10476" max="10480" width="6.83203125" style="33" customWidth="1"/>
    <col min="10481" max="10481" width="7.1640625" style="33" customWidth="1"/>
    <col min="10482" max="10483" width="7.4140625" style="33" customWidth="1"/>
    <col min="10484" max="10484" width="7.1640625" style="33" customWidth="1"/>
    <col min="10485" max="10485" width="5.1640625" style="33" customWidth="1"/>
    <col min="10486" max="10486" width="6.25" style="33" customWidth="1"/>
    <col min="10487" max="10487" width="6.4140625" style="33" customWidth="1"/>
    <col min="10488" max="10488" width="5.75" style="33" customWidth="1"/>
    <col min="10489" max="10489" width="6.25" style="33" customWidth="1"/>
    <col min="10490" max="10494" width="6.83203125" style="33" customWidth="1"/>
    <col min="10495" max="10495" width="6.58203125" style="33" customWidth="1"/>
    <col min="10496" max="10497" width="7.58203125" style="33" customWidth="1"/>
    <col min="10498" max="10719" width="9.1640625" style="33"/>
    <col min="10720" max="10720" width="3.4140625" style="33" customWidth="1"/>
    <col min="10721" max="10721" width="29.58203125" style="33" customWidth="1"/>
    <col min="10722" max="10722" width="8.1640625" style="33" customWidth="1"/>
    <col min="10723" max="10723" width="7.75" style="33" customWidth="1"/>
    <col min="10724" max="10724" width="5.83203125" style="33" customWidth="1"/>
    <col min="10725" max="10725" width="5.75" style="33" customWidth="1"/>
    <col min="10726" max="10726" width="5.58203125" style="33" customWidth="1"/>
    <col min="10727" max="10728" width="6.25" style="33" customWidth="1"/>
    <col min="10729" max="10729" width="7.25" style="33" customWidth="1"/>
    <col min="10730" max="10730" width="5.83203125" style="33" customWidth="1"/>
    <col min="10731" max="10731" width="6.25" style="33" customWidth="1"/>
    <col min="10732" max="10736" width="6.83203125" style="33" customWidth="1"/>
    <col min="10737" max="10737" width="7.1640625" style="33" customWidth="1"/>
    <col min="10738" max="10739" width="7.4140625" style="33" customWidth="1"/>
    <col min="10740" max="10740" width="7.1640625" style="33" customWidth="1"/>
    <col min="10741" max="10741" width="5.1640625" style="33" customWidth="1"/>
    <col min="10742" max="10742" width="6.25" style="33" customWidth="1"/>
    <col min="10743" max="10743" width="6.4140625" style="33" customWidth="1"/>
    <col min="10744" max="10744" width="5.75" style="33" customWidth="1"/>
    <col min="10745" max="10745" width="6.25" style="33" customWidth="1"/>
    <col min="10746" max="10750" width="6.83203125" style="33" customWidth="1"/>
    <col min="10751" max="10751" width="6.58203125" style="33" customWidth="1"/>
    <col min="10752" max="10753" width="7.58203125" style="33" customWidth="1"/>
    <col min="10754" max="10975" width="9.1640625" style="33"/>
    <col min="10976" max="10976" width="3.4140625" style="33" customWidth="1"/>
    <col min="10977" max="10977" width="29.58203125" style="33" customWidth="1"/>
    <col min="10978" max="10978" width="8.1640625" style="33" customWidth="1"/>
    <col min="10979" max="10979" width="7.75" style="33" customWidth="1"/>
    <col min="10980" max="10980" width="5.83203125" style="33" customWidth="1"/>
    <col min="10981" max="10981" width="5.75" style="33" customWidth="1"/>
    <col min="10982" max="10982" width="5.58203125" style="33" customWidth="1"/>
    <col min="10983" max="10984" width="6.25" style="33" customWidth="1"/>
    <col min="10985" max="10985" width="7.25" style="33" customWidth="1"/>
    <col min="10986" max="10986" width="5.83203125" style="33" customWidth="1"/>
    <col min="10987" max="10987" width="6.25" style="33" customWidth="1"/>
    <col min="10988" max="10992" width="6.83203125" style="33" customWidth="1"/>
    <col min="10993" max="10993" width="7.1640625" style="33" customWidth="1"/>
    <col min="10994" max="10995" width="7.4140625" style="33" customWidth="1"/>
    <col min="10996" max="10996" width="7.1640625" style="33" customWidth="1"/>
    <col min="10997" max="10997" width="5.1640625" style="33" customWidth="1"/>
    <col min="10998" max="10998" width="6.25" style="33" customWidth="1"/>
    <col min="10999" max="10999" width="6.4140625" style="33" customWidth="1"/>
    <col min="11000" max="11000" width="5.75" style="33" customWidth="1"/>
    <col min="11001" max="11001" width="6.25" style="33" customWidth="1"/>
    <col min="11002" max="11006" width="6.83203125" style="33" customWidth="1"/>
    <col min="11007" max="11007" width="6.58203125" style="33" customWidth="1"/>
    <col min="11008" max="11009" width="7.58203125" style="33" customWidth="1"/>
    <col min="11010" max="11231" width="9.1640625" style="33"/>
    <col min="11232" max="11232" width="3.4140625" style="33" customWidth="1"/>
    <col min="11233" max="11233" width="29.58203125" style="33" customWidth="1"/>
    <col min="11234" max="11234" width="8.1640625" style="33" customWidth="1"/>
    <col min="11235" max="11235" width="7.75" style="33" customWidth="1"/>
    <col min="11236" max="11236" width="5.83203125" style="33" customWidth="1"/>
    <col min="11237" max="11237" width="5.75" style="33" customWidth="1"/>
    <col min="11238" max="11238" width="5.58203125" style="33" customWidth="1"/>
    <col min="11239" max="11240" width="6.25" style="33" customWidth="1"/>
    <col min="11241" max="11241" width="7.25" style="33" customWidth="1"/>
    <col min="11242" max="11242" width="5.83203125" style="33" customWidth="1"/>
    <col min="11243" max="11243" width="6.25" style="33" customWidth="1"/>
    <col min="11244" max="11248" width="6.83203125" style="33" customWidth="1"/>
    <col min="11249" max="11249" width="7.1640625" style="33" customWidth="1"/>
    <col min="11250" max="11251" width="7.4140625" style="33" customWidth="1"/>
    <col min="11252" max="11252" width="7.1640625" style="33" customWidth="1"/>
    <col min="11253" max="11253" width="5.1640625" style="33" customWidth="1"/>
    <col min="11254" max="11254" width="6.25" style="33" customWidth="1"/>
    <col min="11255" max="11255" width="6.4140625" style="33" customWidth="1"/>
    <col min="11256" max="11256" width="5.75" style="33" customWidth="1"/>
    <col min="11257" max="11257" width="6.25" style="33" customWidth="1"/>
    <col min="11258" max="11262" width="6.83203125" style="33" customWidth="1"/>
    <col min="11263" max="11263" width="6.58203125" style="33" customWidth="1"/>
    <col min="11264" max="11265" width="7.58203125" style="33" customWidth="1"/>
    <col min="11266" max="11487" width="9.1640625" style="33"/>
    <col min="11488" max="11488" width="3.4140625" style="33" customWidth="1"/>
    <col min="11489" max="11489" width="29.58203125" style="33" customWidth="1"/>
    <col min="11490" max="11490" width="8.1640625" style="33" customWidth="1"/>
    <col min="11491" max="11491" width="7.75" style="33" customWidth="1"/>
    <col min="11492" max="11492" width="5.83203125" style="33" customWidth="1"/>
    <col min="11493" max="11493" width="5.75" style="33" customWidth="1"/>
    <col min="11494" max="11494" width="5.58203125" style="33" customWidth="1"/>
    <col min="11495" max="11496" width="6.25" style="33" customWidth="1"/>
    <col min="11497" max="11497" width="7.25" style="33" customWidth="1"/>
    <col min="11498" max="11498" width="5.83203125" style="33" customWidth="1"/>
    <col min="11499" max="11499" width="6.25" style="33" customWidth="1"/>
    <col min="11500" max="11504" width="6.83203125" style="33" customWidth="1"/>
    <col min="11505" max="11505" width="7.1640625" style="33" customWidth="1"/>
    <col min="11506" max="11507" width="7.4140625" style="33" customWidth="1"/>
    <col min="11508" max="11508" width="7.1640625" style="33" customWidth="1"/>
    <col min="11509" max="11509" width="5.1640625" style="33" customWidth="1"/>
    <col min="11510" max="11510" width="6.25" style="33" customWidth="1"/>
    <col min="11511" max="11511" width="6.4140625" style="33" customWidth="1"/>
    <col min="11512" max="11512" width="5.75" style="33" customWidth="1"/>
    <col min="11513" max="11513" width="6.25" style="33" customWidth="1"/>
    <col min="11514" max="11518" width="6.83203125" style="33" customWidth="1"/>
    <col min="11519" max="11519" width="6.58203125" style="33" customWidth="1"/>
    <col min="11520" max="11521" width="7.58203125" style="33" customWidth="1"/>
    <col min="11522" max="11743" width="9.1640625" style="33"/>
    <col min="11744" max="11744" width="3.4140625" style="33" customWidth="1"/>
    <col min="11745" max="11745" width="29.58203125" style="33" customWidth="1"/>
    <col min="11746" max="11746" width="8.1640625" style="33" customWidth="1"/>
    <col min="11747" max="11747" width="7.75" style="33" customWidth="1"/>
    <col min="11748" max="11748" width="5.83203125" style="33" customWidth="1"/>
    <col min="11749" max="11749" width="5.75" style="33" customWidth="1"/>
    <col min="11750" max="11750" width="5.58203125" style="33" customWidth="1"/>
    <col min="11751" max="11752" width="6.25" style="33" customWidth="1"/>
    <col min="11753" max="11753" width="7.25" style="33" customWidth="1"/>
    <col min="11754" max="11754" width="5.83203125" style="33" customWidth="1"/>
    <col min="11755" max="11755" width="6.25" style="33" customWidth="1"/>
    <col min="11756" max="11760" width="6.83203125" style="33" customWidth="1"/>
    <col min="11761" max="11761" width="7.1640625" style="33" customWidth="1"/>
    <col min="11762" max="11763" width="7.4140625" style="33" customWidth="1"/>
    <col min="11764" max="11764" width="7.1640625" style="33" customWidth="1"/>
    <col min="11765" max="11765" width="5.1640625" style="33" customWidth="1"/>
    <col min="11766" max="11766" width="6.25" style="33" customWidth="1"/>
    <col min="11767" max="11767" width="6.4140625" style="33" customWidth="1"/>
    <col min="11768" max="11768" width="5.75" style="33" customWidth="1"/>
    <col min="11769" max="11769" width="6.25" style="33" customWidth="1"/>
    <col min="11770" max="11774" width="6.83203125" style="33" customWidth="1"/>
    <col min="11775" max="11775" width="6.58203125" style="33" customWidth="1"/>
    <col min="11776" max="11777" width="7.58203125" style="33" customWidth="1"/>
    <col min="11778" max="11999" width="9.1640625" style="33"/>
    <col min="12000" max="12000" width="3.4140625" style="33" customWidth="1"/>
    <col min="12001" max="12001" width="29.58203125" style="33" customWidth="1"/>
    <col min="12002" max="12002" width="8.1640625" style="33" customWidth="1"/>
    <col min="12003" max="12003" width="7.75" style="33" customWidth="1"/>
    <col min="12004" max="12004" width="5.83203125" style="33" customWidth="1"/>
    <col min="12005" max="12005" width="5.75" style="33" customWidth="1"/>
    <col min="12006" max="12006" width="5.58203125" style="33" customWidth="1"/>
    <col min="12007" max="12008" width="6.25" style="33" customWidth="1"/>
    <col min="12009" max="12009" width="7.25" style="33" customWidth="1"/>
    <col min="12010" max="12010" width="5.83203125" style="33" customWidth="1"/>
    <col min="12011" max="12011" width="6.25" style="33" customWidth="1"/>
    <col min="12012" max="12016" width="6.83203125" style="33" customWidth="1"/>
    <col min="12017" max="12017" width="7.1640625" style="33" customWidth="1"/>
    <col min="12018" max="12019" width="7.4140625" style="33" customWidth="1"/>
    <col min="12020" max="12020" width="7.1640625" style="33" customWidth="1"/>
    <col min="12021" max="12021" width="5.1640625" style="33" customWidth="1"/>
    <col min="12022" max="12022" width="6.25" style="33" customWidth="1"/>
    <col min="12023" max="12023" width="6.4140625" style="33" customWidth="1"/>
    <col min="12024" max="12024" width="5.75" style="33" customWidth="1"/>
    <col min="12025" max="12025" width="6.25" style="33" customWidth="1"/>
    <col min="12026" max="12030" width="6.83203125" style="33" customWidth="1"/>
    <col min="12031" max="12031" width="6.58203125" style="33" customWidth="1"/>
    <col min="12032" max="12033" width="7.58203125" style="33" customWidth="1"/>
    <col min="12034" max="12255" width="9.1640625" style="33"/>
    <col min="12256" max="12256" width="3.4140625" style="33" customWidth="1"/>
    <col min="12257" max="12257" width="29.58203125" style="33" customWidth="1"/>
    <col min="12258" max="12258" width="8.1640625" style="33" customWidth="1"/>
    <col min="12259" max="12259" width="7.75" style="33" customWidth="1"/>
    <col min="12260" max="12260" width="5.83203125" style="33" customWidth="1"/>
    <col min="12261" max="12261" width="5.75" style="33" customWidth="1"/>
    <col min="12262" max="12262" width="5.58203125" style="33" customWidth="1"/>
    <col min="12263" max="12264" width="6.25" style="33" customWidth="1"/>
    <col min="12265" max="12265" width="7.25" style="33" customWidth="1"/>
    <col min="12266" max="12266" width="5.83203125" style="33" customWidth="1"/>
    <col min="12267" max="12267" width="6.25" style="33" customWidth="1"/>
    <col min="12268" max="12272" width="6.83203125" style="33" customWidth="1"/>
    <col min="12273" max="12273" width="7.1640625" style="33" customWidth="1"/>
    <col min="12274" max="12275" width="7.4140625" style="33" customWidth="1"/>
    <col min="12276" max="12276" width="7.1640625" style="33" customWidth="1"/>
    <col min="12277" max="12277" width="5.1640625" style="33" customWidth="1"/>
    <col min="12278" max="12278" width="6.25" style="33" customWidth="1"/>
    <col min="12279" max="12279" width="6.4140625" style="33" customWidth="1"/>
    <col min="12280" max="12280" width="5.75" style="33" customWidth="1"/>
    <col min="12281" max="12281" width="6.25" style="33" customWidth="1"/>
    <col min="12282" max="12286" width="6.83203125" style="33" customWidth="1"/>
    <col min="12287" max="12287" width="6.58203125" style="33" customWidth="1"/>
    <col min="12288" max="12289" width="7.58203125" style="33" customWidth="1"/>
    <col min="12290" max="12511" width="9.1640625" style="33"/>
    <col min="12512" max="12512" width="3.4140625" style="33" customWidth="1"/>
    <col min="12513" max="12513" width="29.58203125" style="33" customWidth="1"/>
    <col min="12514" max="12514" width="8.1640625" style="33" customWidth="1"/>
    <col min="12515" max="12515" width="7.75" style="33" customWidth="1"/>
    <col min="12516" max="12516" width="5.83203125" style="33" customWidth="1"/>
    <col min="12517" max="12517" width="5.75" style="33" customWidth="1"/>
    <col min="12518" max="12518" width="5.58203125" style="33" customWidth="1"/>
    <col min="12519" max="12520" width="6.25" style="33" customWidth="1"/>
    <col min="12521" max="12521" width="7.25" style="33" customWidth="1"/>
    <col min="12522" max="12522" width="5.83203125" style="33" customWidth="1"/>
    <col min="12523" max="12523" width="6.25" style="33" customWidth="1"/>
    <col min="12524" max="12528" width="6.83203125" style="33" customWidth="1"/>
    <col min="12529" max="12529" width="7.1640625" style="33" customWidth="1"/>
    <col min="12530" max="12531" width="7.4140625" style="33" customWidth="1"/>
    <col min="12532" max="12532" width="7.1640625" style="33" customWidth="1"/>
    <col min="12533" max="12533" width="5.1640625" style="33" customWidth="1"/>
    <col min="12534" max="12534" width="6.25" style="33" customWidth="1"/>
    <col min="12535" max="12535" width="6.4140625" style="33" customWidth="1"/>
    <col min="12536" max="12536" width="5.75" style="33" customWidth="1"/>
    <col min="12537" max="12537" width="6.25" style="33" customWidth="1"/>
    <col min="12538" max="12542" width="6.83203125" style="33" customWidth="1"/>
    <col min="12543" max="12543" width="6.58203125" style="33" customWidth="1"/>
    <col min="12544" max="12545" width="7.58203125" style="33" customWidth="1"/>
    <col min="12546" max="12767" width="9.1640625" style="33"/>
    <col min="12768" max="12768" width="3.4140625" style="33" customWidth="1"/>
    <col min="12769" max="12769" width="29.58203125" style="33" customWidth="1"/>
    <col min="12770" max="12770" width="8.1640625" style="33" customWidth="1"/>
    <col min="12771" max="12771" width="7.75" style="33" customWidth="1"/>
    <col min="12772" max="12772" width="5.83203125" style="33" customWidth="1"/>
    <col min="12773" max="12773" width="5.75" style="33" customWidth="1"/>
    <col min="12774" max="12774" width="5.58203125" style="33" customWidth="1"/>
    <col min="12775" max="12776" width="6.25" style="33" customWidth="1"/>
    <col min="12777" max="12777" width="7.25" style="33" customWidth="1"/>
    <col min="12778" max="12778" width="5.83203125" style="33" customWidth="1"/>
    <col min="12779" max="12779" width="6.25" style="33" customWidth="1"/>
    <col min="12780" max="12784" width="6.83203125" style="33" customWidth="1"/>
    <col min="12785" max="12785" width="7.1640625" style="33" customWidth="1"/>
    <col min="12786" max="12787" width="7.4140625" style="33" customWidth="1"/>
    <col min="12788" max="12788" width="7.1640625" style="33" customWidth="1"/>
    <col min="12789" max="12789" width="5.1640625" style="33" customWidth="1"/>
    <col min="12790" max="12790" width="6.25" style="33" customWidth="1"/>
    <col min="12791" max="12791" width="6.4140625" style="33" customWidth="1"/>
    <col min="12792" max="12792" width="5.75" style="33" customWidth="1"/>
    <col min="12793" max="12793" width="6.25" style="33" customWidth="1"/>
    <col min="12794" max="12798" width="6.83203125" style="33" customWidth="1"/>
    <col min="12799" max="12799" width="6.58203125" style="33" customWidth="1"/>
    <col min="12800" max="12801" width="7.58203125" style="33" customWidth="1"/>
    <col min="12802" max="13023" width="9.1640625" style="33"/>
    <col min="13024" max="13024" width="3.4140625" style="33" customWidth="1"/>
    <col min="13025" max="13025" width="29.58203125" style="33" customWidth="1"/>
    <col min="13026" max="13026" width="8.1640625" style="33" customWidth="1"/>
    <col min="13027" max="13027" width="7.75" style="33" customWidth="1"/>
    <col min="13028" max="13028" width="5.83203125" style="33" customWidth="1"/>
    <col min="13029" max="13029" width="5.75" style="33" customWidth="1"/>
    <col min="13030" max="13030" width="5.58203125" style="33" customWidth="1"/>
    <col min="13031" max="13032" width="6.25" style="33" customWidth="1"/>
    <col min="13033" max="13033" width="7.25" style="33" customWidth="1"/>
    <col min="13034" max="13034" width="5.83203125" style="33" customWidth="1"/>
    <col min="13035" max="13035" width="6.25" style="33" customWidth="1"/>
    <col min="13036" max="13040" width="6.83203125" style="33" customWidth="1"/>
    <col min="13041" max="13041" width="7.1640625" style="33" customWidth="1"/>
    <col min="13042" max="13043" width="7.4140625" style="33" customWidth="1"/>
    <col min="13044" max="13044" width="7.1640625" style="33" customWidth="1"/>
    <col min="13045" max="13045" width="5.1640625" style="33" customWidth="1"/>
    <col min="13046" max="13046" width="6.25" style="33" customWidth="1"/>
    <col min="13047" max="13047" width="6.4140625" style="33" customWidth="1"/>
    <col min="13048" max="13048" width="5.75" style="33" customWidth="1"/>
    <col min="13049" max="13049" width="6.25" style="33" customWidth="1"/>
    <col min="13050" max="13054" width="6.83203125" style="33" customWidth="1"/>
    <col min="13055" max="13055" width="6.58203125" style="33" customWidth="1"/>
    <col min="13056" max="13057" width="7.58203125" style="33" customWidth="1"/>
    <col min="13058" max="13279" width="9.1640625" style="33"/>
    <col min="13280" max="13280" width="3.4140625" style="33" customWidth="1"/>
    <col min="13281" max="13281" width="29.58203125" style="33" customWidth="1"/>
    <col min="13282" max="13282" width="8.1640625" style="33" customWidth="1"/>
    <col min="13283" max="13283" width="7.75" style="33" customWidth="1"/>
    <col min="13284" max="13284" width="5.83203125" style="33" customWidth="1"/>
    <col min="13285" max="13285" width="5.75" style="33" customWidth="1"/>
    <col min="13286" max="13286" width="5.58203125" style="33" customWidth="1"/>
    <col min="13287" max="13288" width="6.25" style="33" customWidth="1"/>
    <col min="13289" max="13289" width="7.25" style="33" customWidth="1"/>
    <col min="13290" max="13290" width="5.83203125" style="33" customWidth="1"/>
    <col min="13291" max="13291" width="6.25" style="33" customWidth="1"/>
    <col min="13292" max="13296" width="6.83203125" style="33" customWidth="1"/>
    <col min="13297" max="13297" width="7.1640625" style="33" customWidth="1"/>
    <col min="13298" max="13299" width="7.4140625" style="33" customWidth="1"/>
    <col min="13300" max="13300" width="7.1640625" style="33" customWidth="1"/>
    <col min="13301" max="13301" width="5.1640625" style="33" customWidth="1"/>
    <col min="13302" max="13302" width="6.25" style="33" customWidth="1"/>
    <col min="13303" max="13303" width="6.4140625" style="33" customWidth="1"/>
    <col min="13304" max="13304" width="5.75" style="33" customWidth="1"/>
    <col min="13305" max="13305" width="6.25" style="33" customWidth="1"/>
    <col min="13306" max="13310" width="6.83203125" style="33" customWidth="1"/>
    <col min="13311" max="13311" width="6.58203125" style="33" customWidth="1"/>
    <col min="13312" max="13313" width="7.58203125" style="33" customWidth="1"/>
    <col min="13314" max="13535" width="9.1640625" style="33"/>
    <col min="13536" max="13536" width="3.4140625" style="33" customWidth="1"/>
    <col min="13537" max="13537" width="29.58203125" style="33" customWidth="1"/>
    <col min="13538" max="13538" width="8.1640625" style="33" customWidth="1"/>
    <col min="13539" max="13539" width="7.75" style="33" customWidth="1"/>
    <col min="13540" max="13540" width="5.83203125" style="33" customWidth="1"/>
    <col min="13541" max="13541" width="5.75" style="33" customWidth="1"/>
    <col min="13542" max="13542" width="5.58203125" style="33" customWidth="1"/>
    <col min="13543" max="13544" width="6.25" style="33" customWidth="1"/>
    <col min="13545" max="13545" width="7.25" style="33" customWidth="1"/>
    <col min="13546" max="13546" width="5.83203125" style="33" customWidth="1"/>
    <col min="13547" max="13547" width="6.25" style="33" customWidth="1"/>
    <col min="13548" max="13552" width="6.83203125" style="33" customWidth="1"/>
    <col min="13553" max="13553" width="7.1640625" style="33" customWidth="1"/>
    <col min="13554" max="13555" width="7.4140625" style="33" customWidth="1"/>
    <col min="13556" max="13556" width="7.1640625" style="33" customWidth="1"/>
    <col min="13557" max="13557" width="5.1640625" style="33" customWidth="1"/>
    <col min="13558" max="13558" width="6.25" style="33" customWidth="1"/>
    <col min="13559" max="13559" width="6.4140625" style="33" customWidth="1"/>
    <col min="13560" max="13560" width="5.75" style="33" customWidth="1"/>
    <col min="13561" max="13561" width="6.25" style="33" customWidth="1"/>
    <col min="13562" max="13566" width="6.83203125" style="33" customWidth="1"/>
    <col min="13567" max="13567" width="6.58203125" style="33" customWidth="1"/>
    <col min="13568" max="13569" width="7.58203125" style="33" customWidth="1"/>
    <col min="13570" max="13791" width="9.1640625" style="33"/>
    <col min="13792" max="13792" width="3.4140625" style="33" customWidth="1"/>
    <col min="13793" max="13793" width="29.58203125" style="33" customWidth="1"/>
    <col min="13794" max="13794" width="8.1640625" style="33" customWidth="1"/>
    <col min="13795" max="13795" width="7.75" style="33" customWidth="1"/>
    <col min="13796" max="13796" width="5.83203125" style="33" customWidth="1"/>
    <col min="13797" max="13797" width="5.75" style="33" customWidth="1"/>
    <col min="13798" max="13798" width="5.58203125" style="33" customWidth="1"/>
    <col min="13799" max="13800" width="6.25" style="33" customWidth="1"/>
    <col min="13801" max="13801" width="7.25" style="33" customWidth="1"/>
    <col min="13802" max="13802" width="5.83203125" style="33" customWidth="1"/>
    <col min="13803" max="13803" width="6.25" style="33" customWidth="1"/>
    <col min="13804" max="13808" width="6.83203125" style="33" customWidth="1"/>
    <col min="13809" max="13809" width="7.1640625" style="33" customWidth="1"/>
    <col min="13810" max="13811" width="7.4140625" style="33" customWidth="1"/>
    <col min="13812" max="13812" width="7.1640625" style="33" customWidth="1"/>
    <col min="13813" max="13813" width="5.1640625" style="33" customWidth="1"/>
    <col min="13814" max="13814" width="6.25" style="33" customWidth="1"/>
    <col min="13815" max="13815" width="6.4140625" style="33" customWidth="1"/>
    <col min="13816" max="13816" width="5.75" style="33" customWidth="1"/>
    <col min="13817" max="13817" width="6.25" style="33" customWidth="1"/>
    <col min="13818" max="13822" width="6.83203125" style="33" customWidth="1"/>
    <col min="13823" max="13823" width="6.58203125" style="33" customWidth="1"/>
    <col min="13824" max="13825" width="7.58203125" style="33" customWidth="1"/>
    <col min="13826" max="14047" width="9.1640625" style="33"/>
    <col min="14048" max="14048" width="3.4140625" style="33" customWidth="1"/>
    <col min="14049" max="14049" width="29.58203125" style="33" customWidth="1"/>
    <col min="14050" max="14050" width="8.1640625" style="33" customWidth="1"/>
    <col min="14051" max="14051" width="7.75" style="33" customWidth="1"/>
    <col min="14052" max="14052" width="5.83203125" style="33" customWidth="1"/>
    <col min="14053" max="14053" width="5.75" style="33" customWidth="1"/>
    <col min="14054" max="14054" width="5.58203125" style="33" customWidth="1"/>
    <col min="14055" max="14056" width="6.25" style="33" customWidth="1"/>
    <col min="14057" max="14057" width="7.25" style="33" customWidth="1"/>
    <col min="14058" max="14058" width="5.83203125" style="33" customWidth="1"/>
    <col min="14059" max="14059" width="6.25" style="33" customWidth="1"/>
    <col min="14060" max="14064" width="6.83203125" style="33" customWidth="1"/>
    <col min="14065" max="14065" width="7.1640625" style="33" customWidth="1"/>
    <col min="14066" max="14067" width="7.4140625" style="33" customWidth="1"/>
    <col min="14068" max="14068" width="7.1640625" style="33" customWidth="1"/>
    <col min="14069" max="14069" width="5.1640625" style="33" customWidth="1"/>
    <col min="14070" max="14070" width="6.25" style="33" customWidth="1"/>
    <col min="14071" max="14071" width="6.4140625" style="33" customWidth="1"/>
    <col min="14072" max="14072" width="5.75" style="33" customWidth="1"/>
    <col min="14073" max="14073" width="6.25" style="33" customWidth="1"/>
    <col min="14074" max="14078" width="6.83203125" style="33" customWidth="1"/>
    <col min="14079" max="14079" width="6.58203125" style="33" customWidth="1"/>
    <col min="14080" max="14081" width="7.58203125" style="33" customWidth="1"/>
    <col min="14082" max="14303" width="9.1640625" style="33"/>
    <col min="14304" max="14304" width="3.4140625" style="33" customWidth="1"/>
    <col min="14305" max="14305" width="29.58203125" style="33" customWidth="1"/>
    <col min="14306" max="14306" width="8.1640625" style="33" customWidth="1"/>
    <col min="14307" max="14307" width="7.75" style="33" customWidth="1"/>
    <col min="14308" max="14308" width="5.83203125" style="33" customWidth="1"/>
    <col min="14309" max="14309" width="5.75" style="33" customWidth="1"/>
    <col min="14310" max="14310" width="5.58203125" style="33" customWidth="1"/>
    <col min="14311" max="14312" width="6.25" style="33" customWidth="1"/>
    <col min="14313" max="14313" width="7.25" style="33" customWidth="1"/>
    <col min="14314" max="14314" width="5.83203125" style="33" customWidth="1"/>
    <col min="14315" max="14315" width="6.25" style="33" customWidth="1"/>
    <col min="14316" max="14320" width="6.83203125" style="33" customWidth="1"/>
    <col min="14321" max="14321" width="7.1640625" style="33" customWidth="1"/>
    <col min="14322" max="14323" width="7.4140625" style="33" customWidth="1"/>
    <col min="14324" max="14324" width="7.1640625" style="33" customWidth="1"/>
    <col min="14325" max="14325" width="5.1640625" style="33" customWidth="1"/>
    <col min="14326" max="14326" width="6.25" style="33" customWidth="1"/>
    <col min="14327" max="14327" width="6.4140625" style="33" customWidth="1"/>
    <col min="14328" max="14328" width="5.75" style="33" customWidth="1"/>
    <col min="14329" max="14329" width="6.25" style="33" customWidth="1"/>
    <col min="14330" max="14334" width="6.83203125" style="33" customWidth="1"/>
    <col min="14335" max="14335" width="6.58203125" style="33" customWidth="1"/>
    <col min="14336" max="14337" width="7.58203125" style="33" customWidth="1"/>
    <col min="14338" max="14559" width="9.1640625" style="33"/>
    <col min="14560" max="14560" width="3.4140625" style="33" customWidth="1"/>
    <col min="14561" max="14561" width="29.58203125" style="33" customWidth="1"/>
    <col min="14562" max="14562" width="8.1640625" style="33" customWidth="1"/>
    <col min="14563" max="14563" width="7.75" style="33" customWidth="1"/>
    <col min="14564" max="14564" width="5.83203125" style="33" customWidth="1"/>
    <col min="14565" max="14565" width="5.75" style="33" customWidth="1"/>
    <col min="14566" max="14566" width="5.58203125" style="33" customWidth="1"/>
    <col min="14567" max="14568" width="6.25" style="33" customWidth="1"/>
    <col min="14569" max="14569" width="7.25" style="33" customWidth="1"/>
    <col min="14570" max="14570" width="5.83203125" style="33" customWidth="1"/>
    <col min="14571" max="14571" width="6.25" style="33" customWidth="1"/>
    <col min="14572" max="14576" width="6.83203125" style="33" customWidth="1"/>
    <col min="14577" max="14577" width="7.1640625" style="33" customWidth="1"/>
    <col min="14578" max="14579" width="7.4140625" style="33" customWidth="1"/>
    <col min="14580" max="14580" width="7.1640625" style="33" customWidth="1"/>
    <col min="14581" max="14581" width="5.1640625" style="33" customWidth="1"/>
    <col min="14582" max="14582" width="6.25" style="33" customWidth="1"/>
    <col min="14583" max="14583" width="6.4140625" style="33" customWidth="1"/>
    <col min="14584" max="14584" width="5.75" style="33" customWidth="1"/>
    <col min="14585" max="14585" width="6.25" style="33" customWidth="1"/>
    <col min="14586" max="14590" width="6.83203125" style="33" customWidth="1"/>
    <col min="14591" max="14591" width="6.58203125" style="33" customWidth="1"/>
    <col min="14592" max="14593" width="7.58203125" style="33" customWidth="1"/>
    <col min="14594" max="14815" width="9.1640625" style="33"/>
    <col min="14816" max="14816" width="3.4140625" style="33" customWidth="1"/>
    <col min="14817" max="14817" width="29.58203125" style="33" customWidth="1"/>
    <col min="14818" max="14818" width="8.1640625" style="33" customWidth="1"/>
    <col min="14819" max="14819" width="7.75" style="33" customWidth="1"/>
    <col min="14820" max="14820" width="5.83203125" style="33" customWidth="1"/>
    <col min="14821" max="14821" width="5.75" style="33" customWidth="1"/>
    <col min="14822" max="14822" width="5.58203125" style="33" customWidth="1"/>
    <col min="14823" max="14824" width="6.25" style="33" customWidth="1"/>
    <col min="14825" max="14825" width="7.25" style="33" customWidth="1"/>
    <col min="14826" max="14826" width="5.83203125" style="33" customWidth="1"/>
    <col min="14827" max="14827" width="6.25" style="33" customWidth="1"/>
    <col min="14828" max="14832" width="6.83203125" style="33" customWidth="1"/>
    <col min="14833" max="14833" width="7.1640625" style="33" customWidth="1"/>
    <col min="14834" max="14835" width="7.4140625" style="33" customWidth="1"/>
    <col min="14836" max="14836" width="7.1640625" style="33" customWidth="1"/>
    <col min="14837" max="14837" width="5.1640625" style="33" customWidth="1"/>
    <col min="14838" max="14838" width="6.25" style="33" customWidth="1"/>
    <col min="14839" max="14839" width="6.4140625" style="33" customWidth="1"/>
    <col min="14840" max="14840" width="5.75" style="33" customWidth="1"/>
    <col min="14841" max="14841" width="6.25" style="33" customWidth="1"/>
    <col min="14842" max="14846" width="6.83203125" style="33" customWidth="1"/>
    <col min="14847" max="14847" width="6.58203125" style="33" customWidth="1"/>
    <col min="14848" max="14849" width="7.58203125" style="33" customWidth="1"/>
    <col min="14850" max="15071" width="9.1640625" style="33"/>
    <col min="15072" max="15072" width="3.4140625" style="33" customWidth="1"/>
    <col min="15073" max="15073" width="29.58203125" style="33" customWidth="1"/>
    <col min="15074" max="15074" width="8.1640625" style="33" customWidth="1"/>
    <col min="15075" max="15075" width="7.75" style="33" customWidth="1"/>
    <col min="15076" max="15076" width="5.83203125" style="33" customWidth="1"/>
    <col min="15077" max="15077" width="5.75" style="33" customWidth="1"/>
    <col min="15078" max="15078" width="5.58203125" style="33" customWidth="1"/>
    <col min="15079" max="15080" width="6.25" style="33" customWidth="1"/>
    <col min="15081" max="15081" width="7.25" style="33" customWidth="1"/>
    <col min="15082" max="15082" width="5.83203125" style="33" customWidth="1"/>
    <col min="15083" max="15083" width="6.25" style="33" customWidth="1"/>
    <col min="15084" max="15088" width="6.83203125" style="33" customWidth="1"/>
    <col min="15089" max="15089" width="7.1640625" style="33" customWidth="1"/>
    <col min="15090" max="15091" width="7.4140625" style="33" customWidth="1"/>
    <col min="15092" max="15092" width="7.1640625" style="33" customWidth="1"/>
    <col min="15093" max="15093" width="5.1640625" style="33" customWidth="1"/>
    <col min="15094" max="15094" width="6.25" style="33" customWidth="1"/>
    <col min="15095" max="15095" width="6.4140625" style="33" customWidth="1"/>
    <col min="15096" max="15096" width="5.75" style="33" customWidth="1"/>
    <col min="15097" max="15097" width="6.25" style="33" customWidth="1"/>
    <col min="15098" max="15102" width="6.83203125" style="33" customWidth="1"/>
    <col min="15103" max="15103" width="6.58203125" style="33" customWidth="1"/>
    <col min="15104" max="15105" width="7.58203125" style="33" customWidth="1"/>
    <col min="15106" max="15327" width="9.1640625" style="33"/>
    <col min="15328" max="15328" width="3.4140625" style="33" customWidth="1"/>
    <col min="15329" max="15329" width="29.58203125" style="33" customWidth="1"/>
    <col min="15330" max="15330" width="8.1640625" style="33" customWidth="1"/>
    <col min="15331" max="15331" width="7.75" style="33" customWidth="1"/>
    <col min="15332" max="15332" width="5.83203125" style="33" customWidth="1"/>
    <col min="15333" max="15333" width="5.75" style="33" customWidth="1"/>
    <col min="15334" max="15334" width="5.58203125" style="33" customWidth="1"/>
    <col min="15335" max="15336" width="6.25" style="33" customWidth="1"/>
    <col min="15337" max="15337" width="7.25" style="33" customWidth="1"/>
    <col min="15338" max="15338" width="5.83203125" style="33" customWidth="1"/>
    <col min="15339" max="15339" width="6.25" style="33" customWidth="1"/>
    <col min="15340" max="15344" width="6.83203125" style="33" customWidth="1"/>
    <col min="15345" max="15345" width="7.1640625" style="33" customWidth="1"/>
    <col min="15346" max="15347" width="7.4140625" style="33" customWidth="1"/>
    <col min="15348" max="15348" width="7.1640625" style="33" customWidth="1"/>
    <col min="15349" max="15349" width="5.1640625" style="33" customWidth="1"/>
    <col min="15350" max="15350" width="6.25" style="33" customWidth="1"/>
    <col min="15351" max="15351" width="6.4140625" style="33" customWidth="1"/>
    <col min="15352" max="15352" width="5.75" style="33" customWidth="1"/>
    <col min="15353" max="15353" width="6.25" style="33" customWidth="1"/>
    <col min="15354" max="15358" width="6.83203125" style="33" customWidth="1"/>
    <col min="15359" max="15359" width="6.58203125" style="33" customWidth="1"/>
    <col min="15360" max="15361" width="7.58203125" style="33" customWidth="1"/>
    <col min="15362" max="15583" width="9.1640625" style="33"/>
    <col min="15584" max="15584" width="3.4140625" style="33" customWidth="1"/>
    <col min="15585" max="15585" width="29.58203125" style="33" customWidth="1"/>
    <col min="15586" max="15586" width="8.1640625" style="33" customWidth="1"/>
    <col min="15587" max="15587" width="7.75" style="33" customWidth="1"/>
    <col min="15588" max="15588" width="5.83203125" style="33" customWidth="1"/>
    <col min="15589" max="15589" width="5.75" style="33" customWidth="1"/>
    <col min="15590" max="15590" width="5.58203125" style="33" customWidth="1"/>
    <col min="15591" max="15592" width="6.25" style="33" customWidth="1"/>
    <col min="15593" max="15593" width="7.25" style="33" customWidth="1"/>
    <col min="15594" max="15594" width="5.83203125" style="33" customWidth="1"/>
    <col min="15595" max="15595" width="6.25" style="33" customWidth="1"/>
    <col min="15596" max="15600" width="6.83203125" style="33" customWidth="1"/>
    <col min="15601" max="15601" width="7.1640625" style="33" customWidth="1"/>
    <col min="15602" max="15603" width="7.4140625" style="33" customWidth="1"/>
    <col min="15604" max="15604" width="7.1640625" style="33" customWidth="1"/>
    <col min="15605" max="15605" width="5.1640625" style="33" customWidth="1"/>
    <col min="15606" max="15606" width="6.25" style="33" customWidth="1"/>
    <col min="15607" max="15607" width="6.4140625" style="33" customWidth="1"/>
    <col min="15608" max="15608" width="5.75" style="33" customWidth="1"/>
    <col min="15609" max="15609" width="6.25" style="33" customWidth="1"/>
    <col min="15610" max="15614" width="6.83203125" style="33" customWidth="1"/>
    <col min="15615" max="15615" width="6.58203125" style="33" customWidth="1"/>
    <col min="15616" max="15617" width="7.58203125" style="33" customWidth="1"/>
    <col min="15618" max="15839" width="9.1640625" style="33"/>
    <col min="15840" max="15840" width="3.4140625" style="33" customWidth="1"/>
    <col min="15841" max="15841" width="29.58203125" style="33" customWidth="1"/>
    <col min="15842" max="15842" width="8.1640625" style="33" customWidth="1"/>
    <col min="15843" max="15843" width="7.75" style="33" customWidth="1"/>
    <col min="15844" max="15844" width="5.83203125" style="33" customWidth="1"/>
    <col min="15845" max="15845" width="5.75" style="33" customWidth="1"/>
    <col min="15846" max="15846" width="5.58203125" style="33" customWidth="1"/>
    <col min="15847" max="15848" width="6.25" style="33" customWidth="1"/>
    <col min="15849" max="15849" width="7.25" style="33" customWidth="1"/>
    <col min="15850" max="15850" width="5.83203125" style="33" customWidth="1"/>
    <col min="15851" max="15851" width="6.25" style="33" customWidth="1"/>
    <col min="15852" max="15856" width="6.83203125" style="33" customWidth="1"/>
    <col min="15857" max="15857" width="7.1640625" style="33" customWidth="1"/>
    <col min="15858" max="15859" width="7.4140625" style="33" customWidth="1"/>
    <col min="15860" max="15860" width="7.1640625" style="33" customWidth="1"/>
    <col min="15861" max="15861" width="5.1640625" style="33" customWidth="1"/>
    <col min="15862" max="15862" width="6.25" style="33" customWidth="1"/>
    <col min="15863" max="15863" width="6.4140625" style="33" customWidth="1"/>
    <col min="15864" max="15864" width="5.75" style="33" customWidth="1"/>
    <col min="15865" max="15865" width="6.25" style="33" customWidth="1"/>
    <col min="15866" max="15870" width="6.83203125" style="33" customWidth="1"/>
    <col min="15871" max="15871" width="6.58203125" style="33" customWidth="1"/>
    <col min="15872" max="15873" width="7.58203125" style="33" customWidth="1"/>
    <col min="15874" max="16095" width="9.1640625" style="33"/>
    <col min="16096" max="16096" width="3.4140625" style="33" customWidth="1"/>
    <col min="16097" max="16097" width="29.58203125" style="33" customWidth="1"/>
    <col min="16098" max="16098" width="8.1640625" style="33" customWidth="1"/>
    <col min="16099" max="16099" width="7.75" style="33" customWidth="1"/>
    <col min="16100" max="16100" width="5.83203125" style="33" customWidth="1"/>
    <col min="16101" max="16101" width="5.75" style="33" customWidth="1"/>
    <col min="16102" max="16102" width="5.58203125" style="33" customWidth="1"/>
    <col min="16103" max="16104" width="6.25" style="33" customWidth="1"/>
    <col min="16105" max="16105" width="7.25" style="33" customWidth="1"/>
    <col min="16106" max="16106" width="5.83203125" style="33" customWidth="1"/>
    <col min="16107" max="16107" width="6.25" style="33" customWidth="1"/>
    <col min="16108" max="16112" width="6.83203125" style="33" customWidth="1"/>
    <col min="16113" max="16113" width="7.1640625" style="33" customWidth="1"/>
    <col min="16114" max="16115" width="7.4140625" style="33" customWidth="1"/>
    <col min="16116" max="16116" width="7.1640625" style="33" customWidth="1"/>
    <col min="16117" max="16117" width="5.1640625" style="33" customWidth="1"/>
    <col min="16118" max="16118" width="6.25" style="33" customWidth="1"/>
    <col min="16119" max="16119" width="6.4140625" style="33" customWidth="1"/>
    <col min="16120" max="16120" width="5.75" style="33" customWidth="1"/>
    <col min="16121" max="16121" width="6.25" style="33" customWidth="1"/>
    <col min="16122" max="16126" width="6.83203125" style="33" customWidth="1"/>
    <col min="16127" max="16127" width="6.58203125" style="33" customWidth="1"/>
    <col min="16128" max="16129" width="7.58203125" style="33" customWidth="1"/>
    <col min="16130" max="16384" width="9.1640625" style="33"/>
  </cols>
  <sheetData>
    <row r="1" spans="1:21" ht="13.5">
      <c r="O1" s="319" t="s">
        <v>90</v>
      </c>
      <c r="P1" s="319"/>
    </row>
    <row r="2" spans="1:21" ht="36.75" customHeight="1">
      <c r="A2" s="308" t="s">
        <v>144</v>
      </c>
      <c r="B2" s="308"/>
      <c r="C2" s="308"/>
      <c r="D2" s="308"/>
      <c r="E2" s="308"/>
      <c r="F2" s="308"/>
      <c r="G2" s="308"/>
      <c r="H2" s="308"/>
      <c r="I2" s="308"/>
      <c r="J2" s="308"/>
      <c r="K2" s="308"/>
      <c r="L2" s="308"/>
      <c r="M2" s="308"/>
      <c r="N2" s="308"/>
      <c r="O2" s="308"/>
      <c r="P2" s="308"/>
    </row>
    <row r="3" spans="1:21" ht="15.5">
      <c r="A3" s="309" t="str">
        <f>'TỔNG HỢP'!A3:D3</f>
        <v>(Kèm theo Tờ trình số 190/TTr-UBND ngày 08/11/2024 của UBND huyện Na Rì)</v>
      </c>
      <c r="B3" s="309"/>
      <c r="C3" s="309"/>
      <c r="D3" s="309"/>
      <c r="E3" s="309"/>
      <c r="F3" s="309"/>
      <c r="G3" s="309"/>
      <c r="H3" s="309"/>
      <c r="I3" s="309"/>
      <c r="J3" s="309"/>
      <c r="K3" s="309"/>
      <c r="L3" s="309"/>
      <c r="M3" s="309"/>
      <c r="N3" s="309"/>
      <c r="O3" s="309"/>
      <c r="P3" s="309"/>
    </row>
    <row r="4" spans="1:21">
      <c r="N4" s="310" t="s">
        <v>46</v>
      </c>
      <c r="O4" s="310"/>
      <c r="P4" s="310"/>
    </row>
    <row r="5" spans="1:21" ht="22.5" customHeight="1">
      <c r="A5" s="311" t="s">
        <v>21</v>
      </c>
      <c r="B5" s="311" t="s">
        <v>19</v>
      </c>
      <c r="C5" s="317" t="s">
        <v>48</v>
      </c>
      <c r="D5" s="312" t="s">
        <v>22</v>
      </c>
      <c r="E5" s="312"/>
      <c r="F5" s="312"/>
      <c r="G5" s="312"/>
      <c r="H5" s="312"/>
      <c r="I5" s="312"/>
      <c r="J5" s="312"/>
      <c r="K5" s="312"/>
      <c r="L5" s="312"/>
      <c r="M5" s="312"/>
      <c r="N5" s="313" t="s">
        <v>23</v>
      </c>
      <c r="O5" s="315" t="s">
        <v>47</v>
      </c>
      <c r="P5" s="316" t="s">
        <v>145</v>
      </c>
    </row>
    <row r="6" spans="1:21" ht="87.75" customHeight="1">
      <c r="A6" s="311"/>
      <c r="B6" s="311"/>
      <c r="C6" s="318"/>
      <c r="D6" s="31" t="s">
        <v>51</v>
      </c>
      <c r="E6" s="31" t="s">
        <v>49</v>
      </c>
      <c r="F6" s="31" t="s">
        <v>50</v>
      </c>
      <c r="G6" s="31" t="s">
        <v>54</v>
      </c>
      <c r="H6" s="31" t="s">
        <v>55</v>
      </c>
      <c r="I6" s="31" t="s">
        <v>26</v>
      </c>
      <c r="J6" s="31" t="s">
        <v>27</v>
      </c>
      <c r="K6" s="31" t="s">
        <v>56</v>
      </c>
      <c r="L6" s="31" t="s">
        <v>149</v>
      </c>
      <c r="M6" s="30" t="s">
        <v>150</v>
      </c>
      <c r="N6" s="314"/>
      <c r="O6" s="315"/>
      <c r="P6" s="316"/>
    </row>
    <row r="7" spans="1:21" s="37" customFormat="1" ht="17.25" customHeight="1">
      <c r="A7" s="277">
        <v>1</v>
      </c>
      <c r="B7" s="277">
        <v>2</v>
      </c>
      <c r="C7" s="277" t="s">
        <v>52</v>
      </c>
      <c r="D7" s="278">
        <v>4</v>
      </c>
      <c r="E7" s="278">
        <v>5</v>
      </c>
      <c r="F7" s="278">
        <v>6</v>
      </c>
      <c r="G7" s="278">
        <v>7</v>
      </c>
      <c r="H7" s="278">
        <v>8</v>
      </c>
      <c r="I7" s="278">
        <v>9</v>
      </c>
      <c r="J7" s="278">
        <v>10</v>
      </c>
      <c r="K7" s="278">
        <v>11</v>
      </c>
      <c r="L7" s="278">
        <v>12</v>
      </c>
      <c r="M7" s="278">
        <v>13</v>
      </c>
      <c r="N7" s="278">
        <v>14</v>
      </c>
      <c r="O7" s="278" t="s">
        <v>53</v>
      </c>
      <c r="P7" s="278">
        <v>16</v>
      </c>
    </row>
    <row r="8" spans="1:21" ht="20.149999999999999" customHeight="1">
      <c r="A8" s="29"/>
      <c r="B8" s="29" t="s">
        <v>7</v>
      </c>
      <c r="C8" s="65">
        <f t="shared" ref="C8:P8" si="0">SUM(C9:C25)</f>
        <v>8926652</v>
      </c>
      <c r="D8" s="65">
        <f t="shared" si="0"/>
        <v>6828558</v>
      </c>
      <c r="E8" s="65">
        <f t="shared" si="0"/>
        <v>284942</v>
      </c>
      <c r="F8" s="65">
        <f t="shared" si="0"/>
        <v>187380</v>
      </c>
      <c r="G8" s="65">
        <f t="shared" si="0"/>
        <v>103097</v>
      </c>
      <c r="H8" s="65">
        <f t="shared" si="0"/>
        <v>9914</v>
      </c>
      <c r="I8" s="65">
        <f t="shared" si="0"/>
        <v>198421</v>
      </c>
      <c r="J8" s="65">
        <f t="shared" si="0"/>
        <v>48600</v>
      </c>
      <c r="K8" s="65">
        <f t="shared" si="0"/>
        <v>36000</v>
      </c>
      <c r="L8" s="65">
        <f t="shared" si="0"/>
        <v>553208</v>
      </c>
      <c r="M8" s="65">
        <f>SUM(M9:M25)</f>
        <v>676532</v>
      </c>
      <c r="N8" s="65">
        <f t="shared" si="0"/>
        <v>786398.57900000003</v>
      </c>
      <c r="O8" s="65">
        <f t="shared" si="0"/>
        <v>8140253.4210000001</v>
      </c>
      <c r="P8" s="65">
        <f t="shared" si="0"/>
        <v>3256095</v>
      </c>
      <c r="U8" s="74"/>
    </row>
    <row r="9" spans="1:21" s="38" customFormat="1" ht="20.149999999999999" customHeight="1">
      <c r="A9" s="23">
        <v>1</v>
      </c>
      <c r="B9" s="46" t="s">
        <v>29</v>
      </c>
      <c r="C9" s="66">
        <f>SUM(D9:M9)</f>
        <v>451703</v>
      </c>
      <c r="D9" s="67">
        <v>323652</v>
      </c>
      <c r="E9" s="67">
        <f>18468+1312</f>
        <v>19780</v>
      </c>
      <c r="F9" s="67">
        <v>12636</v>
      </c>
      <c r="G9" s="67">
        <f>4082+9331</f>
        <v>13413</v>
      </c>
      <c r="H9" s="67">
        <v>1749</v>
      </c>
      <c r="I9" s="67">
        <v>22169</v>
      </c>
      <c r="J9" s="67">
        <v>9720</v>
      </c>
      <c r="K9" s="67"/>
      <c r="L9" s="67"/>
      <c r="M9" s="67">
        <f>37309+11275</f>
        <v>48584</v>
      </c>
      <c r="N9" s="68">
        <v>27140</v>
      </c>
      <c r="O9" s="68">
        <f t="shared" ref="O9:O25" si="1">C9-N9</f>
        <v>424563</v>
      </c>
      <c r="P9" s="68">
        <f>ROUNDDOWN(O9*0.4,0)</f>
        <v>169825</v>
      </c>
      <c r="R9" s="42">
        <v>0.708588</v>
      </c>
      <c r="S9" s="43">
        <v>12.635999999999999</v>
      </c>
    </row>
    <row r="10" spans="1:21" s="38" customFormat="1" ht="20.149999999999999" customHeight="1">
      <c r="A10" s="24">
        <v>2</v>
      </c>
      <c r="B10" s="32" t="s">
        <v>30</v>
      </c>
      <c r="C10" s="69">
        <f t="shared" ref="C10:C25" si="2">SUM(D10:M10)</f>
        <v>541414</v>
      </c>
      <c r="D10" s="70">
        <v>414055</v>
      </c>
      <c r="E10" s="70">
        <f>17496+1312</f>
        <v>18808</v>
      </c>
      <c r="F10" s="70">
        <v>13608</v>
      </c>
      <c r="G10" s="70">
        <v>4536</v>
      </c>
      <c r="H10" s="70"/>
      <c r="I10" s="70">
        <v>6292</v>
      </c>
      <c r="J10" s="70"/>
      <c r="K10" s="70"/>
      <c r="L10" s="70">
        <v>48411</v>
      </c>
      <c r="M10" s="70">
        <f>28188+7516</f>
        <v>35704</v>
      </c>
      <c r="N10" s="60">
        <v>188900</v>
      </c>
      <c r="O10" s="60">
        <f t="shared" si="1"/>
        <v>352514</v>
      </c>
      <c r="P10" s="60">
        <f t="shared" ref="P10:P25" si="3">ROUNDDOWN(O10*0.4,0)</f>
        <v>141005</v>
      </c>
      <c r="R10" s="42">
        <v>0.708588</v>
      </c>
      <c r="S10" s="43">
        <v>13.608000000000001</v>
      </c>
    </row>
    <row r="11" spans="1:21" s="38" customFormat="1" ht="20.149999999999999" customHeight="1">
      <c r="A11" s="24">
        <v>3</v>
      </c>
      <c r="B11" s="32" t="s">
        <v>31</v>
      </c>
      <c r="C11" s="69">
        <f t="shared" si="2"/>
        <v>474812</v>
      </c>
      <c r="D11" s="70">
        <v>369914</v>
      </c>
      <c r="E11" s="70">
        <f>16524+1458</f>
        <v>17982</v>
      </c>
      <c r="F11" s="70">
        <v>9720</v>
      </c>
      <c r="G11" s="70">
        <f>3629+8554</f>
        <v>12183</v>
      </c>
      <c r="H11" s="70">
        <v>146</v>
      </c>
      <c r="I11" s="70">
        <v>7390</v>
      </c>
      <c r="J11" s="70">
        <v>4860</v>
      </c>
      <c r="K11" s="70"/>
      <c r="L11" s="70"/>
      <c r="M11" s="70">
        <f>26309+26308</f>
        <v>52617</v>
      </c>
      <c r="N11" s="60">
        <v>15382</v>
      </c>
      <c r="O11" s="60">
        <f t="shared" si="1"/>
        <v>459430</v>
      </c>
      <c r="P11" s="60">
        <f t="shared" si="3"/>
        <v>183772</v>
      </c>
      <c r="R11" s="42">
        <v>0.78732000000000002</v>
      </c>
      <c r="S11" s="43">
        <v>9.7200000000000006</v>
      </c>
    </row>
    <row r="12" spans="1:21" s="38" customFormat="1" ht="20.149999999999999" customHeight="1">
      <c r="A12" s="24">
        <v>4</v>
      </c>
      <c r="B12" s="32" t="s">
        <v>32</v>
      </c>
      <c r="C12" s="69">
        <f t="shared" si="2"/>
        <v>527540</v>
      </c>
      <c r="D12" s="70">
        <v>352409</v>
      </c>
      <c r="E12" s="70">
        <f>15552+1021</f>
        <v>16573</v>
      </c>
      <c r="F12" s="70">
        <v>10692</v>
      </c>
      <c r="G12" s="70">
        <v>3629</v>
      </c>
      <c r="H12" s="70"/>
      <c r="I12" s="70">
        <v>7390</v>
      </c>
      <c r="J12" s="70"/>
      <c r="K12" s="70"/>
      <c r="L12" s="70">
        <v>72954</v>
      </c>
      <c r="M12" s="70">
        <f>26309+37584</f>
        <v>63893</v>
      </c>
      <c r="N12" s="60">
        <v>7600</v>
      </c>
      <c r="O12" s="60">
        <f t="shared" si="1"/>
        <v>519940</v>
      </c>
      <c r="P12" s="60">
        <f t="shared" si="3"/>
        <v>207976</v>
      </c>
      <c r="R12" s="42">
        <v>0.55112400000000006</v>
      </c>
      <c r="S12" s="43">
        <v>10.692</v>
      </c>
    </row>
    <row r="13" spans="1:21" s="38" customFormat="1" ht="20.149999999999999" customHeight="1">
      <c r="A13" s="24">
        <v>5</v>
      </c>
      <c r="B13" s="32" t="s">
        <v>33</v>
      </c>
      <c r="C13" s="69">
        <f t="shared" si="2"/>
        <v>434952</v>
      </c>
      <c r="D13" s="70">
        <v>360429</v>
      </c>
      <c r="E13" s="70">
        <f>13608+1166</f>
        <v>14774</v>
      </c>
      <c r="F13" s="70">
        <v>10692</v>
      </c>
      <c r="G13" s="70">
        <f>3629+8554</f>
        <v>12183</v>
      </c>
      <c r="H13" s="70">
        <v>4374</v>
      </c>
      <c r="I13" s="70">
        <v>7390</v>
      </c>
      <c r="J13" s="70">
        <v>4860</v>
      </c>
      <c r="K13" s="70"/>
      <c r="L13" s="70"/>
      <c r="M13" s="70">
        <v>20250</v>
      </c>
      <c r="N13" s="75">
        <v>28185</v>
      </c>
      <c r="O13" s="60">
        <f t="shared" si="1"/>
        <v>406767</v>
      </c>
      <c r="P13" s="60">
        <f t="shared" si="3"/>
        <v>162706</v>
      </c>
      <c r="R13" s="42">
        <v>0.62985600000000008</v>
      </c>
      <c r="S13" s="43">
        <v>10.692</v>
      </c>
    </row>
    <row r="14" spans="1:21" s="38" customFormat="1" ht="20.149999999999999" customHeight="1">
      <c r="A14" s="24">
        <v>6</v>
      </c>
      <c r="B14" s="32" t="s">
        <v>34</v>
      </c>
      <c r="C14" s="69">
        <f t="shared" si="2"/>
        <v>481006</v>
      </c>
      <c r="D14" s="70">
        <v>404817</v>
      </c>
      <c r="E14" s="70">
        <f>14580+1166</f>
        <v>15746</v>
      </c>
      <c r="F14" s="70">
        <v>9720</v>
      </c>
      <c r="G14" s="70">
        <v>4536</v>
      </c>
      <c r="H14" s="70"/>
      <c r="I14" s="70"/>
      <c r="J14" s="70"/>
      <c r="K14" s="70">
        <v>18000</v>
      </c>
      <c r="L14" s="70"/>
      <c r="M14" s="70">
        <f>24429+3758</f>
        <v>28187</v>
      </c>
      <c r="N14" s="75">
        <v>39957</v>
      </c>
      <c r="O14" s="60">
        <f t="shared" si="1"/>
        <v>441049</v>
      </c>
      <c r="P14" s="60">
        <f t="shared" si="3"/>
        <v>176419</v>
      </c>
      <c r="R14" s="42">
        <v>0.62985600000000008</v>
      </c>
      <c r="S14" s="43">
        <v>9.7200000000000006</v>
      </c>
    </row>
    <row r="15" spans="1:21" s="38" customFormat="1" ht="20.149999999999999" customHeight="1">
      <c r="A15" s="24">
        <v>7</v>
      </c>
      <c r="B15" s="32" t="s">
        <v>35</v>
      </c>
      <c r="C15" s="69">
        <f t="shared" si="2"/>
        <v>456605</v>
      </c>
      <c r="D15" s="70">
        <v>341453</v>
      </c>
      <c r="E15" s="70">
        <f>15552+1750</f>
        <v>17302</v>
      </c>
      <c r="F15" s="70">
        <v>10692</v>
      </c>
      <c r="G15" s="70">
        <f>3629+8165</f>
        <v>11794</v>
      </c>
      <c r="H15" s="70">
        <v>3645</v>
      </c>
      <c r="I15" s="70">
        <v>11633</v>
      </c>
      <c r="J15" s="70">
        <v>4860</v>
      </c>
      <c r="K15" s="70"/>
      <c r="L15" s="70"/>
      <c r="M15" s="70">
        <f>25159+30067</f>
        <v>55226</v>
      </c>
      <c r="N15" s="75">
        <v>19375</v>
      </c>
      <c r="O15" s="60">
        <f t="shared" si="1"/>
        <v>437230</v>
      </c>
      <c r="P15" s="60">
        <f t="shared" si="3"/>
        <v>174892</v>
      </c>
      <c r="R15" s="42">
        <v>0.94478400000000007</v>
      </c>
      <c r="S15" s="43">
        <v>10.692</v>
      </c>
    </row>
    <row r="16" spans="1:21" s="38" customFormat="1" ht="20.149999999999999" customHeight="1">
      <c r="A16" s="24">
        <v>8</v>
      </c>
      <c r="B16" s="32" t="s">
        <v>36</v>
      </c>
      <c r="C16" s="69">
        <f t="shared" si="2"/>
        <v>713432</v>
      </c>
      <c r="D16" s="70">
        <v>452494</v>
      </c>
      <c r="E16" s="70">
        <f>17496+1458</f>
        <v>18954</v>
      </c>
      <c r="F16" s="70">
        <v>11664</v>
      </c>
      <c r="G16" s="70">
        <v>4536</v>
      </c>
      <c r="H16" s="70"/>
      <c r="I16" s="70">
        <v>22168</v>
      </c>
      <c r="J16" s="70"/>
      <c r="K16" s="70"/>
      <c r="L16" s="70">
        <f>99441+64712</f>
        <v>164153</v>
      </c>
      <c r="M16" s="70">
        <f>35705+3758</f>
        <v>39463</v>
      </c>
      <c r="N16" s="75">
        <v>15820.013000000001</v>
      </c>
      <c r="O16" s="60">
        <f t="shared" si="1"/>
        <v>697611.98699999996</v>
      </c>
      <c r="P16" s="60">
        <f t="shared" si="3"/>
        <v>279044</v>
      </c>
      <c r="R16" s="42">
        <v>0.78732000000000002</v>
      </c>
      <c r="S16" s="43">
        <v>11.664</v>
      </c>
    </row>
    <row r="17" spans="1:19" s="38" customFormat="1" ht="20.149999999999999" customHeight="1">
      <c r="A17" s="24">
        <v>9</v>
      </c>
      <c r="B17" s="32" t="s">
        <v>37</v>
      </c>
      <c r="C17" s="69">
        <f t="shared" si="2"/>
        <v>499184</v>
      </c>
      <c r="D17" s="70">
        <v>428690</v>
      </c>
      <c r="E17" s="70">
        <f>13608+1021</f>
        <v>14629</v>
      </c>
      <c r="F17" s="70">
        <v>10692</v>
      </c>
      <c r="G17" s="70">
        <v>4082</v>
      </c>
      <c r="H17" s="70"/>
      <c r="I17" s="70">
        <v>13681</v>
      </c>
      <c r="J17" s="70">
        <v>4860</v>
      </c>
      <c r="K17" s="70"/>
      <c r="L17" s="70"/>
      <c r="M17" s="70">
        <f>11275+11275</f>
        <v>22550</v>
      </c>
      <c r="N17" s="75">
        <v>34923</v>
      </c>
      <c r="O17" s="60">
        <f t="shared" si="1"/>
        <v>464261</v>
      </c>
      <c r="P17" s="60">
        <f t="shared" si="3"/>
        <v>185704</v>
      </c>
      <c r="R17" s="42">
        <v>0.55112400000000006</v>
      </c>
      <c r="S17" s="43">
        <v>10.692</v>
      </c>
    </row>
    <row r="18" spans="1:19" s="38" customFormat="1" ht="20.149999999999999" customHeight="1">
      <c r="A18" s="24">
        <v>10</v>
      </c>
      <c r="B18" s="32" t="s">
        <v>38</v>
      </c>
      <c r="C18" s="69">
        <f t="shared" si="2"/>
        <v>553119</v>
      </c>
      <c r="D18" s="70">
        <v>410951</v>
      </c>
      <c r="E18" s="70">
        <f>10692+875</f>
        <v>11567</v>
      </c>
      <c r="F18" s="70">
        <v>7776</v>
      </c>
      <c r="G18" s="70">
        <v>4082</v>
      </c>
      <c r="H18" s="70"/>
      <c r="I18" s="70">
        <v>13681</v>
      </c>
      <c r="J18" s="70">
        <v>4860</v>
      </c>
      <c r="K18" s="70"/>
      <c r="L18" s="70">
        <v>87048</v>
      </c>
      <c r="M18" s="70">
        <f>9396+3758</f>
        <v>13154</v>
      </c>
      <c r="N18" s="144">
        <v>114084</v>
      </c>
      <c r="O18" s="60">
        <f t="shared" si="1"/>
        <v>439035</v>
      </c>
      <c r="P18" s="60">
        <f t="shared" si="3"/>
        <v>175614</v>
      </c>
      <c r="R18" s="42">
        <v>0.47239200000000003</v>
      </c>
      <c r="S18" s="43">
        <v>7.7759999999999998</v>
      </c>
    </row>
    <row r="19" spans="1:19" s="38" customFormat="1" ht="20.149999999999999" customHeight="1">
      <c r="A19" s="24">
        <v>11</v>
      </c>
      <c r="B19" s="32" t="s">
        <v>39</v>
      </c>
      <c r="C19" s="69">
        <f t="shared" si="2"/>
        <v>464561</v>
      </c>
      <c r="D19" s="70">
        <v>398975</v>
      </c>
      <c r="E19" s="70">
        <f>13608+1021</f>
        <v>14629</v>
      </c>
      <c r="F19" s="70">
        <v>10692</v>
      </c>
      <c r="G19" s="70">
        <v>4082</v>
      </c>
      <c r="H19" s="70"/>
      <c r="I19" s="70">
        <v>4243</v>
      </c>
      <c r="J19" s="70"/>
      <c r="K19" s="70"/>
      <c r="L19" s="70"/>
      <c r="M19" s="70">
        <v>31940</v>
      </c>
      <c r="N19" s="75">
        <v>0</v>
      </c>
      <c r="O19" s="60">
        <f t="shared" si="1"/>
        <v>464561</v>
      </c>
      <c r="P19" s="60">
        <f t="shared" si="3"/>
        <v>185824</v>
      </c>
      <c r="R19" s="42">
        <v>0.55112400000000006</v>
      </c>
      <c r="S19" s="43">
        <v>10.692</v>
      </c>
    </row>
    <row r="20" spans="1:19" s="39" customFormat="1" ht="20.149999999999999" customHeight="1">
      <c r="A20" s="24">
        <v>12</v>
      </c>
      <c r="B20" s="32" t="s">
        <v>40</v>
      </c>
      <c r="C20" s="69">
        <f t="shared" si="2"/>
        <v>495384</v>
      </c>
      <c r="D20" s="70">
        <v>415503</v>
      </c>
      <c r="E20" s="70">
        <f>16524+1604</f>
        <v>18128</v>
      </c>
      <c r="F20" s="70">
        <v>10692</v>
      </c>
      <c r="G20" s="70">
        <v>4082</v>
      </c>
      <c r="H20" s="71"/>
      <c r="I20" s="71"/>
      <c r="J20" s="71"/>
      <c r="K20" s="71"/>
      <c r="L20" s="71"/>
      <c r="M20" s="71">
        <f>24429+22550</f>
        <v>46979</v>
      </c>
      <c r="N20" s="75">
        <v>96420</v>
      </c>
      <c r="O20" s="60">
        <f t="shared" si="1"/>
        <v>398964</v>
      </c>
      <c r="P20" s="60">
        <f t="shared" si="3"/>
        <v>159585</v>
      </c>
      <c r="R20" s="42">
        <v>0.86605200000000004</v>
      </c>
      <c r="S20" s="44">
        <v>10.692</v>
      </c>
    </row>
    <row r="21" spans="1:19" s="40" customFormat="1" ht="20.149999999999999" customHeight="1">
      <c r="A21" s="24">
        <v>13</v>
      </c>
      <c r="B21" s="32" t="s">
        <v>41</v>
      </c>
      <c r="C21" s="69">
        <f t="shared" si="2"/>
        <v>640010</v>
      </c>
      <c r="D21" s="70">
        <v>518575</v>
      </c>
      <c r="E21" s="70">
        <f>18468+875</f>
        <v>19343</v>
      </c>
      <c r="F21" s="70">
        <v>11664</v>
      </c>
      <c r="G21" s="70">
        <v>4536</v>
      </c>
      <c r="H21" s="70"/>
      <c r="I21" s="70">
        <v>20121</v>
      </c>
      <c r="J21" s="70"/>
      <c r="K21" s="70"/>
      <c r="L21" s="70"/>
      <c r="M21" s="70">
        <f>39463+26308</f>
        <v>65771</v>
      </c>
      <c r="N21" s="144">
        <v>48286</v>
      </c>
      <c r="O21" s="60">
        <f t="shared" si="1"/>
        <v>591724</v>
      </c>
      <c r="P21" s="60">
        <f t="shared" si="3"/>
        <v>236689</v>
      </c>
      <c r="R21" s="42">
        <v>0.47239200000000003</v>
      </c>
      <c r="S21" s="45">
        <v>11.664</v>
      </c>
    </row>
    <row r="22" spans="1:19" s="40" customFormat="1" ht="20.149999999999999" customHeight="1">
      <c r="A22" s="24">
        <v>14</v>
      </c>
      <c r="B22" s="32" t="s">
        <v>42</v>
      </c>
      <c r="C22" s="69">
        <f t="shared" si="2"/>
        <v>483735</v>
      </c>
      <c r="D22" s="70">
        <v>400841</v>
      </c>
      <c r="E22" s="70">
        <f>14580+1166</f>
        <v>15746</v>
      </c>
      <c r="F22" s="70">
        <f>10692+(0.3*1800*2*7)</f>
        <v>18252</v>
      </c>
      <c r="G22" s="70">
        <v>4536</v>
      </c>
      <c r="H22" s="70"/>
      <c r="I22" s="70">
        <v>10535</v>
      </c>
      <c r="J22" s="70"/>
      <c r="K22" s="70"/>
      <c r="L22" s="70"/>
      <c r="M22" s="70">
        <f>18792+15033</f>
        <v>33825</v>
      </c>
      <c r="N22" s="144">
        <v>19879</v>
      </c>
      <c r="O22" s="60">
        <f t="shared" si="1"/>
        <v>463856</v>
      </c>
      <c r="P22" s="60">
        <f t="shared" si="3"/>
        <v>185542</v>
      </c>
      <c r="R22" s="42">
        <v>0.62985600000000008</v>
      </c>
      <c r="S22" s="45">
        <v>10.692</v>
      </c>
    </row>
    <row r="23" spans="1:19" s="40" customFormat="1" ht="20.149999999999999" customHeight="1">
      <c r="A23" s="24">
        <v>15</v>
      </c>
      <c r="B23" s="32" t="s">
        <v>43</v>
      </c>
      <c r="C23" s="69">
        <f t="shared" si="2"/>
        <v>565721</v>
      </c>
      <c r="D23" s="70">
        <v>435186</v>
      </c>
      <c r="E23" s="70">
        <f>16524+1021</f>
        <v>17545</v>
      </c>
      <c r="F23" s="70">
        <v>10692</v>
      </c>
      <c r="G23" s="70">
        <v>3629</v>
      </c>
      <c r="H23" s="70"/>
      <c r="I23" s="70">
        <v>41192</v>
      </c>
      <c r="J23" s="70">
        <v>4860</v>
      </c>
      <c r="K23" s="70"/>
      <c r="L23" s="70"/>
      <c r="M23" s="70">
        <f>41342+11275</f>
        <v>52617</v>
      </c>
      <c r="N23" s="144">
        <v>130375.42600000001</v>
      </c>
      <c r="O23" s="60">
        <f t="shared" si="1"/>
        <v>435345.57400000002</v>
      </c>
      <c r="P23" s="60">
        <f t="shared" si="3"/>
        <v>174138</v>
      </c>
      <c r="R23" s="42">
        <v>0.55112400000000006</v>
      </c>
      <c r="S23" s="45">
        <v>10.692</v>
      </c>
    </row>
    <row r="24" spans="1:19" s="38" customFormat="1" ht="20.149999999999999" customHeight="1">
      <c r="A24" s="24">
        <v>16</v>
      </c>
      <c r="B24" s="32" t="s">
        <v>44</v>
      </c>
      <c r="C24" s="69">
        <f t="shared" si="2"/>
        <v>630855</v>
      </c>
      <c r="D24" s="70">
        <v>371349</v>
      </c>
      <c r="E24" s="70">
        <f>14580+1166</f>
        <v>15746</v>
      </c>
      <c r="F24" s="70">
        <v>8748</v>
      </c>
      <c r="G24" s="70">
        <v>4536</v>
      </c>
      <c r="H24" s="70"/>
      <c r="I24" s="70">
        <v>7390</v>
      </c>
      <c r="J24" s="70">
        <v>4860</v>
      </c>
      <c r="K24" s="70"/>
      <c r="L24" s="70">
        <f>180642</f>
        <v>180642</v>
      </c>
      <c r="M24" s="70">
        <f>18792+18792</f>
        <v>37584</v>
      </c>
      <c r="N24" s="144">
        <v>0</v>
      </c>
      <c r="O24" s="60">
        <f t="shared" si="1"/>
        <v>630855</v>
      </c>
      <c r="P24" s="60">
        <f t="shared" si="3"/>
        <v>252342</v>
      </c>
      <c r="R24" s="42">
        <v>0.62985600000000008</v>
      </c>
      <c r="S24" s="43">
        <v>8.7479999999999993</v>
      </c>
    </row>
    <row r="25" spans="1:19" s="38" customFormat="1" ht="20.149999999999999" customHeight="1">
      <c r="A25" s="25">
        <v>17</v>
      </c>
      <c r="B25" s="47" t="s">
        <v>45</v>
      </c>
      <c r="C25" s="72">
        <f t="shared" si="2"/>
        <v>512619</v>
      </c>
      <c r="D25" s="73">
        <v>429265</v>
      </c>
      <c r="E25" s="73">
        <f>16524+1166</f>
        <v>17690</v>
      </c>
      <c r="F25" s="73">
        <v>8748</v>
      </c>
      <c r="G25" s="73">
        <v>2722</v>
      </c>
      <c r="H25" s="73"/>
      <c r="I25" s="73">
        <v>3146</v>
      </c>
      <c r="J25" s="73">
        <v>4860</v>
      </c>
      <c r="K25" s="73">
        <v>18000</v>
      </c>
      <c r="L25" s="73"/>
      <c r="M25" s="73">
        <f>16913+11275</f>
        <v>28188</v>
      </c>
      <c r="N25" s="145">
        <v>72.14</v>
      </c>
      <c r="O25" s="64">
        <f t="shared" si="1"/>
        <v>512546.86</v>
      </c>
      <c r="P25" s="64">
        <f t="shared" si="3"/>
        <v>205018</v>
      </c>
      <c r="R25" s="42">
        <v>0.62985600000000008</v>
      </c>
      <c r="S25" s="43">
        <v>8.7479999999999993</v>
      </c>
    </row>
  </sheetData>
  <mergeCells count="11">
    <mergeCell ref="C5:C6"/>
    <mergeCell ref="O1:P1"/>
    <mergeCell ref="A2:P2"/>
    <mergeCell ref="A3:P3"/>
    <mergeCell ref="N4:P4"/>
    <mergeCell ref="A5:A6"/>
    <mergeCell ref="B5:B6"/>
    <mergeCell ref="D5:M5"/>
    <mergeCell ref="N5:N6"/>
    <mergeCell ref="O5:O6"/>
    <mergeCell ref="P5:P6"/>
  </mergeCells>
  <pageMargins left="0.35" right="0.22" top="0.33" bottom="0.27559055118110198" header="0.19" footer="0.15748031496063"/>
  <pageSetup scale="84" orientation="landscape" useFirstPageNumber="1" verticalDpi="0" r:id="rId1"/>
  <headerFooter>
    <oddFooter>&amp;C&amp;"Times New Roman,Regular"&amp;10&amp;P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4" zoomScale="85" zoomScaleNormal="85" workbookViewId="0">
      <selection activeCell="N23" sqref="N23"/>
    </sheetView>
  </sheetViews>
  <sheetFormatPr defaultColWidth="9.1640625" defaultRowHeight="15.5"/>
  <cols>
    <col min="1" max="1" width="6.25" style="100" customWidth="1"/>
    <col min="2" max="2" width="26.1640625" style="98" customWidth="1"/>
    <col min="3" max="3" width="30.83203125" style="99" customWidth="1"/>
    <col min="4" max="4" width="9.58203125" style="99" customWidth="1"/>
    <col min="5" max="5" width="7" style="99" customWidth="1"/>
    <col min="6" max="6" width="10.75" style="98" customWidth="1"/>
    <col min="7" max="9" width="12.58203125" style="96" customWidth="1"/>
    <col min="10" max="11" width="12.58203125" style="96" hidden="1" customWidth="1"/>
    <col min="12" max="12" width="11.4140625" style="96" customWidth="1"/>
    <col min="13" max="13" width="11.58203125" style="96" customWidth="1"/>
    <col min="14" max="14" width="11.1640625" style="97" customWidth="1"/>
    <col min="15" max="15" width="10" style="96" customWidth="1"/>
    <col min="16" max="16" width="12.4140625" style="95" customWidth="1"/>
    <col min="17" max="17" width="14" style="95" customWidth="1"/>
    <col min="18" max="18" width="11" style="95" customWidth="1"/>
    <col min="19" max="16384" width="9.1640625" style="95"/>
  </cols>
  <sheetData>
    <row r="1" spans="1:16">
      <c r="N1" s="321" t="s">
        <v>126</v>
      </c>
      <c r="O1" s="321"/>
    </row>
    <row r="2" spans="1:16" ht="34.5" customHeight="1">
      <c r="A2" s="324" t="s">
        <v>122</v>
      </c>
      <c r="B2" s="324"/>
      <c r="C2" s="324"/>
      <c r="D2" s="324"/>
      <c r="E2" s="324"/>
      <c r="F2" s="324"/>
      <c r="G2" s="324"/>
      <c r="H2" s="324"/>
      <c r="I2" s="324"/>
      <c r="J2" s="324"/>
      <c r="K2" s="324"/>
      <c r="L2" s="324"/>
      <c r="M2" s="324"/>
      <c r="N2" s="324"/>
      <c r="O2" s="324"/>
    </row>
    <row r="3" spans="1:16" ht="23.5" customHeight="1">
      <c r="A3" s="325" t="str">
        <f>'TỔNG HỢP'!A3:D3</f>
        <v>(Kèm theo Tờ trình số 190/TTr-UBND ngày 08/11/2024 của UBND huyện Na Rì)</v>
      </c>
      <c r="B3" s="325"/>
      <c r="C3" s="325"/>
      <c r="D3" s="325"/>
      <c r="E3" s="325"/>
      <c r="F3" s="325"/>
      <c r="G3" s="325"/>
      <c r="H3" s="325"/>
      <c r="I3" s="325"/>
      <c r="J3" s="325"/>
      <c r="K3" s="325"/>
      <c r="L3" s="325"/>
      <c r="M3" s="325"/>
      <c r="N3" s="325"/>
      <c r="O3" s="325"/>
    </row>
    <row r="4" spans="1:16" ht="21.75" customHeight="1">
      <c r="A4" s="102"/>
      <c r="G4" s="98"/>
      <c r="H4" s="98"/>
      <c r="I4" s="326" t="s">
        <v>46</v>
      </c>
      <c r="J4" s="326"/>
      <c r="K4" s="326"/>
      <c r="L4" s="326"/>
      <c r="M4" s="326"/>
      <c r="N4" s="326"/>
      <c r="O4" s="326"/>
    </row>
    <row r="5" spans="1:16" ht="34.5" customHeight="1">
      <c r="A5" s="327" t="s">
        <v>6</v>
      </c>
      <c r="B5" s="320" t="s">
        <v>19</v>
      </c>
      <c r="C5" s="328" t="s">
        <v>121</v>
      </c>
      <c r="D5" s="322" t="s">
        <v>120</v>
      </c>
      <c r="E5" s="322"/>
      <c r="F5" s="320" t="s">
        <v>119</v>
      </c>
      <c r="G5" s="320"/>
      <c r="H5" s="320"/>
      <c r="I5" s="320"/>
      <c r="J5" s="320"/>
      <c r="K5" s="320"/>
      <c r="L5" s="320"/>
      <c r="M5" s="320"/>
      <c r="N5" s="320" t="s">
        <v>118</v>
      </c>
      <c r="O5" s="320"/>
    </row>
    <row r="6" spans="1:16" ht="27.75" customHeight="1">
      <c r="A6" s="327"/>
      <c r="B6" s="320"/>
      <c r="C6" s="328"/>
      <c r="D6" s="322" t="s">
        <v>117</v>
      </c>
      <c r="E6" s="322" t="s">
        <v>115</v>
      </c>
      <c r="F6" s="320" t="s">
        <v>105</v>
      </c>
      <c r="G6" s="320" t="s">
        <v>116</v>
      </c>
      <c r="H6" s="320"/>
      <c r="I6" s="320"/>
      <c r="J6" s="320"/>
      <c r="K6" s="320"/>
      <c r="L6" s="320" t="s">
        <v>115</v>
      </c>
      <c r="M6" s="320"/>
      <c r="N6" s="323" t="s">
        <v>114</v>
      </c>
      <c r="O6" s="320" t="s">
        <v>113</v>
      </c>
    </row>
    <row r="7" spans="1:16" ht="70.5" customHeight="1">
      <c r="A7" s="327"/>
      <c r="B7" s="320"/>
      <c r="C7" s="328"/>
      <c r="D7" s="322"/>
      <c r="E7" s="322"/>
      <c r="F7" s="320"/>
      <c r="G7" s="103" t="s">
        <v>112</v>
      </c>
      <c r="H7" s="103" t="s">
        <v>111</v>
      </c>
      <c r="I7" s="103" t="s">
        <v>110</v>
      </c>
      <c r="J7" s="103" t="s">
        <v>109</v>
      </c>
      <c r="K7" s="103" t="s">
        <v>108</v>
      </c>
      <c r="L7" s="103" t="s">
        <v>107</v>
      </c>
      <c r="M7" s="103" t="s">
        <v>106</v>
      </c>
      <c r="N7" s="323"/>
      <c r="O7" s="320"/>
    </row>
    <row r="8" spans="1:16" ht="24" customHeight="1">
      <c r="A8" s="279">
        <v>1</v>
      </c>
      <c r="B8" s="279">
        <v>2</v>
      </c>
      <c r="C8" s="280">
        <v>3</v>
      </c>
      <c r="D8" s="279">
        <v>4</v>
      </c>
      <c r="E8" s="279">
        <v>5</v>
      </c>
      <c r="F8" s="280">
        <v>6</v>
      </c>
      <c r="G8" s="279">
        <v>7</v>
      </c>
      <c r="H8" s="279">
        <v>8</v>
      </c>
      <c r="I8" s="280">
        <v>9</v>
      </c>
      <c r="J8" s="279">
        <v>10</v>
      </c>
      <c r="K8" s="279">
        <v>11</v>
      </c>
      <c r="L8" s="280">
        <v>12</v>
      </c>
      <c r="M8" s="279">
        <v>13</v>
      </c>
      <c r="N8" s="279">
        <v>14</v>
      </c>
      <c r="O8" s="280">
        <v>15</v>
      </c>
    </row>
    <row r="9" spans="1:16" ht="30" customHeight="1">
      <c r="A9" s="104"/>
      <c r="B9" s="103" t="s">
        <v>7</v>
      </c>
      <c r="C9" s="103" t="s">
        <v>104</v>
      </c>
      <c r="D9" s="103"/>
      <c r="E9" s="103"/>
      <c r="F9" s="105">
        <f>F10+F12</f>
        <v>297243</v>
      </c>
      <c r="G9" s="105">
        <f t="shared" ref="G9:O9" si="0">G10+G12</f>
        <v>183244</v>
      </c>
      <c r="H9" s="105">
        <f t="shared" si="0"/>
        <v>73800</v>
      </c>
      <c r="I9" s="105">
        <f t="shared" si="0"/>
        <v>40199</v>
      </c>
      <c r="J9" s="105">
        <f t="shared" si="0"/>
        <v>0</v>
      </c>
      <c r="K9" s="105">
        <f t="shared" si="0"/>
        <v>0</v>
      </c>
      <c r="L9" s="105">
        <f t="shared" si="0"/>
        <v>0</v>
      </c>
      <c r="M9" s="105">
        <f t="shared" si="0"/>
        <v>0</v>
      </c>
      <c r="N9" s="105">
        <f t="shared" si="0"/>
        <v>297243</v>
      </c>
      <c r="O9" s="105">
        <f t="shared" si="0"/>
        <v>0</v>
      </c>
      <c r="P9" s="101"/>
    </row>
    <row r="10" spans="1:16" ht="30" customHeight="1">
      <c r="A10" s="104" t="s">
        <v>1</v>
      </c>
      <c r="B10" s="106" t="s">
        <v>44</v>
      </c>
      <c r="C10" s="107"/>
      <c r="D10" s="103"/>
      <c r="E10" s="103"/>
      <c r="F10" s="105">
        <f t="shared" ref="F10:O10" si="1">SUM(F11:F11)</f>
        <v>131895</v>
      </c>
      <c r="G10" s="105">
        <f t="shared" si="1"/>
        <v>94211</v>
      </c>
      <c r="H10" s="105">
        <f t="shared" si="1"/>
        <v>31403</v>
      </c>
      <c r="I10" s="105">
        <f t="shared" si="1"/>
        <v>6281</v>
      </c>
      <c r="J10" s="105">
        <f t="shared" si="1"/>
        <v>0</v>
      </c>
      <c r="K10" s="105">
        <f t="shared" si="1"/>
        <v>0</v>
      </c>
      <c r="L10" s="105">
        <f t="shared" si="1"/>
        <v>0</v>
      </c>
      <c r="M10" s="105">
        <f t="shared" si="1"/>
        <v>0</v>
      </c>
      <c r="N10" s="105">
        <f t="shared" si="1"/>
        <v>131895</v>
      </c>
      <c r="O10" s="105">
        <f t="shared" si="1"/>
        <v>0</v>
      </c>
    </row>
    <row r="11" spans="1:16" ht="39.75" customHeight="1">
      <c r="A11" s="108" t="s">
        <v>28</v>
      </c>
      <c r="B11" s="109" t="s">
        <v>98</v>
      </c>
      <c r="C11" s="110" t="s">
        <v>103</v>
      </c>
      <c r="D11" s="111" t="s">
        <v>102</v>
      </c>
      <c r="E11" s="111"/>
      <c r="F11" s="112">
        <f>SUM(G11:M11)</f>
        <v>131895</v>
      </c>
      <c r="G11" s="112">
        <v>94211</v>
      </c>
      <c r="H11" s="112">
        <v>31403</v>
      </c>
      <c r="I11" s="112">
        <v>6281</v>
      </c>
      <c r="J11" s="112"/>
      <c r="K11" s="112"/>
      <c r="L11" s="112"/>
      <c r="M11" s="112"/>
      <c r="N11" s="113">
        <f>F11</f>
        <v>131895</v>
      </c>
      <c r="O11" s="112">
        <f>L11</f>
        <v>0</v>
      </c>
    </row>
    <row r="12" spans="1:16" ht="27" customHeight="1">
      <c r="A12" s="104" t="s">
        <v>2</v>
      </c>
      <c r="B12" s="114" t="s">
        <v>74</v>
      </c>
      <c r="C12" s="107"/>
      <c r="D12" s="103"/>
      <c r="E12" s="103"/>
      <c r="F12" s="105">
        <f>SUM(F14:F14)</f>
        <v>165348</v>
      </c>
      <c r="G12" s="105">
        <f t="shared" ref="G12:O12" si="2">SUM(G14:G14)</f>
        <v>89033</v>
      </c>
      <c r="H12" s="105">
        <f t="shared" si="2"/>
        <v>42397</v>
      </c>
      <c r="I12" s="105">
        <f t="shared" si="2"/>
        <v>33918</v>
      </c>
      <c r="J12" s="105">
        <f t="shared" si="2"/>
        <v>0</v>
      </c>
      <c r="K12" s="105">
        <f t="shared" si="2"/>
        <v>0</v>
      </c>
      <c r="L12" s="105">
        <f t="shared" si="2"/>
        <v>0</v>
      </c>
      <c r="M12" s="105">
        <f t="shared" si="2"/>
        <v>0</v>
      </c>
      <c r="N12" s="105">
        <f t="shared" si="2"/>
        <v>165348</v>
      </c>
      <c r="O12" s="105">
        <f t="shared" si="2"/>
        <v>0</v>
      </c>
    </row>
    <row r="13" spans="1:16" ht="25" customHeight="1">
      <c r="A13" s="115" t="s">
        <v>125</v>
      </c>
      <c r="B13" s="116" t="s">
        <v>123</v>
      </c>
      <c r="C13" s="117"/>
      <c r="D13" s="118"/>
      <c r="E13" s="118"/>
      <c r="F13" s="119"/>
      <c r="G13" s="119"/>
      <c r="H13" s="119"/>
      <c r="I13" s="119"/>
      <c r="J13" s="119"/>
      <c r="K13" s="119"/>
      <c r="L13" s="119"/>
      <c r="M13" s="119"/>
      <c r="N13" s="120"/>
      <c r="O13" s="119"/>
    </row>
    <row r="14" spans="1:16" ht="39" customHeight="1">
      <c r="A14" s="121" t="s">
        <v>28</v>
      </c>
      <c r="B14" s="122" t="s">
        <v>97</v>
      </c>
      <c r="C14" s="123" t="s">
        <v>124</v>
      </c>
      <c r="D14" s="124" t="s">
        <v>102</v>
      </c>
      <c r="E14" s="124"/>
      <c r="F14" s="125">
        <f>SUM(G14:M14)</f>
        <v>165348</v>
      </c>
      <c r="G14" s="125">
        <v>89033</v>
      </c>
      <c r="H14" s="125">
        <v>42397</v>
      </c>
      <c r="I14" s="125">
        <v>33918</v>
      </c>
      <c r="J14" s="125"/>
      <c r="K14" s="125"/>
      <c r="L14" s="125"/>
      <c r="M14" s="125"/>
      <c r="N14" s="126">
        <v>165348</v>
      </c>
      <c r="O14" s="125">
        <v>0</v>
      </c>
    </row>
  </sheetData>
  <mergeCells count="17">
    <mergeCell ref="F5:M5"/>
    <mergeCell ref="N5:O5"/>
    <mergeCell ref="N1:O1"/>
    <mergeCell ref="O6:O7"/>
    <mergeCell ref="D6:D7"/>
    <mergeCell ref="E6:E7"/>
    <mergeCell ref="F6:F7"/>
    <mergeCell ref="G6:K6"/>
    <mergeCell ref="L6:M6"/>
    <mergeCell ref="N6:N7"/>
    <mergeCell ref="A2:O2"/>
    <mergeCell ref="A3:O3"/>
    <mergeCell ref="I4:O4"/>
    <mergeCell ref="A5:A7"/>
    <mergeCell ref="B5:B7"/>
    <mergeCell ref="C5:C7"/>
    <mergeCell ref="D5:E5"/>
  </mergeCells>
  <pageMargins left="0.35" right="0.15" top="0.57999999999999996" bottom="0.27559055118110198" header="0.19" footer="0.15748031496063"/>
  <pageSetup scale="70" fitToHeight="0" orientation="landscape" useFirstPageNumber="1" r:id="rId1"/>
  <headerFooter>
    <oddFooter>&amp;C&amp;"Times New Roman,Regular"&amp;10&amp;P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80" zoomScaleNormal="80" workbookViewId="0">
      <selection activeCell="K11" sqref="K11"/>
    </sheetView>
  </sheetViews>
  <sheetFormatPr defaultColWidth="16.58203125" defaultRowHeight="14"/>
  <cols>
    <col min="1" max="1" width="6.75" style="224" customWidth="1"/>
    <col min="2" max="2" width="26.75" style="224" customWidth="1"/>
    <col min="3" max="3" width="15.25" style="224" customWidth="1"/>
    <col min="4" max="4" width="12.83203125" style="224" customWidth="1"/>
    <col min="5" max="5" width="14.25" style="224" customWidth="1"/>
    <col min="6" max="6" width="17.4140625" style="224" customWidth="1"/>
    <col min="7" max="7" width="13.1640625" style="224" customWidth="1"/>
    <col min="8" max="8" width="17.83203125" style="224" customWidth="1"/>
    <col min="9" max="9" width="47" style="224" customWidth="1"/>
    <col min="10" max="16384" width="16.58203125" style="224"/>
  </cols>
  <sheetData>
    <row r="1" spans="1:12">
      <c r="I1" s="229" t="s">
        <v>298</v>
      </c>
    </row>
    <row r="2" spans="1:12" ht="22.5" customHeight="1">
      <c r="A2" s="330" t="s">
        <v>292</v>
      </c>
      <c r="B2" s="330"/>
      <c r="C2" s="330"/>
      <c r="D2" s="330"/>
      <c r="E2" s="330"/>
      <c r="F2" s="330"/>
      <c r="G2" s="330"/>
      <c r="H2" s="330"/>
      <c r="I2" s="330"/>
      <c r="J2" s="223"/>
      <c r="K2" s="223"/>
      <c r="L2" s="223"/>
    </row>
    <row r="3" spans="1:12" ht="19.5" customHeight="1">
      <c r="A3" s="331" t="str">
        <f>'TỔNG HỢP'!A3:D3</f>
        <v>(Kèm theo Tờ trình số 190/TTr-UBND ngày 08/11/2024 của UBND huyện Na Rì)</v>
      </c>
      <c r="B3" s="331"/>
      <c r="C3" s="331"/>
      <c r="D3" s="331"/>
      <c r="E3" s="331"/>
      <c r="F3" s="331"/>
      <c r="G3" s="331"/>
      <c r="H3" s="331"/>
      <c r="I3" s="331"/>
    </row>
    <row r="4" spans="1:12">
      <c r="A4" s="230"/>
      <c r="B4" s="230"/>
      <c r="C4" s="230"/>
      <c r="D4" s="230"/>
      <c r="E4" s="230"/>
      <c r="F4" s="230"/>
      <c r="G4" s="230"/>
      <c r="H4" s="230" t="s">
        <v>13</v>
      </c>
      <c r="I4" s="230"/>
    </row>
    <row r="5" spans="1:12" ht="46" customHeight="1">
      <c r="A5" s="225" t="s">
        <v>253</v>
      </c>
      <c r="B5" s="225" t="s">
        <v>4</v>
      </c>
      <c r="C5" s="225" t="s">
        <v>252</v>
      </c>
      <c r="D5" s="225" t="s">
        <v>251</v>
      </c>
      <c r="E5" s="225" t="s">
        <v>250</v>
      </c>
      <c r="F5" s="225" t="s">
        <v>249</v>
      </c>
      <c r="G5" s="225" t="s">
        <v>248</v>
      </c>
      <c r="H5" s="225" t="s">
        <v>274</v>
      </c>
      <c r="I5" s="231" t="s">
        <v>0</v>
      </c>
    </row>
    <row r="6" spans="1:12" ht="18.75" customHeight="1">
      <c r="A6" s="240">
        <v>1</v>
      </c>
      <c r="B6" s="240">
        <v>2</v>
      </c>
      <c r="C6" s="240">
        <v>3</v>
      </c>
      <c r="D6" s="240">
        <v>4</v>
      </c>
      <c r="E6" s="240">
        <v>5</v>
      </c>
      <c r="F6" s="240">
        <v>6</v>
      </c>
      <c r="G6" s="240">
        <v>7</v>
      </c>
      <c r="H6" s="240">
        <v>8</v>
      </c>
      <c r="I6" s="240">
        <v>9</v>
      </c>
    </row>
    <row r="7" spans="1:12" ht="24.75" customHeight="1">
      <c r="A7" s="257"/>
      <c r="B7" s="257" t="s">
        <v>7</v>
      </c>
      <c r="C7" s="258">
        <f>SUM(C8:C24)</f>
        <v>172</v>
      </c>
      <c r="D7" s="258">
        <f>SUM(D8:D24)</f>
        <v>1053</v>
      </c>
      <c r="E7" s="258">
        <f>SUM(E8:E24)</f>
        <v>5135</v>
      </c>
      <c r="F7" s="258">
        <f>SUM(F8:F24)</f>
        <v>187527</v>
      </c>
      <c r="G7" s="232"/>
      <c r="H7" s="232">
        <f>SUM(H8:H24)</f>
        <v>7126026000</v>
      </c>
      <c r="I7" s="244"/>
    </row>
    <row r="8" spans="1:12" ht="38.25" customHeight="1">
      <c r="A8" s="245">
        <v>1</v>
      </c>
      <c r="B8" s="246" t="s">
        <v>35</v>
      </c>
      <c r="C8" s="259">
        <v>13</v>
      </c>
      <c r="D8" s="259">
        <v>110</v>
      </c>
      <c r="E8" s="259">
        <v>442</v>
      </c>
      <c r="F8" s="259">
        <v>11563</v>
      </c>
      <c r="G8" s="247">
        <v>38000</v>
      </c>
      <c r="H8" s="247">
        <f t="shared" ref="H8:H24" si="0">G8*F8</f>
        <v>439394000</v>
      </c>
      <c r="I8" s="293" t="s">
        <v>264</v>
      </c>
    </row>
    <row r="9" spans="1:12" ht="31" customHeight="1">
      <c r="A9" s="248">
        <v>2</v>
      </c>
      <c r="B9" s="249" t="s">
        <v>30</v>
      </c>
      <c r="C9" s="260">
        <v>13</v>
      </c>
      <c r="D9" s="260">
        <v>43</v>
      </c>
      <c r="E9" s="260">
        <v>241</v>
      </c>
      <c r="F9" s="260">
        <v>10313</v>
      </c>
      <c r="G9" s="250">
        <v>38000</v>
      </c>
      <c r="H9" s="250">
        <f t="shared" si="0"/>
        <v>391894000</v>
      </c>
      <c r="I9" s="294" t="s">
        <v>254</v>
      </c>
    </row>
    <row r="10" spans="1:12" ht="34.5" customHeight="1">
      <c r="A10" s="248">
        <v>3</v>
      </c>
      <c r="B10" s="249" t="s">
        <v>37</v>
      </c>
      <c r="C10" s="260">
        <v>6</v>
      </c>
      <c r="D10" s="260">
        <v>47</v>
      </c>
      <c r="E10" s="260">
        <v>122</v>
      </c>
      <c r="F10" s="260">
        <v>7512</v>
      </c>
      <c r="G10" s="250">
        <v>38000</v>
      </c>
      <c r="H10" s="250">
        <f t="shared" si="0"/>
        <v>285456000</v>
      </c>
      <c r="I10" s="294" t="s">
        <v>263</v>
      </c>
    </row>
    <row r="11" spans="1:12" ht="31" customHeight="1">
      <c r="A11" s="248">
        <v>4</v>
      </c>
      <c r="B11" s="249" t="s">
        <v>32</v>
      </c>
      <c r="C11" s="260">
        <v>8</v>
      </c>
      <c r="D11" s="260">
        <v>26</v>
      </c>
      <c r="E11" s="260">
        <v>82</v>
      </c>
      <c r="F11" s="260">
        <v>3166</v>
      </c>
      <c r="G11" s="250">
        <v>38000</v>
      </c>
      <c r="H11" s="250">
        <f t="shared" si="0"/>
        <v>120308000</v>
      </c>
      <c r="I11" s="294" t="s">
        <v>262</v>
      </c>
    </row>
    <row r="12" spans="1:12" s="226" customFormat="1" ht="31" customHeight="1">
      <c r="A12" s="248">
        <v>9</v>
      </c>
      <c r="B12" s="249" t="s">
        <v>44</v>
      </c>
      <c r="C12" s="260">
        <v>9</v>
      </c>
      <c r="D12" s="260">
        <v>27</v>
      </c>
      <c r="E12" s="260">
        <v>109</v>
      </c>
      <c r="F12" s="260">
        <v>4151</v>
      </c>
      <c r="G12" s="250">
        <v>38000</v>
      </c>
      <c r="H12" s="250">
        <f t="shared" si="0"/>
        <v>157738000</v>
      </c>
      <c r="I12" s="294" t="s">
        <v>265</v>
      </c>
    </row>
    <row r="13" spans="1:12" ht="38.25" customHeight="1">
      <c r="A13" s="248">
        <v>6</v>
      </c>
      <c r="B13" s="251" t="s">
        <v>33</v>
      </c>
      <c r="C13" s="260">
        <v>10</v>
      </c>
      <c r="D13" s="260">
        <v>150</v>
      </c>
      <c r="E13" s="260">
        <v>822</v>
      </c>
      <c r="F13" s="260">
        <v>26183</v>
      </c>
      <c r="G13" s="250">
        <v>38000</v>
      </c>
      <c r="H13" s="250">
        <f t="shared" si="0"/>
        <v>994954000</v>
      </c>
      <c r="I13" s="294" t="s">
        <v>275</v>
      </c>
    </row>
    <row r="14" spans="1:12" ht="31" customHeight="1">
      <c r="A14" s="248">
        <v>7</v>
      </c>
      <c r="B14" s="249" t="s">
        <v>34</v>
      </c>
      <c r="C14" s="260">
        <v>5</v>
      </c>
      <c r="D14" s="260">
        <v>8</v>
      </c>
      <c r="E14" s="260">
        <v>37</v>
      </c>
      <c r="F14" s="260">
        <v>1930</v>
      </c>
      <c r="G14" s="250">
        <v>38000</v>
      </c>
      <c r="H14" s="250">
        <f t="shared" si="0"/>
        <v>73340000</v>
      </c>
      <c r="I14" s="294" t="s">
        <v>254</v>
      </c>
    </row>
    <row r="15" spans="1:12" ht="31" customHeight="1">
      <c r="A15" s="248">
        <v>8</v>
      </c>
      <c r="B15" s="249" t="s">
        <v>29</v>
      </c>
      <c r="C15" s="260">
        <v>13</v>
      </c>
      <c r="D15" s="260">
        <v>37</v>
      </c>
      <c r="E15" s="260">
        <v>125</v>
      </c>
      <c r="F15" s="260">
        <v>6390</v>
      </c>
      <c r="G15" s="250">
        <v>38000</v>
      </c>
      <c r="H15" s="250">
        <f t="shared" si="0"/>
        <v>242820000</v>
      </c>
      <c r="I15" s="294" t="s">
        <v>257</v>
      </c>
    </row>
    <row r="16" spans="1:12" ht="31" customHeight="1">
      <c r="A16" s="248">
        <v>9</v>
      </c>
      <c r="B16" s="249" t="s">
        <v>39</v>
      </c>
      <c r="C16" s="260">
        <v>7</v>
      </c>
      <c r="D16" s="260">
        <v>25</v>
      </c>
      <c r="E16" s="260">
        <v>115</v>
      </c>
      <c r="F16" s="260">
        <v>3350</v>
      </c>
      <c r="G16" s="250">
        <v>38000</v>
      </c>
      <c r="H16" s="250">
        <f t="shared" si="0"/>
        <v>127300000</v>
      </c>
      <c r="I16" s="294" t="s">
        <v>261</v>
      </c>
    </row>
    <row r="17" spans="1:9" ht="31" customHeight="1">
      <c r="A17" s="252">
        <v>10</v>
      </c>
      <c r="B17" s="249" t="s">
        <v>41</v>
      </c>
      <c r="C17" s="261">
        <v>19</v>
      </c>
      <c r="D17" s="261">
        <v>141</v>
      </c>
      <c r="E17" s="261">
        <v>1299</v>
      </c>
      <c r="F17" s="261">
        <v>40161</v>
      </c>
      <c r="G17" s="253">
        <v>38000</v>
      </c>
      <c r="H17" s="250">
        <f t="shared" si="0"/>
        <v>1526118000</v>
      </c>
      <c r="I17" s="294" t="s">
        <v>260</v>
      </c>
    </row>
    <row r="18" spans="1:9" ht="31" customHeight="1">
      <c r="A18" s="248">
        <v>11</v>
      </c>
      <c r="B18" s="249" t="s">
        <v>36</v>
      </c>
      <c r="C18" s="260">
        <v>14</v>
      </c>
      <c r="D18" s="260">
        <v>66</v>
      </c>
      <c r="E18" s="260">
        <v>317</v>
      </c>
      <c r="F18" s="260">
        <v>13819</v>
      </c>
      <c r="G18" s="250">
        <v>38000</v>
      </c>
      <c r="H18" s="250">
        <f t="shared" si="0"/>
        <v>525122000</v>
      </c>
      <c r="I18" s="294" t="s">
        <v>259</v>
      </c>
    </row>
    <row r="19" spans="1:9" ht="31">
      <c r="A19" s="248">
        <v>12</v>
      </c>
      <c r="B19" s="249" t="s">
        <v>43</v>
      </c>
      <c r="C19" s="260">
        <v>20</v>
      </c>
      <c r="D19" s="260">
        <v>134</v>
      </c>
      <c r="E19" s="260">
        <v>555</v>
      </c>
      <c r="F19" s="260">
        <v>22121</v>
      </c>
      <c r="G19" s="250">
        <v>38000</v>
      </c>
      <c r="H19" s="250">
        <f t="shared" si="0"/>
        <v>840598000</v>
      </c>
      <c r="I19" s="295" t="s">
        <v>258</v>
      </c>
    </row>
    <row r="20" spans="1:9" ht="31" customHeight="1">
      <c r="A20" s="248">
        <v>13</v>
      </c>
      <c r="B20" s="249" t="s">
        <v>40</v>
      </c>
      <c r="C20" s="260">
        <v>13</v>
      </c>
      <c r="D20" s="260">
        <v>129</v>
      </c>
      <c r="E20" s="260">
        <v>441</v>
      </c>
      <c r="F20" s="260">
        <v>18416</v>
      </c>
      <c r="G20" s="250">
        <v>38000</v>
      </c>
      <c r="H20" s="250">
        <f t="shared" si="0"/>
        <v>699808000</v>
      </c>
      <c r="I20" s="295" t="s">
        <v>257</v>
      </c>
    </row>
    <row r="21" spans="1:9" ht="31" customHeight="1">
      <c r="A21" s="248">
        <v>14</v>
      </c>
      <c r="B21" s="249" t="s">
        <v>38</v>
      </c>
      <c r="C21" s="260">
        <v>4</v>
      </c>
      <c r="D21" s="260">
        <v>28</v>
      </c>
      <c r="E21" s="260">
        <v>177</v>
      </c>
      <c r="F21" s="260">
        <v>6686</v>
      </c>
      <c r="G21" s="250">
        <v>38000</v>
      </c>
      <c r="H21" s="250">
        <f t="shared" si="0"/>
        <v>254068000</v>
      </c>
      <c r="I21" s="295" t="s">
        <v>254</v>
      </c>
    </row>
    <row r="22" spans="1:9" ht="31" customHeight="1">
      <c r="A22" s="248">
        <v>15</v>
      </c>
      <c r="B22" s="249" t="s">
        <v>45</v>
      </c>
      <c r="C22" s="260">
        <v>8</v>
      </c>
      <c r="D22" s="260">
        <v>25</v>
      </c>
      <c r="E22" s="260">
        <v>71</v>
      </c>
      <c r="F22" s="260">
        <v>3183</v>
      </c>
      <c r="G22" s="250">
        <v>38000</v>
      </c>
      <c r="H22" s="250">
        <f t="shared" si="0"/>
        <v>120954000</v>
      </c>
      <c r="I22" s="295" t="s">
        <v>254</v>
      </c>
    </row>
    <row r="23" spans="1:9" ht="31">
      <c r="A23" s="252">
        <v>16</v>
      </c>
      <c r="B23" s="249" t="s">
        <v>31</v>
      </c>
      <c r="C23" s="261">
        <v>5</v>
      </c>
      <c r="D23" s="261">
        <v>44</v>
      </c>
      <c r="E23" s="261">
        <v>135</v>
      </c>
      <c r="F23" s="261">
        <v>6515</v>
      </c>
      <c r="G23" s="250">
        <v>38000</v>
      </c>
      <c r="H23" s="250">
        <f t="shared" si="0"/>
        <v>247570000</v>
      </c>
      <c r="I23" s="295" t="s">
        <v>255</v>
      </c>
    </row>
    <row r="24" spans="1:9" ht="31">
      <c r="A24" s="254">
        <v>17</v>
      </c>
      <c r="B24" s="255" t="s">
        <v>42</v>
      </c>
      <c r="C24" s="262">
        <v>5</v>
      </c>
      <c r="D24" s="262">
        <v>13</v>
      </c>
      <c r="E24" s="262">
        <v>45</v>
      </c>
      <c r="F24" s="262">
        <v>2068</v>
      </c>
      <c r="G24" s="256">
        <v>38000</v>
      </c>
      <c r="H24" s="256">
        <f t="shared" si="0"/>
        <v>78584000</v>
      </c>
      <c r="I24" s="296" t="s">
        <v>256</v>
      </c>
    </row>
    <row r="25" spans="1:9" ht="16.5">
      <c r="A25" s="329"/>
      <c r="B25" s="329"/>
      <c r="C25" s="329"/>
      <c r="D25" s="329"/>
      <c r="E25" s="329"/>
      <c r="F25" s="329"/>
      <c r="G25" s="329"/>
      <c r="H25" s="329"/>
    </row>
    <row r="28" spans="1:9">
      <c r="A28" s="227"/>
      <c r="B28" s="227"/>
      <c r="C28" s="227"/>
      <c r="D28" s="227"/>
      <c r="E28" s="227"/>
      <c r="F28" s="227"/>
      <c r="G28" s="227"/>
      <c r="H28" s="228"/>
    </row>
  </sheetData>
  <mergeCells count="3">
    <mergeCell ref="A25:H25"/>
    <mergeCell ref="A2:I2"/>
    <mergeCell ref="A3:I3"/>
  </mergeCells>
  <pageMargins left="0.47244094488188981" right="0.35433070866141736" top="0.39370078740157483" bottom="3.937007874015748E-2" header="0.31496062992125984" footer="0.19685039370078741"/>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workbookViewId="0">
      <selection activeCell="K60" sqref="K60"/>
    </sheetView>
  </sheetViews>
  <sheetFormatPr defaultColWidth="9.1640625" defaultRowHeight="16.5"/>
  <cols>
    <col min="1" max="1" width="5.4140625" style="156" bestFit="1" customWidth="1"/>
    <col min="2" max="2" width="46.58203125" style="156" customWidth="1"/>
    <col min="3" max="3" width="8.25" style="156" customWidth="1"/>
    <col min="4" max="4" width="7" style="156" customWidth="1"/>
    <col min="5" max="5" width="11.1640625" style="156" customWidth="1"/>
    <col min="6" max="6" width="16.25" style="156" customWidth="1"/>
    <col min="7" max="7" width="7.83203125" style="156" customWidth="1"/>
    <col min="8" max="8" width="12" style="156" customWidth="1"/>
    <col min="9" max="9" width="16.1640625" style="156" customWidth="1"/>
    <col min="10" max="10" width="14.25" style="156" customWidth="1"/>
    <col min="11" max="11" width="40.83203125" style="156" customWidth="1"/>
    <col min="12" max="14" width="9.1640625" style="156"/>
    <col min="15" max="15" width="13.75" style="156" customWidth="1"/>
    <col min="16" max="16384" width="9.1640625" style="156"/>
  </cols>
  <sheetData>
    <row r="1" spans="1:15">
      <c r="A1" s="184"/>
      <c r="B1" s="209"/>
      <c r="C1" s="184"/>
      <c r="D1" s="184"/>
      <c r="E1" s="184"/>
      <c r="F1" s="184"/>
      <c r="G1" s="184"/>
      <c r="H1" s="184"/>
      <c r="I1" s="184"/>
      <c r="J1" s="208"/>
      <c r="K1" s="207" t="s">
        <v>266</v>
      </c>
      <c r="L1" s="184"/>
    </row>
    <row r="2" spans="1:15">
      <c r="A2" s="333" t="s">
        <v>240</v>
      </c>
      <c r="B2" s="333"/>
      <c r="C2" s="333"/>
      <c r="D2" s="333"/>
      <c r="E2" s="333"/>
      <c r="F2" s="333"/>
      <c r="G2" s="333"/>
      <c r="H2" s="333"/>
      <c r="I2" s="333"/>
      <c r="J2" s="333"/>
      <c r="K2" s="333"/>
      <c r="L2" s="184"/>
    </row>
    <row r="3" spans="1:15" ht="27" customHeight="1">
      <c r="A3" s="334" t="str">
        <f>'TỔNG HỢP'!A3:D3</f>
        <v>(Kèm theo Tờ trình số 190/TTr-UBND ngày 08/11/2024 của UBND huyện Na Rì)</v>
      </c>
      <c r="B3" s="334"/>
      <c r="C3" s="334"/>
      <c r="D3" s="334"/>
      <c r="E3" s="334"/>
      <c r="F3" s="334"/>
      <c r="G3" s="334"/>
      <c r="H3" s="334"/>
      <c r="I3" s="334"/>
      <c r="J3" s="334"/>
      <c r="K3" s="334"/>
    </row>
    <row r="4" spans="1:15">
      <c r="A4" s="206"/>
      <c r="B4" s="206"/>
      <c r="C4" s="206"/>
      <c r="D4" s="206"/>
      <c r="E4" s="206"/>
      <c r="F4" s="206"/>
      <c r="G4" s="206"/>
      <c r="H4" s="206"/>
      <c r="I4" s="206"/>
      <c r="J4" s="335" t="s">
        <v>13</v>
      </c>
      <c r="K4" s="335"/>
    </row>
    <row r="5" spans="1:15" ht="27" customHeight="1">
      <c r="A5" s="336" t="s">
        <v>6</v>
      </c>
      <c r="B5" s="336" t="s">
        <v>19</v>
      </c>
      <c r="C5" s="337" t="s">
        <v>239</v>
      </c>
      <c r="D5" s="339" t="s">
        <v>238</v>
      </c>
      <c r="E5" s="340"/>
      <c r="F5" s="341"/>
      <c r="G5" s="339" t="s">
        <v>237</v>
      </c>
      <c r="H5" s="340"/>
      <c r="I5" s="341"/>
      <c r="J5" s="337" t="s">
        <v>302</v>
      </c>
      <c r="K5" s="336" t="s">
        <v>0</v>
      </c>
      <c r="L5" s="184"/>
    </row>
    <row r="6" spans="1:15" ht="37.5" customHeight="1">
      <c r="A6" s="336"/>
      <c r="B6" s="336"/>
      <c r="C6" s="338"/>
      <c r="D6" s="203" t="s">
        <v>236</v>
      </c>
      <c r="E6" s="205" t="s">
        <v>235</v>
      </c>
      <c r="F6" s="203" t="s">
        <v>234</v>
      </c>
      <c r="G6" s="203" t="s">
        <v>236</v>
      </c>
      <c r="H6" s="205" t="s">
        <v>235</v>
      </c>
      <c r="I6" s="203" t="s">
        <v>234</v>
      </c>
      <c r="J6" s="338"/>
      <c r="K6" s="336"/>
      <c r="L6" s="184"/>
    </row>
    <row r="7" spans="1:15">
      <c r="A7" s="281">
        <v>1</v>
      </c>
      <c r="B7" s="281">
        <v>2</v>
      </c>
      <c r="C7" s="281">
        <v>3</v>
      </c>
      <c r="D7" s="281">
        <v>4</v>
      </c>
      <c r="E7" s="282">
        <v>5</v>
      </c>
      <c r="F7" s="281">
        <v>6</v>
      </c>
      <c r="G7" s="281">
        <v>7</v>
      </c>
      <c r="H7" s="282">
        <v>8</v>
      </c>
      <c r="I7" s="281">
        <v>9</v>
      </c>
      <c r="J7" s="281">
        <v>10</v>
      </c>
      <c r="K7" s="281">
        <v>11</v>
      </c>
      <c r="L7" s="184"/>
    </row>
    <row r="8" spans="1:15" ht="24.75" customHeight="1">
      <c r="A8" s="204"/>
      <c r="B8" s="203" t="s">
        <v>7</v>
      </c>
      <c r="C8" s="202"/>
      <c r="D8" s="201"/>
      <c r="E8" s="199"/>
      <c r="F8" s="199">
        <f>+F9+F27+F50+F76</f>
        <v>513260500</v>
      </c>
      <c r="G8" s="200">
        <f>+G9+G27</f>
        <v>0</v>
      </c>
      <c r="H8" s="199">
        <f>+H9+H27</f>
        <v>0</v>
      </c>
      <c r="I8" s="199">
        <f>+I9+I27+I50+I76</f>
        <v>492555000</v>
      </c>
      <c r="J8" s="199">
        <f>+J9+J27+J50+J76</f>
        <v>-20705500</v>
      </c>
      <c r="K8" s="198"/>
      <c r="L8" s="184"/>
      <c r="O8" s="275"/>
    </row>
    <row r="9" spans="1:15" ht="33" customHeight="1">
      <c r="A9" s="197" t="s">
        <v>1</v>
      </c>
      <c r="B9" s="196" t="s">
        <v>233</v>
      </c>
      <c r="C9" s="195"/>
      <c r="D9" s="194"/>
      <c r="E9" s="192"/>
      <c r="F9" s="192">
        <f>F10+F26+F25</f>
        <v>90635000</v>
      </c>
      <c r="G9" s="193">
        <f>G10+G26+G25</f>
        <v>0</v>
      </c>
      <c r="H9" s="192">
        <f>H10+H26+H25</f>
        <v>0</v>
      </c>
      <c r="I9" s="192">
        <f>I10+I26+I25</f>
        <v>90235000</v>
      </c>
      <c r="J9" s="192">
        <f>I9-F9</f>
        <v>-400000</v>
      </c>
      <c r="K9" s="191" t="s">
        <v>232</v>
      </c>
      <c r="L9" s="184"/>
    </row>
    <row r="10" spans="1:15" s="187" customFormat="1" ht="30">
      <c r="A10" s="183">
        <v>1</v>
      </c>
      <c r="B10" s="182" t="s">
        <v>304</v>
      </c>
      <c r="C10" s="181"/>
      <c r="D10" s="180"/>
      <c r="E10" s="178"/>
      <c r="F10" s="178">
        <f>+F11+F12+F13+F17+F18+F19+F20+F21</f>
        <v>455490000</v>
      </c>
      <c r="G10" s="179"/>
      <c r="H10" s="178"/>
      <c r="I10" s="178">
        <f>+I11+I12+I13+I17+I18+I19+I20+I21</f>
        <v>455090000</v>
      </c>
      <c r="J10" s="178">
        <f>I10-F10</f>
        <v>-400000</v>
      </c>
      <c r="K10" s="183"/>
      <c r="L10" s="188"/>
    </row>
    <row r="11" spans="1:15" ht="27.75" customHeight="1">
      <c r="A11" s="175" t="s">
        <v>185</v>
      </c>
      <c r="B11" s="189" t="s">
        <v>231</v>
      </c>
      <c r="C11" s="166"/>
      <c r="D11" s="165"/>
      <c r="E11" s="164"/>
      <c r="F11" s="164">
        <v>53000000</v>
      </c>
      <c r="G11" s="186"/>
      <c r="H11" s="164"/>
      <c r="I11" s="164">
        <f>+F11</f>
        <v>53000000</v>
      </c>
      <c r="J11" s="164">
        <f t="shared" ref="J11:J26" si="0">+I11-F11</f>
        <v>0</v>
      </c>
      <c r="K11" s="163" t="s">
        <v>156</v>
      </c>
      <c r="L11" s="184"/>
    </row>
    <row r="12" spans="1:15" ht="27.75" customHeight="1">
      <c r="A12" s="175" t="s">
        <v>178</v>
      </c>
      <c r="B12" s="189" t="s">
        <v>230</v>
      </c>
      <c r="C12" s="166"/>
      <c r="D12" s="165"/>
      <c r="E12" s="164"/>
      <c r="F12" s="164">
        <v>20000000</v>
      </c>
      <c r="G12" s="186"/>
      <c r="H12" s="164"/>
      <c r="I12" s="164">
        <f>+F12</f>
        <v>20000000</v>
      </c>
      <c r="J12" s="164">
        <f t="shared" si="0"/>
        <v>0</v>
      </c>
      <c r="K12" s="163" t="s">
        <v>156</v>
      </c>
      <c r="L12" s="184"/>
    </row>
    <row r="13" spans="1:15" ht="27.75" customHeight="1">
      <c r="A13" s="175" t="s">
        <v>175</v>
      </c>
      <c r="B13" s="189" t="s">
        <v>229</v>
      </c>
      <c r="C13" s="166"/>
      <c r="D13" s="165"/>
      <c r="E13" s="164"/>
      <c r="F13" s="164">
        <f>SUM(F14:F16)</f>
        <v>70540000</v>
      </c>
      <c r="G13" s="186">
        <f>SUM(G14:G16)</f>
        <v>0</v>
      </c>
      <c r="H13" s="164">
        <f>SUM(H14:H16)</f>
        <v>0</v>
      </c>
      <c r="I13" s="164">
        <f>SUM(I14:I16)</f>
        <v>70540000</v>
      </c>
      <c r="J13" s="164">
        <f t="shared" si="0"/>
        <v>0</v>
      </c>
      <c r="K13" s="163"/>
      <c r="L13" s="184"/>
    </row>
    <row r="14" spans="1:15" ht="37" customHeight="1">
      <c r="A14" s="190" t="s">
        <v>8</v>
      </c>
      <c r="B14" s="189" t="s">
        <v>228</v>
      </c>
      <c r="C14" s="166"/>
      <c r="D14" s="165"/>
      <c r="E14" s="164"/>
      <c r="F14" s="164">
        <v>32740000</v>
      </c>
      <c r="G14" s="186"/>
      <c r="H14" s="164"/>
      <c r="I14" s="164">
        <f t="shared" ref="I14:I20" si="1">+F14</f>
        <v>32740000</v>
      </c>
      <c r="J14" s="164">
        <f t="shared" si="0"/>
        <v>0</v>
      </c>
      <c r="K14" s="332" t="s">
        <v>299</v>
      </c>
      <c r="L14" s="184"/>
    </row>
    <row r="15" spans="1:15" ht="27.75" customHeight="1">
      <c r="A15" s="190" t="s">
        <v>8</v>
      </c>
      <c r="B15" s="189" t="s">
        <v>227</v>
      </c>
      <c r="C15" s="166"/>
      <c r="D15" s="165"/>
      <c r="E15" s="164"/>
      <c r="F15" s="164">
        <v>18100000</v>
      </c>
      <c r="G15" s="186"/>
      <c r="H15" s="164"/>
      <c r="I15" s="164">
        <f t="shared" si="1"/>
        <v>18100000</v>
      </c>
      <c r="J15" s="164">
        <f t="shared" si="0"/>
        <v>0</v>
      </c>
      <c r="K15" s="332"/>
      <c r="L15" s="184"/>
    </row>
    <row r="16" spans="1:15" ht="27.75" customHeight="1">
      <c r="A16" s="190" t="s">
        <v>8</v>
      </c>
      <c r="B16" s="189" t="s">
        <v>226</v>
      </c>
      <c r="C16" s="166"/>
      <c r="D16" s="165"/>
      <c r="E16" s="164"/>
      <c r="F16" s="164">
        <v>19700000</v>
      </c>
      <c r="G16" s="186"/>
      <c r="H16" s="164"/>
      <c r="I16" s="164">
        <f t="shared" si="1"/>
        <v>19700000</v>
      </c>
      <c r="J16" s="164">
        <f t="shared" si="0"/>
        <v>0</v>
      </c>
      <c r="K16" s="332"/>
      <c r="L16" s="184"/>
    </row>
    <row r="17" spans="1:12" ht="37" customHeight="1">
      <c r="A17" s="175" t="s">
        <v>168</v>
      </c>
      <c r="B17" s="189" t="s">
        <v>225</v>
      </c>
      <c r="C17" s="166"/>
      <c r="D17" s="165"/>
      <c r="E17" s="164"/>
      <c r="F17" s="164">
        <v>5000000</v>
      </c>
      <c r="G17" s="186"/>
      <c r="H17" s="164"/>
      <c r="I17" s="164">
        <f t="shared" si="1"/>
        <v>5000000</v>
      </c>
      <c r="J17" s="164">
        <f t="shared" si="0"/>
        <v>0</v>
      </c>
      <c r="K17" s="332" t="s">
        <v>156</v>
      </c>
      <c r="L17" s="184"/>
    </row>
    <row r="18" spans="1:12" ht="33.65" customHeight="1">
      <c r="A18" s="175" t="s">
        <v>224</v>
      </c>
      <c r="B18" s="189" t="s">
        <v>223</v>
      </c>
      <c r="C18" s="166"/>
      <c r="D18" s="165"/>
      <c r="E18" s="164"/>
      <c r="F18" s="164">
        <v>48000000</v>
      </c>
      <c r="G18" s="186"/>
      <c r="H18" s="164"/>
      <c r="I18" s="164">
        <f t="shared" si="1"/>
        <v>48000000</v>
      </c>
      <c r="J18" s="164">
        <f t="shared" si="0"/>
        <v>0</v>
      </c>
      <c r="K18" s="332"/>
      <c r="L18" s="184"/>
    </row>
    <row r="19" spans="1:12" ht="52" customHeight="1">
      <c r="A19" s="175" t="s">
        <v>222</v>
      </c>
      <c r="B19" s="189" t="s">
        <v>221</v>
      </c>
      <c r="C19" s="166"/>
      <c r="D19" s="165"/>
      <c r="E19" s="164"/>
      <c r="F19" s="164">
        <v>75000000</v>
      </c>
      <c r="G19" s="186"/>
      <c r="H19" s="164"/>
      <c r="I19" s="164">
        <f t="shared" si="1"/>
        <v>75000000</v>
      </c>
      <c r="J19" s="164">
        <f t="shared" si="0"/>
        <v>0</v>
      </c>
      <c r="K19" s="163" t="s">
        <v>220</v>
      </c>
      <c r="L19" s="184"/>
    </row>
    <row r="20" spans="1:12" ht="24.75" customHeight="1">
      <c r="A20" s="175" t="s">
        <v>219</v>
      </c>
      <c r="B20" s="189" t="s">
        <v>218</v>
      </c>
      <c r="C20" s="166"/>
      <c r="D20" s="165"/>
      <c r="E20" s="164"/>
      <c r="F20" s="164">
        <v>180000000</v>
      </c>
      <c r="G20" s="186"/>
      <c r="H20" s="164"/>
      <c r="I20" s="164">
        <f t="shared" si="1"/>
        <v>180000000</v>
      </c>
      <c r="J20" s="164">
        <f t="shared" si="0"/>
        <v>0</v>
      </c>
      <c r="K20" s="163"/>
      <c r="L20" s="184"/>
    </row>
    <row r="21" spans="1:12" ht="22" customHeight="1">
      <c r="A21" s="175" t="s">
        <v>217</v>
      </c>
      <c r="B21" s="189" t="s">
        <v>216</v>
      </c>
      <c r="C21" s="166"/>
      <c r="D21" s="165"/>
      <c r="E21" s="164"/>
      <c r="F21" s="164">
        <f>SUM(F22:F24)</f>
        <v>3950000</v>
      </c>
      <c r="G21" s="186"/>
      <c r="H21" s="164"/>
      <c r="I21" s="164">
        <f>SUM(I22:I24)</f>
        <v>3550000</v>
      </c>
      <c r="J21" s="164">
        <f t="shared" si="0"/>
        <v>-400000</v>
      </c>
      <c r="K21" s="163"/>
      <c r="L21" s="184"/>
    </row>
    <row r="22" spans="1:12" ht="50.15" customHeight="1">
      <c r="A22" s="190" t="s">
        <v>8</v>
      </c>
      <c r="B22" s="189" t="s">
        <v>215</v>
      </c>
      <c r="C22" s="166" t="s">
        <v>214</v>
      </c>
      <c r="D22" s="165">
        <v>1</v>
      </c>
      <c r="E22" s="164">
        <v>1000000</v>
      </c>
      <c r="F22" s="164">
        <f>+D22*E22</f>
        <v>1000000</v>
      </c>
      <c r="G22" s="186">
        <v>1</v>
      </c>
      <c r="H22" s="164">
        <v>600000</v>
      </c>
      <c r="I22" s="164">
        <f>+G22*H22</f>
        <v>600000</v>
      </c>
      <c r="J22" s="164">
        <f t="shared" si="0"/>
        <v>-400000</v>
      </c>
      <c r="K22" s="163" t="s">
        <v>213</v>
      </c>
      <c r="L22" s="184"/>
    </row>
    <row r="23" spans="1:12" ht="23.25" customHeight="1">
      <c r="A23" s="190" t="s">
        <v>8</v>
      </c>
      <c r="B23" s="189" t="s">
        <v>212</v>
      </c>
      <c r="C23" s="166" t="s">
        <v>211</v>
      </c>
      <c r="D23" s="165">
        <v>10</v>
      </c>
      <c r="E23" s="164">
        <v>20000</v>
      </c>
      <c r="F23" s="164">
        <f>+D23*E23</f>
        <v>200000</v>
      </c>
      <c r="G23" s="186">
        <f>+D23</f>
        <v>10</v>
      </c>
      <c r="H23" s="164">
        <f>+E23</f>
        <v>20000</v>
      </c>
      <c r="I23" s="164">
        <f>+G23*H23</f>
        <v>200000</v>
      </c>
      <c r="J23" s="164">
        <f t="shared" si="0"/>
        <v>0</v>
      </c>
      <c r="K23" s="332" t="s">
        <v>210</v>
      </c>
      <c r="L23" s="184"/>
    </row>
    <row r="24" spans="1:12" ht="23.25" customHeight="1">
      <c r="A24" s="190" t="s">
        <v>8</v>
      </c>
      <c r="B24" s="189" t="s">
        <v>209</v>
      </c>
      <c r="C24" s="166" t="s">
        <v>208</v>
      </c>
      <c r="D24" s="165">
        <v>5</v>
      </c>
      <c r="E24" s="164">
        <v>550000</v>
      </c>
      <c r="F24" s="164">
        <f>+D24*E24</f>
        <v>2750000</v>
      </c>
      <c r="G24" s="186">
        <f>+D24</f>
        <v>5</v>
      </c>
      <c r="H24" s="164">
        <f>+E24</f>
        <v>550000</v>
      </c>
      <c r="I24" s="164">
        <f>+G24*H24</f>
        <v>2750000</v>
      </c>
      <c r="J24" s="164">
        <f t="shared" si="0"/>
        <v>0</v>
      </c>
      <c r="K24" s="332"/>
      <c r="L24" s="184"/>
    </row>
    <row r="25" spans="1:12" s="187" customFormat="1" ht="33.65" customHeight="1">
      <c r="A25" s="183">
        <v>2</v>
      </c>
      <c r="B25" s="182" t="s">
        <v>207</v>
      </c>
      <c r="C25" s="181"/>
      <c r="D25" s="180"/>
      <c r="E25" s="178"/>
      <c r="F25" s="178">
        <v>-175625000</v>
      </c>
      <c r="G25" s="179"/>
      <c r="H25" s="178"/>
      <c r="I25" s="178">
        <f>+F25</f>
        <v>-175625000</v>
      </c>
      <c r="J25" s="178">
        <f t="shared" si="0"/>
        <v>0</v>
      </c>
      <c r="K25" s="183"/>
      <c r="L25" s="188"/>
    </row>
    <row r="26" spans="1:12" s="187" customFormat="1" ht="26.25" customHeight="1">
      <c r="A26" s="183">
        <v>3</v>
      </c>
      <c r="B26" s="182" t="s">
        <v>189</v>
      </c>
      <c r="C26" s="181"/>
      <c r="D26" s="180"/>
      <c r="E26" s="178"/>
      <c r="F26" s="178">
        <v>-189230000</v>
      </c>
      <c r="G26" s="179"/>
      <c r="H26" s="178"/>
      <c r="I26" s="178">
        <f>+F26</f>
        <v>-189230000</v>
      </c>
      <c r="J26" s="178">
        <f t="shared" si="0"/>
        <v>0</v>
      </c>
      <c r="K26" s="183"/>
      <c r="L26" s="188"/>
    </row>
    <row r="27" spans="1:12" ht="33" customHeight="1">
      <c r="A27" s="183" t="s">
        <v>2</v>
      </c>
      <c r="B27" s="182" t="s">
        <v>206</v>
      </c>
      <c r="C27" s="181"/>
      <c r="D27" s="180"/>
      <c r="E27" s="178"/>
      <c r="F27" s="178">
        <f>F28+F49</f>
        <v>291920000</v>
      </c>
      <c r="G27" s="179"/>
      <c r="H27" s="178"/>
      <c r="I27" s="178">
        <f>I28+I49</f>
        <v>291920000</v>
      </c>
      <c r="J27" s="178">
        <f>I27-F27</f>
        <v>0</v>
      </c>
      <c r="K27" s="163"/>
      <c r="L27" s="184"/>
    </row>
    <row r="28" spans="1:12" ht="39.75" customHeight="1">
      <c r="A28" s="183">
        <v>1</v>
      </c>
      <c r="B28" s="182" t="s">
        <v>305</v>
      </c>
      <c r="C28" s="181"/>
      <c r="D28" s="180"/>
      <c r="E28" s="178"/>
      <c r="F28" s="178">
        <f>F29+F48</f>
        <v>1128720000</v>
      </c>
      <c r="G28" s="179"/>
      <c r="H28" s="178"/>
      <c r="I28" s="178">
        <f>I29+I48</f>
        <v>1128720000</v>
      </c>
      <c r="J28" s="178">
        <f>I28-F28</f>
        <v>0</v>
      </c>
      <c r="K28" s="163" t="s">
        <v>186</v>
      </c>
      <c r="L28" s="184"/>
    </row>
    <row r="29" spans="1:12" ht="21.75" customHeight="1">
      <c r="A29" s="168" t="s">
        <v>185</v>
      </c>
      <c r="B29" s="177" t="s">
        <v>205</v>
      </c>
      <c r="C29" s="172"/>
      <c r="D29" s="171">
        <f>SUM(D30:D47)</f>
        <v>582</v>
      </c>
      <c r="E29" s="169"/>
      <c r="F29" s="169">
        <f>SUM(F30:F47)</f>
        <v>1070520000</v>
      </c>
      <c r="G29" s="170">
        <f>SUM(G30:G47)</f>
        <v>582</v>
      </c>
      <c r="H29" s="169"/>
      <c r="I29" s="169">
        <f>SUM(I30:I47)</f>
        <v>1070520000</v>
      </c>
      <c r="J29" s="169">
        <f t="shared" ref="J29:J48" si="2">+I29-F29</f>
        <v>0</v>
      </c>
      <c r="K29" s="168"/>
      <c r="L29" s="184"/>
    </row>
    <row r="30" spans="1:12" ht="27.75" customHeight="1">
      <c r="A30" s="175" t="s">
        <v>9</v>
      </c>
      <c r="B30" s="174" t="s">
        <v>204</v>
      </c>
      <c r="C30" s="166" t="s">
        <v>191</v>
      </c>
      <c r="D30" s="165">
        <v>40</v>
      </c>
      <c r="E30" s="164">
        <v>710000</v>
      </c>
      <c r="F30" s="164">
        <f t="shared" ref="F30:F48" si="3">E30*D30</f>
        <v>28400000</v>
      </c>
      <c r="G30" s="186">
        <v>40</v>
      </c>
      <c r="H30" s="164">
        <v>710000</v>
      </c>
      <c r="I30" s="164">
        <f t="shared" ref="I30:I48" si="4">H30*G30</f>
        <v>28400000</v>
      </c>
      <c r="J30" s="164">
        <f t="shared" si="2"/>
        <v>0</v>
      </c>
      <c r="K30" s="163"/>
      <c r="L30" s="184"/>
    </row>
    <row r="31" spans="1:12" ht="36.65" customHeight="1">
      <c r="A31" s="175" t="s">
        <v>9</v>
      </c>
      <c r="B31" s="174" t="s">
        <v>203</v>
      </c>
      <c r="C31" s="166" t="s">
        <v>193</v>
      </c>
      <c r="D31" s="165">
        <v>10</v>
      </c>
      <c r="E31" s="164">
        <v>1410000</v>
      </c>
      <c r="F31" s="164">
        <f t="shared" si="3"/>
        <v>14100000</v>
      </c>
      <c r="G31" s="186">
        <v>10</v>
      </c>
      <c r="H31" s="164">
        <v>1410000</v>
      </c>
      <c r="I31" s="164">
        <f t="shared" si="4"/>
        <v>14100000</v>
      </c>
      <c r="J31" s="164">
        <f t="shared" si="2"/>
        <v>0</v>
      </c>
      <c r="K31" s="163"/>
      <c r="L31" s="184"/>
    </row>
    <row r="32" spans="1:12" ht="38.5" customHeight="1">
      <c r="A32" s="175" t="s">
        <v>9</v>
      </c>
      <c r="B32" s="174" t="s">
        <v>203</v>
      </c>
      <c r="C32" s="166" t="s">
        <v>191</v>
      </c>
      <c r="D32" s="165">
        <v>5</v>
      </c>
      <c r="E32" s="164">
        <v>710000</v>
      </c>
      <c r="F32" s="164">
        <f t="shared" si="3"/>
        <v>3550000</v>
      </c>
      <c r="G32" s="186">
        <v>5</v>
      </c>
      <c r="H32" s="164">
        <v>710000</v>
      </c>
      <c r="I32" s="164">
        <f t="shared" si="4"/>
        <v>3550000</v>
      </c>
      <c r="J32" s="164">
        <f t="shared" si="2"/>
        <v>0</v>
      </c>
      <c r="K32" s="163"/>
      <c r="L32" s="184"/>
    </row>
    <row r="33" spans="1:12" ht="27.65" customHeight="1">
      <c r="A33" s="175" t="s">
        <v>9</v>
      </c>
      <c r="B33" s="174" t="s">
        <v>202</v>
      </c>
      <c r="C33" s="166" t="s">
        <v>193</v>
      </c>
      <c r="D33" s="165">
        <v>5</v>
      </c>
      <c r="E33" s="164">
        <v>1410000</v>
      </c>
      <c r="F33" s="164">
        <f t="shared" si="3"/>
        <v>7050000</v>
      </c>
      <c r="G33" s="186">
        <v>5</v>
      </c>
      <c r="H33" s="164">
        <v>1410000</v>
      </c>
      <c r="I33" s="164">
        <f t="shared" si="4"/>
        <v>7050000</v>
      </c>
      <c r="J33" s="164">
        <f t="shared" si="2"/>
        <v>0</v>
      </c>
      <c r="K33" s="163"/>
      <c r="L33" s="184"/>
    </row>
    <row r="34" spans="1:12" ht="28.5" customHeight="1">
      <c r="A34" s="175" t="s">
        <v>9</v>
      </c>
      <c r="B34" s="174" t="s">
        <v>201</v>
      </c>
      <c r="C34" s="166" t="s">
        <v>191</v>
      </c>
      <c r="D34" s="165">
        <v>10</v>
      </c>
      <c r="E34" s="164">
        <v>710000</v>
      </c>
      <c r="F34" s="164">
        <f t="shared" si="3"/>
        <v>7100000</v>
      </c>
      <c r="G34" s="186">
        <v>10</v>
      </c>
      <c r="H34" s="164">
        <v>710000</v>
      </c>
      <c r="I34" s="164">
        <f t="shared" si="4"/>
        <v>7100000</v>
      </c>
      <c r="J34" s="164">
        <f t="shared" si="2"/>
        <v>0</v>
      </c>
      <c r="K34" s="163"/>
      <c r="L34" s="184"/>
    </row>
    <row r="35" spans="1:12" ht="36" customHeight="1">
      <c r="A35" s="175" t="s">
        <v>9</v>
      </c>
      <c r="B35" s="174" t="s">
        <v>200</v>
      </c>
      <c r="C35" s="166" t="s">
        <v>193</v>
      </c>
      <c r="D35" s="165">
        <v>5</v>
      </c>
      <c r="E35" s="164">
        <v>1410000</v>
      </c>
      <c r="F35" s="164">
        <f t="shared" si="3"/>
        <v>7050000</v>
      </c>
      <c r="G35" s="186">
        <v>5</v>
      </c>
      <c r="H35" s="164">
        <v>1410000</v>
      </c>
      <c r="I35" s="164">
        <f t="shared" si="4"/>
        <v>7050000</v>
      </c>
      <c r="J35" s="164">
        <f t="shared" si="2"/>
        <v>0</v>
      </c>
      <c r="K35" s="163"/>
      <c r="L35" s="184"/>
    </row>
    <row r="36" spans="1:12" ht="37" customHeight="1">
      <c r="A36" s="175" t="s">
        <v>9</v>
      </c>
      <c r="B36" s="174" t="s">
        <v>200</v>
      </c>
      <c r="C36" s="166" t="s">
        <v>191</v>
      </c>
      <c r="D36" s="165">
        <v>10</v>
      </c>
      <c r="E36" s="164">
        <v>710000</v>
      </c>
      <c r="F36" s="164">
        <f t="shared" si="3"/>
        <v>7100000</v>
      </c>
      <c r="G36" s="186">
        <v>10</v>
      </c>
      <c r="H36" s="164">
        <v>710000</v>
      </c>
      <c r="I36" s="164">
        <f t="shared" si="4"/>
        <v>7100000</v>
      </c>
      <c r="J36" s="164">
        <f t="shared" si="2"/>
        <v>0</v>
      </c>
      <c r="K36" s="163"/>
      <c r="L36" s="184"/>
    </row>
    <row r="37" spans="1:12" ht="28" customHeight="1">
      <c r="A37" s="175" t="s">
        <v>9</v>
      </c>
      <c r="B37" s="174" t="s">
        <v>199</v>
      </c>
      <c r="C37" s="166" t="s">
        <v>193</v>
      </c>
      <c r="D37" s="165">
        <v>5</v>
      </c>
      <c r="E37" s="164">
        <v>1410000</v>
      </c>
      <c r="F37" s="164">
        <f t="shared" si="3"/>
        <v>7050000</v>
      </c>
      <c r="G37" s="186">
        <v>5</v>
      </c>
      <c r="H37" s="164">
        <v>1410000</v>
      </c>
      <c r="I37" s="164">
        <f t="shared" si="4"/>
        <v>7050000</v>
      </c>
      <c r="J37" s="164">
        <f t="shared" si="2"/>
        <v>0</v>
      </c>
      <c r="K37" s="163"/>
      <c r="L37" s="184"/>
    </row>
    <row r="38" spans="1:12" ht="26.15" customHeight="1">
      <c r="A38" s="175" t="s">
        <v>9</v>
      </c>
      <c r="B38" s="174" t="s">
        <v>199</v>
      </c>
      <c r="C38" s="166" t="s">
        <v>191</v>
      </c>
      <c r="D38" s="165">
        <v>10</v>
      </c>
      <c r="E38" s="164">
        <v>710000</v>
      </c>
      <c r="F38" s="164">
        <f t="shared" si="3"/>
        <v>7100000</v>
      </c>
      <c r="G38" s="186">
        <v>10</v>
      </c>
      <c r="H38" s="164">
        <v>710000</v>
      </c>
      <c r="I38" s="164">
        <f t="shared" si="4"/>
        <v>7100000</v>
      </c>
      <c r="J38" s="164">
        <f t="shared" si="2"/>
        <v>0</v>
      </c>
      <c r="K38" s="163"/>
      <c r="L38" s="184"/>
    </row>
    <row r="39" spans="1:12" ht="29.15" customHeight="1">
      <c r="A39" s="175" t="s">
        <v>9</v>
      </c>
      <c r="B39" s="174" t="s">
        <v>198</v>
      </c>
      <c r="C39" s="166" t="s">
        <v>193</v>
      </c>
      <c r="D39" s="165">
        <v>10</v>
      </c>
      <c r="E39" s="164">
        <v>1410000</v>
      </c>
      <c r="F39" s="164">
        <f t="shared" si="3"/>
        <v>14100000</v>
      </c>
      <c r="G39" s="186">
        <v>10</v>
      </c>
      <c r="H39" s="164">
        <v>1410000</v>
      </c>
      <c r="I39" s="164">
        <f t="shared" si="4"/>
        <v>14100000</v>
      </c>
      <c r="J39" s="164">
        <f t="shared" si="2"/>
        <v>0</v>
      </c>
      <c r="K39" s="163"/>
      <c r="L39" s="184"/>
    </row>
    <row r="40" spans="1:12" ht="22" customHeight="1">
      <c r="A40" s="175" t="s">
        <v>9</v>
      </c>
      <c r="B40" s="174" t="s">
        <v>197</v>
      </c>
      <c r="C40" s="166" t="s">
        <v>193</v>
      </c>
      <c r="D40" s="165">
        <v>17</v>
      </c>
      <c r="E40" s="164">
        <v>1410000</v>
      </c>
      <c r="F40" s="164">
        <f t="shared" si="3"/>
        <v>23970000</v>
      </c>
      <c r="G40" s="186">
        <v>17</v>
      </c>
      <c r="H40" s="164">
        <v>1410000</v>
      </c>
      <c r="I40" s="164">
        <f t="shared" si="4"/>
        <v>23970000</v>
      </c>
      <c r="J40" s="164">
        <f t="shared" si="2"/>
        <v>0</v>
      </c>
      <c r="K40" s="163"/>
      <c r="L40" s="184"/>
    </row>
    <row r="41" spans="1:12" ht="25" customHeight="1">
      <c r="A41" s="175" t="s">
        <v>9</v>
      </c>
      <c r="B41" s="174" t="s">
        <v>197</v>
      </c>
      <c r="C41" s="166" t="s">
        <v>191</v>
      </c>
      <c r="D41" s="165">
        <v>17</v>
      </c>
      <c r="E41" s="164">
        <v>710000</v>
      </c>
      <c r="F41" s="164">
        <f t="shared" si="3"/>
        <v>12070000</v>
      </c>
      <c r="G41" s="186">
        <v>17</v>
      </c>
      <c r="H41" s="164">
        <v>710000</v>
      </c>
      <c r="I41" s="164">
        <f t="shared" si="4"/>
        <v>12070000</v>
      </c>
      <c r="J41" s="164">
        <f t="shared" si="2"/>
        <v>0</v>
      </c>
      <c r="K41" s="163"/>
      <c r="L41" s="184"/>
    </row>
    <row r="42" spans="1:12" ht="56.25" customHeight="1">
      <c r="A42" s="175" t="s">
        <v>9</v>
      </c>
      <c r="B42" s="174" t="s">
        <v>196</v>
      </c>
      <c r="C42" s="166" t="s">
        <v>193</v>
      </c>
      <c r="D42" s="165">
        <v>5</v>
      </c>
      <c r="E42" s="164">
        <v>1410000</v>
      </c>
      <c r="F42" s="164">
        <f t="shared" si="3"/>
        <v>7050000</v>
      </c>
      <c r="G42" s="186">
        <v>5</v>
      </c>
      <c r="H42" s="164">
        <v>1410000</v>
      </c>
      <c r="I42" s="164">
        <f t="shared" si="4"/>
        <v>7050000</v>
      </c>
      <c r="J42" s="164">
        <f t="shared" si="2"/>
        <v>0</v>
      </c>
      <c r="K42" s="163"/>
      <c r="L42" s="184"/>
    </row>
    <row r="43" spans="1:12" ht="52.5" customHeight="1">
      <c r="A43" s="175" t="s">
        <v>9</v>
      </c>
      <c r="B43" s="174" t="s">
        <v>196</v>
      </c>
      <c r="C43" s="166" t="s">
        <v>191</v>
      </c>
      <c r="D43" s="165">
        <v>10</v>
      </c>
      <c r="E43" s="164">
        <v>710000</v>
      </c>
      <c r="F43" s="164">
        <f t="shared" si="3"/>
        <v>7100000</v>
      </c>
      <c r="G43" s="186">
        <v>10</v>
      </c>
      <c r="H43" s="164">
        <v>710000</v>
      </c>
      <c r="I43" s="164">
        <f t="shared" si="4"/>
        <v>7100000</v>
      </c>
      <c r="J43" s="164">
        <f t="shared" si="2"/>
        <v>0</v>
      </c>
      <c r="K43" s="163"/>
      <c r="L43" s="184"/>
    </row>
    <row r="44" spans="1:12" ht="27.75" customHeight="1">
      <c r="A44" s="175" t="s">
        <v>9</v>
      </c>
      <c r="B44" s="174" t="s">
        <v>195</v>
      </c>
      <c r="C44" s="166" t="s">
        <v>193</v>
      </c>
      <c r="D44" s="165">
        <v>213</v>
      </c>
      <c r="E44" s="164">
        <v>3510000</v>
      </c>
      <c r="F44" s="164">
        <f t="shared" si="3"/>
        <v>747630000</v>
      </c>
      <c r="G44" s="186">
        <v>213</v>
      </c>
      <c r="H44" s="164">
        <v>3510000</v>
      </c>
      <c r="I44" s="164">
        <f t="shared" si="4"/>
        <v>747630000</v>
      </c>
      <c r="J44" s="164">
        <f t="shared" si="2"/>
        <v>0</v>
      </c>
      <c r="K44" s="163"/>
      <c r="L44" s="184"/>
    </row>
    <row r="45" spans="1:12" ht="31">
      <c r="A45" s="175" t="s">
        <v>9</v>
      </c>
      <c r="B45" s="167" t="s">
        <v>194</v>
      </c>
      <c r="C45" s="166" t="s">
        <v>191</v>
      </c>
      <c r="D45" s="165">
        <v>150</v>
      </c>
      <c r="E45" s="164">
        <v>710000</v>
      </c>
      <c r="F45" s="164">
        <f t="shared" si="3"/>
        <v>106500000</v>
      </c>
      <c r="G45" s="186">
        <v>150</v>
      </c>
      <c r="H45" s="164">
        <v>710000</v>
      </c>
      <c r="I45" s="164">
        <f t="shared" si="4"/>
        <v>106500000</v>
      </c>
      <c r="J45" s="164">
        <f t="shared" si="2"/>
        <v>0</v>
      </c>
      <c r="K45" s="163"/>
      <c r="L45" s="184"/>
    </row>
    <row r="46" spans="1:12" ht="39.65" customHeight="1">
      <c r="A46" s="175" t="s">
        <v>9</v>
      </c>
      <c r="B46" s="167" t="s">
        <v>192</v>
      </c>
      <c r="C46" s="166" t="s">
        <v>193</v>
      </c>
      <c r="D46" s="165">
        <v>30</v>
      </c>
      <c r="E46" s="164">
        <v>1410000</v>
      </c>
      <c r="F46" s="164">
        <f t="shared" si="3"/>
        <v>42300000</v>
      </c>
      <c r="G46" s="186">
        <v>30</v>
      </c>
      <c r="H46" s="164">
        <v>1410000</v>
      </c>
      <c r="I46" s="164">
        <f t="shared" si="4"/>
        <v>42300000</v>
      </c>
      <c r="J46" s="164">
        <f t="shared" si="2"/>
        <v>0</v>
      </c>
      <c r="K46" s="163"/>
      <c r="L46" s="184"/>
    </row>
    <row r="47" spans="1:12" ht="36" customHeight="1">
      <c r="A47" s="175" t="s">
        <v>9</v>
      </c>
      <c r="B47" s="167" t="s">
        <v>192</v>
      </c>
      <c r="C47" s="166" t="s">
        <v>191</v>
      </c>
      <c r="D47" s="165">
        <v>30</v>
      </c>
      <c r="E47" s="164">
        <v>710000</v>
      </c>
      <c r="F47" s="164">
        <f t="shared" si="3"/>
        <v>21300000</v>
      </c>
      <c r="G47" s="186">
        <v>30</v>
      </c>
      <c r="H47" s="164">
        <v>710000</v>
      </c>
      <c r="I47" s="164">
        <f t="shared" si="4"/>
        <v>21300000</v>
      </c>
      <c r="J47" s="164">
        <f t="shared" si="2"/>
        <v>0</v>
      </c>
      <c r="K47" s="163"/>
      <c r="L47" s="184"/>
    </row>
    <row r="48" spans="1:12" ht="21.75" customHeight="1">
      <c r="A48" s="168" t="s">
        <v>178</v>
      </c>
      <c r="B48" s="185" t="s">
        <v>190</v>
      </c>
      <c r="C48" s="172" t="s">
        <v>153</v>
      </c>
      <c r="D48" s="171">
        <v>582</v>
      </c>
      <c r="E48" s="169">
        <v>100000</v>
      </c>
      <c r="F48" s="169">
        <f t="shared" si="3"/>
        <v>58200000</v>
      </c>
      <c r="G48" s="170">
        <v>582</v>
      </c>
      <c r="H48" s="169">
        <v>100000</v>
      </c>
      <c r="I48" s="169">
        <f t="shared" si="4"/>
        <v>58200000</v>
      </c>
      <c r="J48" s="169">
        <f t="shared" si="2"/>
        <v>0</v>
      </c>
      <c r="K48" s="168"/>
      <c r="L48" s="184"/>
    </row>
    <row r="49" spans="1:12" ht="26.25" customHeight="1">
      <c r="A49" s="183">
        <v>2</v>
      </c>
      <c r="B49" s="182" t="s">
        <v>189</v>
      </c>
      <c r="C49" s="181"/>
      <c r="D49" s="180"/>
      <c r="E49" s="178"/>
      <c r="F49" s="178">
        <v>-836800000</v>
      </c>
      <c r="G49" s="179"/>
      <c r="H49" s="178"/>
      <c r="I49" s="178">
        <f>+F49</f>
        <v>-836800000</v>
      </c>
      <c r="J49" s="178">
        <f>I49-F49</f>
        <v>0</v>
      </c>
      <c r="K49" s="183"/>
      <c r="L49" s="184"/>
    </row>
    <row r="50" spans="1:12" ht="31.5" customHeight="1">
      <c r="A50" s="183" t="s">
        <v>3</v>
      </c>
      <c r="B50" s="182" t="s">
        <v>188</v>
      </c>
      <c r="C50" s="181"/>
      <c r="D50" s="180"/>
      <c r="E50" s="178"/>
      <c r="F50" s="178">
        <f>F51</f>
        <v>103900000</v>
      </c>
      <c r="G50" s="179"/>
      <c r="H50" s="178"/>
      <c r="I50" s="178">
        <f>I51</f>
        <v>102300000</v>
      </c>
      <c r="J50" s="178">
        <f>I50-F50</f>
        <v>-1600000</v>
      </c>
      <c r="K50" s="163"/>
    </row>
    <row r="51" spans="1:12">
      <c r="A51" s="183">
        <v>1</v>
      </c>
      <c r="B51" s="182" t="s">
        <v>187</v>
      </c>
      <c r="C51" s="181"/>
      <c r="D51" s="180"/>
      <c r="E51" s="178"/>
      <c r="F51" s="178">
        <f>F52+F55+F61+F66</f>
        <v>103900000</v>
      </c>
      <c r="G51" s="179"/>
      <c r="H51" s="178"/>
      <c r="I51" s="178">
        <f>I52+I55+I61+I66</f>
        <v>102300000</v>
      </c>
      <c r="J51" s="178">
        <f>J52+J55+J61+J66</f>
        <v>-1600000</v>
      </c>
      <c r="K51" s="163" t="s">
        <v>186</v>
      </c>
    </row>
    <row r="52" spans="1:12">
      <c r="A52" s="168" t="s">
        <v>185</v>
      </c>
      <c r="B52" s="177" t="s">
        <v>184</v>
      </c>
      <c r="C52" s="172"/>
      <c r="D52" s="171"/>
      <c r="E52" s="169"/>
      <c r="F52" s="169">
        <f>SUM(F53:F54)</f>
        <v>66000000</v>
      </c>
      <c r="G52" s="170"/>
      <c r="H52" s="169"/>
      <c r="I52" s="169">
        <f>SUM(I53:I54)</f>
        <v>66000000</v>
      </c>
      <c r="J52" s="169">
        <f t="shared" ref="J52:J75" si="5">+I52-F52</f>
        <v>0</v>
      </c>
      <c r="K52" s="168"/>
    </row>
    <row r="53" spans="1:12" ht="56.5" customHeight="1">
      <c r="A53" s="175" t="s">
        <v>9</v>
      </c>
      <c r="B53" s="174" t="s">
        <v>183</v>
      </c>
      <c r="C53" s="166" t="s">
        <v>182</v>
      </c>
      <c r="D53" s="165">
        <v>23.8</v>
      </c>
      <c r="E53" s="164">
        <v>2340000</v>
      </c>
      <c r="F53" s="164">
        <f>ROUNDDOWN(E53*D53,-6)</f>
        <v>55000000</v>
      </c>
      <c r="G53" s="165">
        <v>23.8</v>
      </c>
      <c r="H53" s="164">
        <v>2340000</v>
      </c>
      <c r="I53" s="164">
        <f>ROUNDDOWN(H53*G53,-6)</f>
        <v>55000000</v>
      </c>
      <c r="J53" s="164">
        <f t="shared" si="5"/>
        <v>0</v>
      </c>
      <c r="K53" s="163" t="s">
        <v>181</v>
      </c>
    </row>
    <row r="54" spans="1:12" ht="42" customHeight="1">
      <c r="A54" s="175" t="s">
        <v>9</v>
      </c>
      <c r="B54" s="174" t="s">
        <v>180</v>
      </c>
      <c r="C54" s="166"/>
      <c r="D54" s="176">
        <v>0.2</v>
      </c>
      <c r="E54" s="164">
        <v>55000000</v>
      </c>
      <c r="F54" s="164">
        <f>E54*D54</f>
        <v>11000000</v>
      </c>
      <c r="G54" s="176">
        <v>0.2</v>
      </c>
      <c r="H54" s="164">
        <f>I53</f>
        <v>55000000</v>
      </c>
      <c r="I54" s="164">
        <f>ROUNDDOWN(H54*G54,-3)</f>
        <v>11000000</v>
      </c>
      <c r="J54" s="164">
        <f t="shared" si="5"/>
        <v>0</v>
      </c>
      <c r="K54" s="163" t="s">
        <v>179</v>
      </c>
    </row>
    <row r="55" spans="1:12" ht="28" customHeight="1">
      <c r="A55" s="168" t="s">
        <v>178</v>
      </c>
      <c r="B55" s="173" t="s">
        <v>177</v>
      </c>
      <c r="C55" s="172"/>
      <c r="D55" s="171"/>
      <c r="E55" s="169"/>
      <c r="F55" s="169">
        <f>SUM(F56:F60)</f>
        <v>9440000</v>
      </c>
      <c r="G55" s="170"/>
      <c r="H55" s="169"/>
      <c r="I55" s="169">
        <f>SUM(I56:I60)</f>
        <v>9440000</v>
      </c>
      <c r="J55" s="169">
        <f t="shared" si="5"/>
        <v>0</v>
      </c>
      <c r="K55" s="168"/>
    </row>
    <row r="56" spans="1:12" ht="27" customHeight="1">
      <c r="A56" s="175" t="s">
        <v>9</v>
      </c>
      <c r="B56" s="174" t="s">
        <v>173</v>
      </c>
      <c r="C56" s="166" t="s">
        <v>151</v>
      </c>
      <c r="D56" s="165">
        <v>1</v>
      </c>
      <c r="E56" s="164">
        <v>500000</v>
      </c>
      <c r="F56" s="164">
        <f>E56*D56</f>
        <v>500000</v>
      </c>
      <c r="G56" s="165">
        <v>1</v>
      </c>
      <c r="H56" s="164">
        <v>500000</v>
      </c>
      <c r="I56" s="164">
        <f>H56*G56</f>
        <v>500000</v>
      </c>
      <c r="J56" s="164">
        <f t="shared" si="5"/>
        <v>0</v>
      </c>
      <c r="K56" s="332" t="s">
        <v>320</v>
      </c>
    </row>
    <row r="57" spans="1:12" ht="25" customHeight="1">
      <c r="A57" s="175" t="s">
        <v>9</v>
      </c>
      <c r="B57" s="174" t="s">
        <v>172</v>
      </c>
      <c r="C57" s="166" t="s">
        <v>151</v>
      </c>
      <c r="D57" s="165">
        <v>1</v>
      </c>
      <c r="E57" s="164">
        <v>120000</v>
      </c>
      <c r="F57" s="164">
        <f>E57*D57</f>
        <v>120000</v>
      </c>
      <c r="G57" s="165">
        <v>1</v>
      </c>
      <c r="H57" s="164">
        <v>120000</v>
      </c>
      <c r="I57" s="164">
        <f>H57*G57</f>
        <v>120000</v>
      </c>
      <c r="J57" s="164">
        <f t="shared" si="5"/>
        <v>0</v>
      </c>
      <c r="K57" s="332"/>
    </row>
    <row r="58" spans="1:12" ht="36.75" customHeight="1">
      <c r="A58" s="175" t="s">
        <v>9</v>
      </c>
      <c r="B58" s="174" t="s">
        <v>171</v>
      </c>
      <c r="C58" s="166" t="s">
        <v>151</v>
      </c>
      <c r="D58" s="165">
        <v>10</v>
      </c>
      <c r="E58" s="164">
        <v>350000</v>
      </c>
      <c r="F58" s="164">
        <f>E58*D58</f>
        <v>3500000</v>
      </c>
      <c r="G58" s="165">
        <v>10</v>
      </c>
      <c r="H58" s="164">
        <v>350000</v>
      </c>
      <c r="I58" s="164">
        <f>H58*G58</f>
        <v>3500000</v>
      </c>
      <c r="J58" s="164">
        <f t="shared" si="5"/>
        <v>0</v>
      </c>
      <c r="K58" s="332"/>
    </row>
    <row r="59" spans="1:12" ht="25.5" customHeight="1">
      <c r="A59" s="175" t="s">
        <v>9</v>
      </c>
      <c r="B59" s="174" t="s">
        <v>176</v>
      </c>
      <c r="C59" s="166" t="s">
        <v>151</v>
      </c>
      <c r="D59" s="165">
        <v>16</v>
      </c>
      <c r="E59" s="164">
        <v>70000</v>
      </c>
      <c r="F59" s="164">
        <f>E59*D59</f>
        <v>1120000</v>
      </c>
      <c r="G59" s="165">
        <v>16</v>
      </c>
      <c r="H59" s="164">
        <v>70000</v>
      </c>
      <c r="I59" s="164">
        <f>H59*G59</f>
        <v>1120000</v>
      </c>
      <c r="J59" s="164">
        <f t="shared" si="5"/>
        <v>0</v>
      </c>
      <c r="K59" s="332"/>
    </row>
    <row r="60" spans="1:12" ht="43.5" customHeight="1">
      <c r="A60" s="175" t="s">
        <v>9</v>
      </c>
      <c r="B60" s="174" t="s">
        <v>170</v>
      </c>
      <c r="C60" s="166" t="s">
        <v>151</v>
      </c>
      <c r="D60" s="165">
        <v>28</v>
      </c>
      <c r="E60" s="164">
        <v>150000</v>
      </c>
      <c r="F60" s="164">
        <f>E60*D60</f>
        <v>4200000</v>
      </c>
      <c r="G60" s="165">
        <v>28</v>
      </c>
      <c r="H60" s="164">
        <v>150000</v>
      </c>
      <c r="I60" s="164">
        <f>H60*G60</f>
        <v>4200000</v>
      </c>
      <c r="J60" s="164">
        <f t="shared" si="5"/>
        <v>0</v>
      </c>
      <c r="K60" s="163" t="s">
        <v>169</v>
      </c>
    </row>
    <row r="61" spans="1:12" ht="28.5" customHeight="1">
      <c r="A61" s="168" t="s">
        <v>175</v>
      </c>
      <c r="B61" s="173" t="s">
        <v>174</v>
      </c>
      <c r="C61" s="172"/>
      <c r="D61" s="171"/>
      <c r="E61" s="169"/>
      <c r="F61" s="169">
        <f>SUM(F62:F65)</f>
        <v>5920000</v>
      </c>
      <c r="G61" s="170"/>
      <c r="H61" s="169"/>
      <c r="I61" s="169">
        <f>SUM(I62:I65)</f>
        <v>5920000</v>
      </c>
      <c r="J61" s="169">
        <f t="shared" si="5"/>
        <v>0</v>
      </c>
      <c r="K61" s="168"/>
    </row>
    <row r="62" spans="1:12" ht="24" customHeight="1">
      <c r="A62" s="175" t="s">
        <v>9</v>
      </c>
      <c r="B62" s="174" t="s">
        <v>173</v>
      </c>
      <c r="C62" s="166" t="s">
        <v>151</v>
      </c>
      <c r="D62" s="165">
        <v>1</v>
      </c>
      <c r="E62" s="164">
        <v>500000</v>
      </c>
      <c r="F62" s="164">
        <f>E62*D62</f>
        <v>500000</v>
      </c>
      <c r="G62" s="165">
        <v>1</v>
      </c>
      <c r="H62" s="164">
        <v>500000</v>
      </c>
      <c r="I62" s="164">
        <f>H62*G62</f>
        <v>500000</v>
      </c>
      <c r="J62" s="164">
        <f t="shared" si="5"/>
        <v>0</v>
      </c>
      <c r="K62" s="332" t="s">
        <v>320</v>
      </c>
    </row>
    <row r="63" spans="1:12" ht="25.5" customHeight="1">
      <c r="A63" s="175" t="s">
        <v>9</v>
      </c>
      <c r="B63" s="174" t="s">
        <v>172</v>
      </c>
      <c r="C63" s="166" t="s">
        <v>151</v>
      </c>
      <c r="D63" s="165">
        <v>1</v>
      </c>
      <c r="E63" s="164">
        <v>120000</v>
      </c>
      <c r="F63" s="164">
        <f>E63*D63</f>
        <v>120000</v>
      </c>
      <c r="G63" s="165">
        <v>1</v>
      </c>
      <c r="H63" s="164">
        <v>120000</v>
      </c>
      <c r="I63" s="164">
        <f>H63*G63</f>
        <v>120000</v>
      </c>
      <c r="J63" s="164">
        <f t="shared" si="5"/>
        <v>0</v>
      </c>
      <c r="K63" s="332"/>
    </row>
    <row r="64" spans="1:12" ht="31.5" customHeight="1">
      <c r="A64" s="175" t="s">
        <v>9</v>
      </c>
      <c r="B64" s="174" t="s">
        <v>171</v>
      </c>
      <c r="C64" s="166" t="s">
        <v>151</v>
      </c>
      <c r="D64" s="165">
        <v>10</v>
      </c>
      <c r="E64" s="164">
        <v>350000</v>
      </c>
      <c r="F64" s="164">
        <f>E64*D64</f>
        <v>3500000</v>
      </c>
      <c r="G64" s="165">
        <v>10</v>
      </c>
      <c r="H64" s="164">
        <v>350000</v>
      </c>
      <c r="I64" s="164">
        <f>H64*G64</f>
        <v>3500000</v>
      </c>
      <c r="J64" s="164">
        <f t="shared" si="5"/>
        <v>0</v>
      </c>
      <c r="K64" s="332"/>
    </row>
    <row r="65" spans="1:15" ht="37" customHeight="1">
      <c r="A65" s="175" t="s">
        <v>9</v>
      </c>
      <c r="B65" s="174" t="s">
        <v>170</v>
      </c>
      <c r="C65" s="166" t="s">
        <v>151</v>
      </c>
      <c r="D65" s="165">
        <v>12</v>
      </c>
      <c r="E65" s="164">
        <v>150000</v>
      </c>
      <c r="F65" s="164">
        <f>E65*D65</f>
        <v>1800000</v>
      </c>
      <c r="G65" s="165">
        <v>12</v>
      </c>
      <c r="H65" s="164">
        <v>150000</v>
      </c>
      <c r="I65" s="164">
        <f>H65*G65</f>
        <v>1800000</v>
      </c>
      <c r="J65" s="164">
        <f t="shared" si="5"/>
        <v>0</v>
      </c>
      <c r="K65" s="163" t="s">
        <v>169</v>
      </c>
    </row>
    <row r="66" spans="1:15">
      <c r="A66" s="168" t="s">
        <v>168</v>
      </c>
      <c r="B66" s="173" t="s">
        <v>167</v>
      </c>
      <c r="C66" s="172"/>
      <c r="D66" s="171"/>
      <c r="E66" s="169"/>
      <c r="F66" s="169">
        <f>SUM(F67:F75)</f>
        <v>22540000</v>
      </c>
      <c r="G66" s="170"/>
      <c r="H66" s="169"/>
      <c r="I66" s="169">
        <f>SUM(I67:I75)</f>
        <v>20940000</v>
      </c>
      <c r="J66" s="169">
        <f>+I66-F66</f>
        <v>-1600000</v>
      </c>
      <c r="K66" s="168"/>
    </row>
    <row r="67" spans="1:15" ht="42" customHeight="1">
      <c r="A67" s="175" t="s">
        <v>9</v>
      </c>
      <c r="B67" s="167" t="s">
        <v>166</v>
      </c>
      <c r="C67" s="166" t="s">
        <v>300</v>
      </c>
      <c r="D67" s="165">
        <v>180</v>
      </c>
      <c r="E67" s="164">
        <v>60000</v>
      </c>
      <c r="F67" s="164">
        <f t="shared" ref="F67:F75" si="6">E67*D67</f>
        <v>10800000</v>
      </c>
      <c r="G67" s="165">
        <v>180</v>
      </c>
      <c r="H67" s="164">
        <v>60000</v>
      </c>
      <c r="I67" s="164">
        <f t="shared" ref="I67:I75" si="7">H67*G67</f>
        <v>10800000</v>
      </c>
      <c r="J67" s="164">
        <f>+I67-F67</f>
        <v>0</v>
      </c>
      <c r="K67" s="222" t="s">
        <v>246</v>
      </c>
    </row>
    <row r="68" spans="1:15" ht="42" customHeight="1">
      <c r="A68" s="175" t="s">
        <v>9</v>
      </c>
      <c r="B68" s="167" t="s">
        <v>165</v>
      </c>
      <c r="C68" s="166" t="s">
        <v>300</v>
      </c>
      <c r="D68" s="165">
        <v>18</v>
      </c>
      <c r="E68" s="164">
        <v>80000</v>
      </c>
      <c r="F68" s="164">
        <f t="shared" si="6"/>
        <v>1440000</v>
      </c>
      <c r="G68" s="165">
        <v>18</v>
      </c>
      <c r="H68" s="164">
        <v>80000</v>
      </c>
      <c r="I68" s="164">
        <f t="shared" si="7"/>
        <v>1440000</v>
      </c>
      <c r="J68" s="164">
        <f t="shared" si="5"/>
        <v>0</v>
      </c>
      <c r="K68" s="222" t="s">
        <v>247</v>
      </c>
    </row>
    <row r="69" spans="1:15" ht="31">
      <c r="A69" s="175" t="s">
        <v>9</v>
      </c>
      <c r="B69" s="167" t="s">
        <v>164</v>
      </c>
      <c r="C69" s="166" t="s">
        <v>163</v>
      </c>
      <c r="D69" s="165">
        <v>5</v>
      </c>
      <c r="E69" s="164">
        <v>400000</v>
      </c>
      <c r="F69" s="164">
        <f t="shared" si="6"/>
        <v>2000000</v>
      </c>
      <c r="G69" s="165">
        <v>5</v>
      </c>
      <c r="H69" s="164">
        <v>400000</v>
      </c>
      <c r="I69" s="164">
        <f t="shared" si="7"/>
        <v>2000000</v>
      </c>
      <c r="J69" s="164">
        <f t="shared" si="5"/>
        <v>0</v>
      </c>
      <c r="K69" s="163"/>
    </row>
    <row r="70" spans="1:15" ht="28.5" customHeight="1">
      <c r="A70" s="175" t="s">
        <v>9</v>
      </c>
      <c r="B70" s="167" t="s">
        <v>162</v>
      </c>
      <c r="C70" s="166" t="s">
        <v>161</v>
      </c>
      <c r="D70" s="165">
        <v>5</v>
      </c>
      <c r="E70" s="164">
        <v>120000</v>
      </c>
      <c r="F70" s="164">
        <f t="shared" si="6"/>
        <v>600000</v>
      </c>
      <c r="G70" s="165">
        <v>5</v>
      </c>
      <c r="H70" s="164">
        <v>120000</v>
      </c>
      <c r="I70" s="164">
        <f t="shared" si="7"/>
        <v>600000</v>
      </c>
      <c r="J70" s="164">
        <f t="shared" si="5"/>
        <v>0</v>
      </c>
      <c r="K70" s="163"/>
    </row>
    <row r="71" spans="1:15" ht="25.5" customHeight="1">
      <c r="A71" s="175" t="s">
        <v>9</v>
      </c>
      <c r="B71" s="167" t="s">
        <v>160</v>
      </c>
      <c r="C71" s="166" t="s">
        <v>159</v>
      </c>
      <c r="D71" s="165">
        <v>2</v>
      </c>
      <c r="E71" s="164">
        <v>950000</v>
      </c>
      <c r="F71" s="164">
        <f t="shared" si="6"/>
        <v>1900000</v>
      </c>
      <c r="G71" s="165">
        <v>2</v>
      </c>
      <c r="H71" s="164">
        <v>950000</v>
      </c>
      <c r="I71" s="164">
        <f t="shared" si="7"/>
        <v>1900000</v>
      </c>
      <c r="J71" s="164">
        <f t="shared" si="5"/>
        <v>0</v>
      </c>
      <c r="K71" s="163"/>
    </row>
    <row r="72" spans="1:15" ht="35.15" customHeight="1">
      <c r="A72" s="175" t="s">
        <v>9</v>
      </c>
      <c r="B72" s="167" t="s">
        <v>158</v>
      </c>
      <c r="C72" s="166" t="s">
        <v>157</v>
      </c>
      <c r="D72" s="165">
        <v>2</v>
      </c>
      <c r="E72" s="164">
        <v>1000000</v>
      </c>
      <c r="F72" s="164">
        <f t="shared" si="6"/>
        <v>2000000</v>
      </c>
      <c r="G72" s="165">
        <v>2</v>
      </c>
      <c r="H72" s="164">
        <v>200000</v>
      </c>
      <c r="I72" s="164">
        <f t="shared" si="7"/>
        <v>400000</v>
      </c>
      <c r="J72" s="164">
        <f t="shared" si="5"/>
        <v>-1600000</v>
      </c>
      <c r="K72" s="163" t="s">
        <v>245</v>
      </c>
    </row>
    <row r="73" spans="1:15" ht="21" customHeight="1">
      <c r="A73" s="175" t="s">
        <v>9</v>
      </c>
      <c r="B73" s="167" t="s">
        <v>155</v>
      </c>
      <c r="C73" s="166" t="s">
        <v>153</v>
      </c>
      <c r="D73" s="165">
        <v>18</v>
      </c>
      <c r="E73" s="164">
        <v>100000</v>
      </c>
      <c r="F73" s="164">
        <f t="shared" si="6"/>
        <v>1800000</v>
      </c>
      <c r="G73" s="165">
        <v>18</v>
      </c>
      <c r="H73" s="164">
        <v>100000</v>
      </c>
      <c r="I73" s="164">
        <f t="shared" si="7"/>
        <v>1800000</v>
      </c>
      <c r="J73" s="164">
        <f t="shared" si="5"/>
        <v>0</v>
      </c>
      <c r="K73" s="163"/>
    </row>
    <row r="74" spans="1:15" ht="23.5" customHeight="1">
      <c r="A74" s="175" t="s">
        <v>9</v>
      </c>
      <c r="B74" s="167" t="s">
        <v>154</v>
      </c>
      <c r="C74" s="166" t="s">
        <v>153</v>
      </c>
      <c r="D74" s="165">
        <v>10</v>
      </c>
      <c r="E74" s="164">
        <v>20000</v>
      </c>
      <c r="F74" s="164">
        <f t="shared" si="6"/>
        <v>200000</v>
      </c>
      <c r="G74" s="165">
        <v>10</v>
      </c>
      <c r="H74" s="164">
        <v>20000</v>
      </c>
      <c r="I74" s="164">
        <f t="shared" si="7"/>
        <v>200000</v>
      </c>
      <c r="J74" s="164">
        <f t="shared" si="5"/>
        <v>0</v>
      </c>
      <c r="K74" s="163"/>
    </row>
    <row r="75" spans="1:15" ht="22.5" customHeight="1">
      <c r="A75" s="175" t="s">
        <v>9</v>
      </c>
      <c r="B75" s="167" t="s">
        <v>152</v>
      </c>
      <c r="C75" s="166" t="s">
        <v>151</v>
      </c>
      <c r="D75" s="165">
        <v>18</v>
      </c>
      <c r="E75" s="164">
        <v>100000</v>
      </c>
      <c r="F75" s="164">
        <f t="shared" si="6"/>
        <v>1800000</v>
      </c>
      <c r="G75" s="165">
        <v>18</v>
      </c>
      <c r="H75" s="164">
        <v>100000</v>
      </c>
      <c r="I75" s="164">
        <f t="shared" si="7"/>
        <v>1800000</v>
      </c>
      <c r="J75" s="164">
        <f t="shared" si="5"/>
        <v>0</v>
      </c>
      <c r="K75" s="163"/>
    </row>
    <row r="76" spans="1:15" ht="23.15" customHeight="1">
      <c r="A76" s="183" t="s">
        <v>5</v>
      </c>
      <c r="B76" s="182" t="s">
        <v>277</v>
      </c>
      <c r="C76" s="181"/>
      <c r="D76" s="180"/>
      <c r="E76" s="178"/>
      <c r="F76" s="178">
        <f>F77+F83+F84</f>
        <v>26805500</v>
      </c>
      <c r="G76" s="179"/>
      <c r="H76" s="178"/>
      <c r="I76" s="178">
        <f>I77+I83+I84</f>
        <v>8100000</v>
      </c>
      <c r="J76" s="178">
        <f>J77+J83+J84</f>
        <v>-18705500</v>
      </c>
      <c r="K76" s="264"/>
      <c r="O76" s="275"/>
    </row>
    <row r="77" spans="1:15">
      <c r="A77" s="270">
        <v>1</v>
      </c>
      <c r="B77" s="271" t="s">
        <v>278</v>
      </c>
      <c r="C77" s="272"/>
      <c r="D77" s="273"/>
      <c r="E77" s="274"/>
      <c r="F77" s="274">
        <f>SUM(F78:F82)</f>
        <v>8200000</v>
      </c>
      <c r="G77" s="273"/>
      <c r="H77" s="274"/>
      <c r="I77" s="274">
        <f>SUM(I78:I82)</f>
        <v>8100000</v>
      </c>
      <c r="J77" s="274">
        <f>I77-F77</f>
        <v>-100000</v>
      </c>
      <c r="K77" s="265" t="s">
        <v>290</v>
      </c>
    </row>
    <row r="78" spans="1:15" ht="23.15" customHeight="1">
      <c r="A78" s="265" t="s">
        <v>185</v>
      </c>
      <c r="B78" s="266" t="s">
        <v>279</v>
      </c>
      <c r="C78" s="267" t="s">
        <v>159</v>
      </c>
      <c r="D78" s="268">
        <v>4</v>
      </c>
      <c r="E78" s="269">
        <v>500000</v>
      </c>
      <c r="F78" s="164">
        <f t="shared" ref="F78" si="8">E78*D78</f>
        <v>2000000</v>
      </c>
      <c r="G78" s="268">
        <v>4</v>
      </c>
      <c r="H78" s="269">
        <v>500000</v>
      </c>
      <c r="I78" s="164">
        <f t="shared" ref="I78:I82" si="9">H78*G78</f>
        <v>2000000</v>
      </c>
      <c r="J78" s="164">
        <f t="shared" ref="J78:J82" si="10">+I78-F78</f>
        <v>0</v>
      </c>
      <c r="K78" s="265" t="s">
        <v>210</v>
      </c>
    </row>
    <row r="79" spans="1:15" ht="22" customHeight="1">
      <c r="A79" s="265" t="s">
        <v>178</v>
      </c>
      <c r="B79" s="266" t="s">
        <v>301</v>
      </c>
      <c r="C79" s="267" t="s">
        <v>159</v>
      </c>
      <c r="D79" s="268">
        <v>1</v>
      </c>
      <c r="E79" s="269">
        <v>500000</v>
      </c>
      <c r="F79" s="164">
        <f t="shared" ref="F79" si="11">E79*D79</f>
        <v>500000</v>
      </c>
      <c r="G79" s="268">
        <v>1</v>
      </c>
      <c r="H79" s="269">
        <v>500000</v>
      </c>
      <c r="I79" s="164">
        <f t="shared" si="9"/>
        <v>500000</v>
      </c>
      <c r="J79" s="164">
        <f t="shared" si="10"/>
        <v>0</v>
      </c>
      <c r="K79" s="265" t="s">
        <v>210</v>
      </c>
    </row>
    <row r="80" spans="1:15" ht="36" customHeight="1">
      <c r="A80" s="265" t="s">
        <v>175</v>
      </c>
      <c r="B80" s="266" t="s">
        <v>280</v>
      </c>
      <c r="C80" s="267" t="s">
        <v>283</v>
      </c>
      <c r="D80" s="268">
        <v>500</v>
      </c>
      <c r="E80" s="269">
        <v>10000</v>
      </c>
      <c r="F80" s="164">
        <f t="shared" ref="F80" si="12">E80*D80</f>
        <v>5000000</v>
      </c>
      <c r="G80" s="268">
        <v>500</v>
      </c>
      <c r="H80" s="269">
        <v>10000</v>
      </c>
      <c r="I80" s="164">
        <f t="shared" si="9"/>
        <v>5000000</v>
      </c>
      <c r="J80" s="164">
        <f t="shared" si="10"/>
        <v>0</v>
      </c>
      <c r="K80" s="265" t="s">
        <v>285</v>
      </c>
    </row>
    <row r="81" spans="1:11" ht="22.5" customHeight="1">
      <c r="A81" s="265" t="s">
        <v>168</v>
      </c>
      <c r="B81" s="266" t="s">
        <v>281</v>
      </c>
      <c r="C81" s="267" t="s">
        <v>159</v>
      </c>
      <c r="D81" s="268">
        <v>60</v>
      </c>
      <c r="E81" s="269">
        <v>5000</v>
      </c>
      <c r="F81" s="164">
        <f t="shared" ref="F81" si="13">E81*D81</f>
        <v>300000</v>
      </c>
      <c r="G81" s="268">
        <v>60</v>
      </c>
      <c r="H81" s="269">
        <v>5000</v>
      </c>
      <c r="I81" s="164">
        <f t="shared" si="9"/>
        <v>300000</v>
      </c>
      <c r="J81" s="164">
        <f t="shared" si="10"/>
        <v>0</v>
      </c>
      <c r="K81" s="265" t="s">
        <v>210</v>
      </c>
    </row>
    <row r="82" spans="1:11" ht="26.15" customHeight="1">
      <c r="A82" s="265" t="s">
        <v>224</v>
      </c>
      <c r="B82" s="266" t="s">
        <v>282</v>
      </c>
      <c r="C82" s="267" t="s">
        <v>284</v>
      </c>
      <c r="D82" s="268">
        <v>500</v>
      </c>
      <c r="E82" s="269">
        <v>600</v>
      </c>
      <c r="F82" s="164">
        <v>400000</v>
      </c>
      <c r="G82" s="268">
        <v>500</v>
      </c>
      <c r="H82" s="269">
        <v>600</v>
      </c>
      <c r="I82" s="164">
        <f t="shared" si="9"/>
        <v>300000</v>
      </c>
      <c r="J82" s="164">
        <f t="shared" si="10"/>
        <v>-100000</v>
      </c>
      <c r="K82" s="265" t="s">
        <v>210</v>
      </c>
    </row>
    <row r="83" spans="1:11" ht="86.5" customHeight="1">
      <c r="A83" s="270">
        <v>2</v>
      </c>
      <c r="B83" s="271" t="s">
        <v>286</v>
      </c>
      <c r="C83" s="272"/>
      <c r="D83" s="273"/>
      <c r="E83" s="274"/>
      <c r="F83" s="274">
        <v>8355500</v>
      </c>
      <c r="G83" s="273"/>
      <c r="H83" s="274"/>
      <c r="I83" s="274">
        <v>0</v>
      </c>
      <c r="J83" s="274">
        <f>I83-F83</f>
        <v>-8355500</v>
      </c>
      <c r="K83" s="265" t="s">
        <v>291</v>
      </c>
    </row>
    <row r="84" spans="1:11" ht="66.650000000000006" customHeight="1">
      <c r="A84" s="270">
        <v>3</v>
      </c>
      <c r="B84" s="271" t="s">
        <v>287</v>
      </c>
      <c r="C84" s="272"/>
      <c r="D84" s="273"/>
      <c r="E84" s="274"/>
      <c r="F84" s="274">
        <v>10250000</v>
      </c>
      <c r="G84" s="273"/>
      <c r="H84" s="274"/>
      <c r="I84" s="274">
        <v>0</v>
      </c>
      <c r="J84" s="274">
        <f>I84-F84</f>
        <v>-10250000</v>
      </c>
      <c r="K84" s="265" t="s">
        <v>288</v>
      </c>
    </row>
    <row r="85" spans="1:11">
      <c r="A85" s="157"/>
      <c r="B85" s="162"/>
      <c r="C85" s="161"/>
      <c r="D85" s="160"/>
      <c r="E85" s="158"/>
      <c r="F85" s="158"/>
      <c r="G85" s="159"/>
      <c r="H85" s="158"/>
      <c r="I85" s="158"/>
      <c r="J85" s="158"/>
      <c r="K85" s="157"/>
    </row>
  </sheetData>
  <mergeCells count="15">
    <mergeCell ref="K56:K59"/>
    <mergeCell ref="K62:K64"/>
    <mergeCell ref="K23:K24"/>
    <mergeCell ref="A2:K2"/>
    <mergeCell ref="A3:K3"/>
    <mergeCell ref="J4:K4"/>
    <mergeCell ref="A5:A6"/>
    <mergeCell ref="B5:B6"/>
    <mergeCell ref="C5:C6"/>
    <mergeCell ref="D5:F5"/>
    <mergeCell ref="G5:I5"/>
    <mergeCell ref="J5:J6"/>
    <mergeCell ref="K5:K6"/>
    <mergeCell ref="K14:K16"/>
    <mergeCell ref="K17:K18"/>
  </mergeCells>
  <pageMargins left="0.43307086614173229" right="0.11811023622047245" top="0.27559055118110237" bottom="0.31496062992125984" header="0.19685039370078741" footer="0.19685039370078741"/>
  <pageSetup paperSize="9" scale="75" orientation="landscape" r:id="rId1"/>
  <headerFooter>
    <oddFooter>&amp;C&amp;"Times New Roman,Regular"&amp;P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K8" sqref="K8"/>
    </sheetView>
  </sheetViews>
  <sheetFormatPr defaultColWidth="9.1640625" defaultRowHeight="15.5"/>
  <cols>
    <col min="1" max="1" width="6.25" style="283" customWidth="1"/>
    <col min="2" max="2" width="16.25" style="283" customWidth="1"/>
    <col min="3" max="3" width="22.75" style="283" customWidth="1"/>
    <col min="4" max="4" width="14.83203125" style="283" customWidth="1"/>
    <col min="5" max="5" width="18.9140625" style="283" customWidth="1"/>
    <col min="6" max="6" width="15.08203125" style="283" customWidth="1"/>
    <col min="7" max="7" width="14.25" style="283" customWidth="1"/>
    <col min="8" max="8" width="13.4140625" style="283" customWidth="1"/>
    <col min="9" max="9" width="13" style="283" customWidth="1"/>
    <col min="10" max="10" width="10.5" style="283" customWidth="1"/>
    <col min="11" max="11" width="13.58203125" style="283" customWidth="1"/>
    <col min="12" max="16384" width="9.1640625" style="283"/>
  </cols>
  <sheetData>
    <row r="1" spans="1:11">
      <c r="I1" s="286"/>
      <c r="J1" s="286"/>
      <c r="K1" s="286" t="s">
        <v>307</v>
      </c>
    </row>
    <row r="3" spans="1:11" ht="19.5" customHeight="1">
      <c r="A3" s="342" t="s">
        <v>322</v>
      </c>
      <c r="B3" s="342"/>
      <c r="C3" s="342"/>
      <c r="D3" s="342"/>
      <c r="E3" s="342"/>
      <c r="F3" s="342"/>
      <c r="G3" s="342"/>
      <c r="H3" s="342"/>
      <c r="I3" s="342"/>
      <c r="J3" s="342"/>
      <c r="K3" s="342"/>
    </row>
    <row r="4" spans="1:11" ht="23" customHeight="1">
      <c r="A4" s="343" t="str">
        <f>'TỔNG HỢP'!A3:D3</f>
        <v>(Kèm theo Tờ trình số 190/TTr-UBND ngày 08/11/2024 của UBND huyện Na Rì)</v>
      </c>
      <c r="B4" s="343"/>
      <c r="C4" s="343"/>
      <c r="D4" s="343"/>
      <c r="E4" s="343"/>
      <c r="F4" s="343"/>
      <c r="G4" s="343"/>
      <c r="H4" s="343"/>
      <c r="I4" s="343"/>
      <c r="J4" s="343"/>
      <c r="K4" s="343"/>
    </row>
    <row r="5" spans="1:11">
      <c r="A5" s="287"/>
      <c r="B5" s="287"/>
      <c r="C5" s="287"/>
      <c r="D5" s="287"/>
      <c r="E5" s="287"/>
      <c r="F5" s="289"/>
      <c r="G5" s="287"/>
      <c r="H5" s="287"/>
      <c r="I5" s="287"/>
      <c r="J5" s="287"/>
      <c r="K5" s="287"/>
    </row>
    <row r="6" spans="1:11">
      <c r="I6" s="344" t="s">
        <v>13</v>
      </c>
      <c r="J6" s="344"/>
      <c r="K6" s="291"/>
    </row>
    <row r="7" spans="1:11" ht="83" customHeight="1">
      <c r="A7" s="284" t="s">
        <v>6</v>
      </c>
      <c r="B7" s="284" t="s">
        <v>4</v>
      </c>
      <c r="C7" s="284" t="s">
        <v>19</v>
      </c>
      <c r="D7" s="284" t="s">
        <v>309</v>
      </c>
      <c r="E7" s="231" t="s">
        <v>314</v>
      </c>
      <c r="F7" s="284" t="s">
        <v>317</v>
      </c>
      <c r="G7" s="284" t="s">
        <v>308</v>
      </c>
      <c r="H7" s="284" t="s">
        <v>315</v>
      </c>
      <c r="I7" s="284" t="s">
        <v>316</v>
      </c>
      <c r="J7" s="284" t="s">
        <v>312</v>
      </c>
      <c r="K7" s="284" t="s">
        <v>313</v>
      </c>
    </row>
    <row r="8" spans="1:11" ht="22.5" customHeight="1">
      <c r="A8" s="345">
        <v>1</v>
      </c>
      <c r="B8" s="345">
        <v>2</v>
      </c>
      <c r="C8" s="345">
        <v>3</v>
      </c>
      <c r="D8" s="345">
        <v>4</v>
      </c>
      <c r="E8" s="345">
        <v>5</v>
      </c>
      <c r="F8" s="345">
        <v>6</v>
      </c>
      <c r="G8" s="345">
        <v>7</v>
      </c>
      <c r="H8" s="345">
        <v>8</v>
      </c>
      <c r="I8" s="345">
        <v>9</v>
      </c>
      <c r="J8" s="345">
        <v>10</v>
      </c>
      <c r="K8" s="345" t="s">
        <v>318</v>
      </c>
    </row>
    <row r="9" spans="1:11" ht="49.5" customHeight="1">
      <c r="A9" s="244">
        <v>1</v>
      </c>
      <c r="B9" s="290" t="s">
        <v>78</v>
      </c>
      <c r="C9" s="285" t="s">
        <v>310</v>
      </c>
      <c r="D9" s="288">
        <f>1006000000</f>
        <v>1006000000</v>
      </c>
      <c r="E9" s="288">
        <f>D9*5%</f>
        <v>50300000</v>
      </c>
      <c r="F9" s="288">
        <f>D9-E9-I9</f>
        <v>766470000</v>
      </c>
      <c r="G9" s="288">
        <f>'05- DT thẩm định'!F10</f>
        <v>455490000</v>
      </c>
      <c r="H9" s="288">
        <v>175625000</v>
      </c>
      <c r="I9" s="288">
        <v>189230000</v>
      </c>
      <c r="J9" s="288">
        <v>-400000</v>
      </c>
      <c r="K9" s="288">
        <f>G9-H9-I9+J9</f>
        <v>90235000</v>
      </c>
    </row>
    <row r="10" spans="1:11" ht="43.5" customHeight="1">
      <c r="A10" s="244">
        <v>2</v>
      </c>
      <c r="B10" s="290" t="s">
        <v>297</v>
      </c>
      <c r="C10" s="285" t="s">
        <v>311</v>
      </c>
      <c r="D10" s="288">
        <v>2560000000</v>
      </c>
      <c r="E10" s="288">
        <v>0</v>
      </c>
      <c r="F10" s="288">
        <f>D10-I10</f>
        <v>1723200000</v>
      </c>
      <c r="G10" s="288">
        <v>1128720000</v>
      </c>
      <c r="H10" s="288">
        <v>0</v>
      </c>
      <c r="I10" s="288">
        <v>836800000</v>
      </c>
      <c r="J10" s="288">
        <v>0</v>
      </c>
      <c r="K10" s="288">
        <f>G10-H10-I10+J10</f>
        <v>291920000</v>
      </c>
    </row>
    <row r="15" spans="1:11">
      <c r="K15" s="292"/>
    </row>
  </sheetData>
  <mergeCells count="3">
    <mergeCell ref="A3:K3"/>
    <mergeCell ref="A4:K4"/>
    <mergeCell ref="I6:J6"/>
  </mergeCells>
  <pageMargins left="0.35433070866141703" right="0.35433070866141703" top="0.39370078740157499" bottom="0.35433070866141703" header="0.31496062992126" footer="0.31496062992126"/>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7</vt:i4>
      </vt:variant>
      <vt:variant>
        <vt:lpstr>Phạm vi có Tên</vt:lpstr>
      </vt:variant>
      <vt:variant>
        <vt:i4>10</vt:i4>
      </vt:variant>
    </vt:vector>
  </HeadingPairs>
  <TitlesOfParts>
    <vt:vector size="17" baseType="lpstr">
      <vt:lpstr>TỔNG HỢP</vt:lpstr>
      <vt:lpstr>01. CCTL HUYỆN</vt:lpstr>
      <vt:lpstr>02. XÃ, THỊ TRẤN</vt:lpstr>
      <vt:lpstr>03. TGBC NĐ 29.2023</vt:lpstr>
      <vt:lpstr>4. Dịch tả lợn CP</vt:lpstr>
      <vt:lpstr>05- DT thẩm định</vt:lpstr>
      <vt:lpstr>05a-Thuyết minh DT BS</vt:lpstr>
      <vt:lpstr>'01. CCTL HUYỆN'!Print_Titles</vt:lpstr>
      <vt:lpstr>'02. XÃ, THỊ TRẤN'!Print_Titles</vt:lpstr>
      <vt:lpstr>'03. TGBC NĐ 29.2023'!Print_Titles</vt:lpstr>
      <vt:lpstr>'05- DT thẩm định'!Print_Titles</vt:lpstr>
      <vt:lpstr>'TỔNG HỢP'!Print_Titles</vt:lpstr>
      <vt:lpstr>'01. CCTL HUYỆN'!Vùng_In</vt:lpstr>
      <vt:lpstr>'02. XÃ, THỊ TRẤN'!Vùng_In</vt:lpstr>
      <vt:lpstr>'03. TGBC NĐ 29.2023'!Vùng_In</vt:lpstr>
      <vt:lpstr>'05- DT thẩm định'!Vùng_In</vt:lpstr>
      <vt:lpstr>'TỔNG HỢP'!Vùng_In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HP</cp:lastModifiedBy>
  <cp:lastPrinted>2024-11-08T03:59:45Z</cp:lastPrinted>
  <dcterms:created xsi:type="dcterms:W3CDTF">2022-03-26T03:12:55Z</dcterms:created>
  <dcterms:modified xsi:type="dcterms:W3CDTF">2024-11-08T03:59:48Z</dcterms:modified>
</cp:coreProperties>
</file>