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20" yWindow="-120" windowWidth="19420" windowHeight="11020" tabRatio="960"/>
  </bookViews>
  <sheets>
    <sheet name="TỔNG HỢP" sheetId="27" r:id="rId1"/>
    <sheet name="1. Lâm nghiệp bền vững" sheetId="60" state="hidden" r:id="rId2"/>
    <sheet name="Biểu 01a" sheetId="61" state="hidden" r:id="rId3"/>
    <sheet name="Biểu 01b" sheetId="62" state="hidden" r:id="rId4"/>
    <sheet name="Mục 6" sheetId="39" state="hidden" r:id="rId5"/>
    <sheet name="Mục 8" sheetId="52" state="hidden" r:id="rId6"/>
    <sheet name="01. NQ 05.2020" sheetId="68" r:id="rId7"/>
    <sheet name="02. NQ11.2023" sheetId="69" r:id="rId8"/>
    <sheet name="03. TGBC NĐ 29.2023" sheetId="70" r:id="rId9"/>
    <sheet name="04. LÂM NGHIỆP" sheetId="71" r:id="rId10"/>
    <sheet name="05. ASXH-NV" sheetId="72" r:id="rId11"/>
    <sheet name="06. CCTL HUYỆN" sheetId="74" r:id="rId12"/>
    <sheet name="07. XÃ, THỊ TRẤN" sheetId="73" r:id="rId13"/>
    <sheet name="08- DT TĐ (lần 1)" sheetId="75" r:id="rId14"/>
    <sheet name="08a-PL thuyết minh" sheetId="76" r:id="rId15"/>
    <sheet name="09- DT TĐ (lần 2)" sheetId="66" r:id="rId16"/>
  </sheets>
  <externalReferences>
    <externalReference r:id="rId17"/>
    <externalReference r:id="rId18"/>
  </externalReferences>
  <definedNames>
    <definedName name="_xlnm._FilterDatabase" localSheetId="8" hidden="1">'03. TGBC NĐ 29.2023'!$A$8:$T$9</definedName>
    <definedName name="_xlnm.Print_Titles" localSheetId="6">'01. NQ 05.2020'!$5:$7</definedName>
    <definedName name="_xlnm.Print_Titles" localSheetId="7">'02. NQ11.2023'!$7:$8</definedName>
    <definedName name="_xlnm.Print_Titles" localSheetId="8">'03. TGBC NĐ 29.2023'!$5:$8</definedName>
    <definedName name="_xlnm.Print_Titles" localSheetId="10">'05. ASXH-NV'!$6:$8</definedName>
    <definedName name="_xlnm.Print_Titles" localSheetId="11">'06. CCTL HUYỆN'!$5:$7</definedName>
    <definedName name="_xlnm.Print_Titles" localSheetId="12">'07. XÃ, THỊ TRẤN'!$5:$7</definedName>
    <definedName name="_xlnm.Print_Titles" localSheetId="2">'Biểu 01a'!$5:$6</definedName>
    <definedName name="_xlnm.Print_Titles" localSheetId="3">'Biểu 01b'!$5:$6</definedName>
    <definedName name="_xlnm.Print_Titles" localSheetId="0">'TỔNG HỢP'!$5:$6</definedName>
    <definedName name="_xlnm.Print_Area" localSheetId="6">'01. NQ 05.2020'!$A$1:$G$15</definedName>
    <definedName name="_xlnm.Print_Area" localSheetId="7">'02. NQ11.2023'!$A$1:$F$17</definedName>
    <definedName name="_xlnm.Print_Area" localSheetId="8">'03. TGBC NĐ 29.2023'!$A$1:$Q$19</definedName>
    <definedName name="_xlnm.Print_Area" localSheetId="9">'04. LÂM NGHIỆP'!$A$1:$K$28</definedName>
    <definedName name="_xlnm.Print_Area" localSheetId="10">'05. ASXH-NV'!$A$1:$G$30</definedName>
    <definedName name="_xlnm.Print_Area" localSheetId="11">'06. CCTL HUYỆN'!$A$1:$N$61</definedName>
    <definedName name="_xlnm.Print_Area" localSheetId="12">'07. XÃ, THỊ TRẤN'!$A$1:$R$25</definedName>
    <definedName name="_xlnm.Print_Area" localSheetId="13">'08- DT TĐ (lần 1)'!$A$1:$M$142</definedName>
    <definedName name="_xlnm.Print_Area" localSheetId="15">'09- DT TĐ (lần 2)'!$A$1:$M$143</definedName>
    <definedName name="_xlnm.Print_Area" localSheetId="1">'1. Lâm nghiệp bền vững'!$A$1:$J$15</definedName>
    <definedName name="_xlnm.Print_Area" localSheetId="2">'Biểu 01a'!$A$2:$N$319</definedName>
    <definedName name="_xlnm.Print_Area" localSheetId="3">'Biểu 01b'!$A$1:$F$157</definedName>
    <definedName name="_xlnm.Print_Area" localSheetId="4">'Mục 6'!$A$1:$H$12</definedName>
    <definedName name="_xlnm.Print_Area" localSheetId="5">'Mục 8'!$A$1:$H$12</definedName>
    <definedName name="_xlnm.Print_Area" localSheetId="0">'TỔNG HỢP'!$A$1:$D$111</definedName>
  </definedNames>
  <calcPr calcId="144525"/>
</workbook>
</file>

<file path=xl/calcChain.xml><?xml version="1.0" encoding="utf-8"?>
<calcChain xmlns="http://schemas.openxmlformats.org/spreadsheetml/2006/main">
  <c r="A4" i="76" l="1"/>
  <c r="C8" i="27" l="1"/>
  <c r="C9" i="27"/>
  <c r="C17" i="27"/>
  <c r="C15" i="27"/>
  <c r="C13" i="27"/>
  <c r="C11" i="27"/>
  <c r="N8" i="75"/>
  <c r="L8" i="75"/>
  <c r="K8" i="75"/>
  <c r="G8" i="75"/>
  <c r="A3" i="66"/>
  <c r="A3" i="75"/>
  <c r="H9" i="76"/>
  <c r="J9" i="76" s="1"/>
  <c r="G11" i="75"/>
  <c r="G10" i="75" s="1"/>
  <c r="G9" i="75" s="1"/>
  <c r="K11" i="75"/>
  <c r="L11" i="75" s="1"/>
  <c r="L10" i="75" s="1"/>
  <c r="L9" i="75" s="1"/>
  <c r="L12" i="75"/>
  <c r="G14" i="75"/>
  <c r="K14" i="75"/>
  <c r="G15" i="75"/>
  <c r="K15" i="75"/>
  <c r="L15" i="75" s="1"/>
  <c r="G16" i="75"/>
  <c r="K16" i="75"/>
  <c r="L16" i="75" s="1"/>
  <c r="G20" i="75"/>
  <c r="G19" i="75" s="1"/>
  <c r="K20" i="75"/>
  <c r="G21" i="75"/>
  <c r="L21" i="75" s="1"/>
  <c r="K21" i="75"/>
  <c r="G22" i="75"/>
  <c r="K22" i="75"/>
  <c r="L22" i="75" s="1"/>
  <c r="G24" i="75"/>
  <c r="G23" i="75" s="1"/>
  <c r="K24" i="75"/>
  <c r="G25" i="75"/>
  <c r="L25" i="75" s="1"/>
  <c r="K25" i="75"/>
  <c r="G26" i="75"/>
  <c r="K26" i="75"/>
  <c r="L26" i="75" s="1"/>
  <c r="G28" i="75"/>
  <c r="G27" i="75" s="1"/>
  <c r="K28" i="75"/>
  <c r="K27" i="75" s="1"/>
  <c r="G29" i="75"/>
  <c r="L29" i="75" s="1"/>
  <c r="K29" i="75"/>
  <c r="G31" i="75"/>
  <c r="K31" i="75"/>
  <c r="G32" i="75"/>
  <c r="K32" i="75"/>
  <c r="L32" i="75" s="1"/>
  <c r="G33" i="75"/>
  <c r="K33" i="75"/>
  <c r="L33" i="75" s="1"/>
  <c r="G35" i="75"/>
  <c r="K35" i="75"/>
  <c r="G36" i="75"/>
  <c r="K36" i="75"/>
  <c r="G37" i="75"/>
  <c r="K37" i="75"/>
  <c r="L37" i="75"/>
  <c r="G38" i="75"/>
  <c r="K38" i="75"/>
  <c r="L38" i="75" s="1"/>
  <c r="G39" i="75"/>
  <c r="K39" i="75"/>
  <c r="L39" i="75" s="1"/>
  <c r="G40" i="75"/>
  <c r="K40" i="75"/>
  <c r="L40" i="75" s="1"/>
  <c r="G41" i="75"/>
  <c r="K41" i="75"/>
  <c r="L41" i="75" s="1"/>
  <c r="G42" i="75"/>
  <c r="K42" i="75"/>
  <c r="L42" i="75" s="1"/>
  <c r="G43" i="75"/>
  <c r="K43" i="75"/>
  <c r="G44" i="75"/>
  <c r="K44" i="75"/>
  <c r="L44" i="75" s="1"/>
  <c r="G46" i="75"/>
  <c r="K46" i="75"/>
  <c r="G47" i="75"/>
  <c r="K47" i="75"/>
  <c r="L47" i="75" s="1"/>
  <c r="G48" i="75"/>
  <c r="K48" i="75"/>
  <c r="G49" i="75"/>
  <c r="K49" i="75"/>
  <c r="L49" i="75"/>
  <c r="G50" i="75"/>
  <c r="K50" i="75"/>
  <c r="L50" i="75" s="1"/>
  <c r="G51" i="75"/>
  <c r="K51" i="75"/>
  <c r="L51" i="75" s="1"/>
  <c r="G52" i="75"/>
  <c r="K52" i="75"/>
  <c r="L52" i="75" s="1"/>
  <c r="G53" i="75"/>
  <c r="K53" i="75"/>
  <c r="L53" i="75" s="1"/>
  <c r="G54" i="75"/>
  <c r="K54" i="75"/>
  <c r="L54" i="75" s="1"/>
  <c r="G55" i="75"/>
  <c r="K55" i="75"/>
  <c r="G56" i="75"/>
  <c r="K56" i="75"/>
  <c r="L56" i="75" s="1"/>
  <c r="G57" i="75"/>
  <c r="L57" i="75" s="1"/>
  <c r="K57" i="75"/>
  <c r="G58" i="75"/>
  <c r="K58" i="75"/>
  <c r="L58" i="75" s="1"/>
  <c r="G59" i="75"/>
  <c r="K59" i="75"/>
  <c r="L59" i="75" s="1"/>
  <c r="G60" i="75"/>
  <c r="K60" i="75"/>
  <c r="L60" i="75" s="1"/>
  <c r="G64" i="75"/>
  <c r="K64" i="75"/>
  <c r="G65" i="75"/>
  <c r="K65" i="75"/>
  <c r="L65" i="75" s="1"/>
  <c r="G66" i="75"/>
  <c r="K66" i="75"/>
  <c r="G67" i="75"/>
  <c r="G63" i="75" s="1"/>
  <c r="K67" i="75"/>
  <c r="G69" i="75"/>
  <c r="K69" i="75"/>
  <c r="L69" i="75"/>
  <c r="G70" i="75"/>
  <c r="K70" i="75"/>
  <c r="L70" i="75" s="1"/>
  <c r="G71" i="75"/>
  <c r="K71" i="75"/>
  <c r="L71" i="75" s="1"/>
  <c r="G72" i="75"/>
  <c r="K72" i="75"/>
  <c r="G73" i="75"/>
  <c r="K73" i="75"/>
  <c r="L73" i="75" s="1"/>
  <c r="G74" i="75"/>
  <c r="K74" i="75"/>
  <c r="G75" i="75"/>
  <c r="K75" i="75"/>
  <c r="G77" i="75"/>
  <c r="G76" i="75" s="1"/>
  <c r="K77" i="75"/>
  <c r="L77" i="75"/>
  <c r="G78" i="75"/>
  <c r="K78" i="75"/>
  <c r="L78" i="75" s="1"/>
  <c r="G79" i="75"/>
  <c r="K79" i="75"/>
  <c r="L79" i="75" s="1"/>
  <c r="G80" i="75"/>
  <c r="K80" i="75"/>
  <c r="G82" i="75"/>
  <c r="G81" i="75" s="1"/>
  <c r="K82" i="75"/>
  <c r="K81" i="75" s="1"/>
  <c r="G83" i="75"/>
  <c r="K83" i="75"/>
  <c r="L83" i="75" s="1"/>
  <c r="G85" i="75"/>
  <c r="K85" i="75"/>
  <c r="L85" i="75" s="1"/>
  <c r="G86" i="75"/>
  <c r="K86" i="75"/>
  <c r="G87" i="75"/>
  <c r="K87" i="75"/>
  <c r="G88" i="75"/>
  <c r="K88" i="75"/>
  <c r="G89" i="75"/>
  <c r="L89" i="75" s="1"/>
  <c r="K89" i="75"/>
  <c r="G90" i="75"/>
  <c r="K90" i="75"/>
  <c r="L90" i="75" s="1"/>
  <c r="G91" i="75"/>
  <c r="K91" i="75"/>
  <c r="L91" i="75" s="1"/>
  <c r="G92" i="75"/>
  <c r="K92" i="75"/>
  <c r="L92" i="75" s="1"/>
  <c r="G93" i="75"/>
  <c r="K93" i="75"/>
  <c r="L93" i="75" s="1"/>
  <c r="G94" i="75"/>
  <c r="K94" i="75"/>
  <c r="G95" i="75"/>
  <c r="K95" i="75"/>
  <c r="G96" i="75"/>
  <c r="K96" i="75"/>
  <c r="G98" i="75"/>
  <c r="K98" i="75"/>
  <c r="F99" i="75"/>
  <c r="G99" i="75" s="1"/>
  <c r="J99" i="75"/>
  <c r="K99" i="75" s="1"/>
  <c r="F100" i="75"/>
  <c r="G100" i="75" s="1"/>
  <c r="J100" i="75"/>
  <c r="K100" i="75"/>
  <c r="L100" i="75" s="1"/>
  <c r="F101" i="75"/>
  <c r="G101" i="75" s="1"/>
  <c r="J101" i="75"/>
  <c r="K101" i="75" s="1"/>
  <c r="F102" i="75"/>
  <c r="G102" i="75"/>
  <c r="J102" i="75"/>
  <c r="K102" i="75" s="1"/>
  <c r="F103" i="75"/>
  <c r="G103" i="75" s="1"/>
  <c r="J103" i="75"/>
  <c r="K103" i="75" s="1"/>
  <c r="F104" i="75"/>
  <c r="G104" i="75" s="1"/>
  <c r="J104" i="75"/>
  <c r="K104" i="75"/>
  <c r="G105" i="75"/>
  <c r="K105" i="75"/>
  <c r="L105" i="75" s="1"/>
  <c r="G107" i="75"/>
  <c r="K107" i="75"/>
  <c r="G108" i="75"/>
  <c r="K108" i="75"/>
  <c r="G109" i="75"/>
  <c r="K109" i="75"/>
  <c r="L109" i="75"/>
  <c r="G110" i="75"/>
  <c r="K110" i="75"/>
  <c r="L110" i="75" s="1"/>
  <c r="G111" i="75"/>
  <c r="K111" i="75"/>
  <c r="L111" i="75" s="1"/>
  <c r="G112" i="75"/>
  <c r="K112" i="75"/>
  <c r="L112" i="75" s="1"/>
  <c r="G114" i="75"/>
  <c r="K114" i="75"/>
  <c r="K113" i="75" s="1"/>
  <c r="G115" i="75"/>
  <c r="K115" i="75"/>
  <c r="L115" i="75" s="1"/>
  <c r="G116" i="75"/>
  <c r="K116" i="75"/>
  <c r="L116" i="75" s="1"/>
  <c r="G117" i="75"/>
  <c r="K117" i="75"/>
  <c r="L117" i="75"/>
  <c r="G118" i="75"/>
  <c r="K118" i="75"/>
  <c r="G119" i="75"/>
  <c r="K119" i="75"/>
  <c r="L119" i="75" s="1"/>
  <c r="G120" i="75"/>
  <c r="K120" i="75"/>
  <c r="G121" i="75"/>
  <c r="K121" i="75"/>
  <c r="L121" i="75"/>
  <c r="G122" i="75"/>
  <c r="K122" i="75"/>
  <c r="L122" i="75" s="1"/>
  <c r="L125" i="75"/>
  <c r="G127" i="75"/>
  <c r="K127" i="75"/>
  <c r="G128" i="75"/>
  <c r="K128" i="75"/>
  <c r="L128" i="75" s="1"/>
  <c r="G129" i="75"/>
  <c r="K129" i="75"/>
  <c r="G130" i="75"/>
  <c r="K130" i="75"/>
  <c r="L130" i="75" s="1"/>
  <c r="G131" i="75"/>
  <c r="K131" i="75"/>
  <c r="L131" i="75"/>
  <c r="G132" i="75"/>
  <c r="K132" i="75"/>
  <c r="G133" i="75"/>
  <c r="K133" i="75"/>
  <c r="G134" i="75"/>
  <c r="K134" i="75"/>
  <c r="G136" i="75"/>
  <c r="K136" i="75"/>
  <c r="G137" i="75"/>
  <c r="G135" i="75" s="1"/>
  <c r="K137" i="75"/>
  <c r="G138" i="75"/>
  <c r="K138" i="75"/>
  <c r="L138" i="75" s="1"/>
  <c r="G139" i="75"/>
  <c r="L139" i="75" s="1"/>
  <c r="K139" i="75"/>
  <c r="G140" i="75"/>
  <c r="K140" i="75"/>
  <c r="L140" i="75" s="1"/>
  <c r="G141" i="75"/>
  <c r="K141" i="75"/>
  <c r="G142" i="75"/>
  <c r="K142" i="75"/>
  <c r="L142" i="75" s="1"/>
  <c r="G45" i="75" l="1"/>
  <c r="K30" i="75"/>
  <c r="K18" i="75" s="1"/>
  <c r="K13" i="75"/>
  <c r="C12" i="27" s="1"/>
  <c r="G126" i="75"/>
  <c r="G124" i="75" s="1"/>
  <c r="G123" i="75" s="1"/>
  <c r="G113" i="75"/>
  <c r="K106" i="75"/>
  <c r="L95" i="75"/>
  <c r="K84" i="75"/>
  <c r="L86" i="75"/>
  <c r="L84" i="75" s="1"/>
  <c r="G84" i="75"/>
  <c r="L74" i="75"/>
  <c r="L66" i="75"/>
  <c r="K34" i="75"/>
  <c r="G30" i="75"/>
  <c r="G18" i="75" s="1"/>
  <c r="G17" i="75" s="1"/>
  <c r="K23" i="75"/>
  <c r="L23" i="75" s="1"/>
  <c r="K19" i="75"/>
  <c r="G13" i="75"/>
  <c r="K135" i="75"/>
  <c r="L127" i="75"/>
  <c r="G106" i="75"/>
  <c r="K76" i="75"/>
  <c r="K68" i="75"/>
  <c r="K62" i="75" s="1"/>
  <c r="K61" i="75" s="1"/>
  <c r="C16" i="27" s="1"/>
  <c r="G68" i="75"/>
  <c r="K63" i="75"/>
  <c r="G34" i="75"/>
  <c r="K10" i="75"/>
  <c r="K9" i="75" s="1"/>
  <c r="C10" i="27" s="1"/>
  <c r="L133" i="75"/>
  <c r="L141" i="75"/>
  <c r="L134" i="75"/>
  <c r="L132" i="75"/>
  <c r="L126" i="75" s="1"/>
  <c r="L129" i="75"/>
  <c r="L120" i="75"/>
  <c r="L118" i="75"/>
  <c r="L108" i="75"/>
  <c r="L102" i="75"/>
  <c r="L96" i="75"/>
  <c r="L94" i="75"/>
  <c r="L87" i="75"/>
  <c r="L75" i="75"/>
  <c r="L67" i="75"/>
  <c r="L55" i="75"/>
  <c r="L48" i="75"/>
  <c r="K45" i="75"/>
  <c r="L43" i="75"/>
  <c r="L36" i="75"/>
  <c r="L103" i="75"/>
  <c r="K97" i="75"/>
  <c r="L104" i="75"/>
  <c r="L101" i="75"/>
  <c r="G97" i="75"/>
  <c r="L99" i="75"/>
  <c r="L136" i="75"/>
  <c r="L135" i="75" s="1"/>
  <c r="L114" i="75"/>
  <c r="L113" i="75" s="1"/>
  <c r="L98" i="75"/>
  <c r="L82" i="75"/>
  <c r="L81" i="75" s="1"/>
  <c r="L46" i="75"/>
  <c r="L14" i="75"/>
  <c r="L13" i="75" s="1"/>
  <c r="K126" i="75"/>
  <c r="L137" i="75"/>
  <c r="L107" i="75"/>
  <c r="L35" i="75"/>
  <c r="L34" i="75" s="1"/>
  <c r="L31" i="75"/>
  <c r="L30" i="75" s="1"/>
  <c r="L88" i="75"/>
  <c r="L80" i="75"/>
  <c r="L76" i="75" s="1"/>
  <c r="L72" i="75"/>
  <c r="L68" i="75" s="1"/>
  <c r="L64" i="75"/>
  <c r="L63" i="75" s="1"/>
  <c r="L28" i="75"/>
  <c r="L27" i="75" s="1"/>
  <c r="L24" i="75"/>
  <c r="L20" i="75"/>
  <c r="L19" i="75" s="1"/>
  <c r="L106" i="75" l="1"/>
  <c r="G62" i="75"/>
  <c r="G61" i="75" s="1"/>
  <c r="L45" i="75"/>
  <c r="K124" i="75"/>
  <c r="K123" i="75" s="1"/>
  <c r="L97" i="75"/>
  <c r="L62" i="75" s="1"/>
  <c r="L61" i="75" s="1"/>
  <c r="K17" i="75"/>
  <c r="C14" i="27" s="1"/>
  <c r="L18" i="75"/>
  <c r="L123" i="75" l="1"/>
  <c r="C18" i="27"/>
  <c r="L124" i="75"/>
  <c r="L17" i="75"/>
  <c r="L8" i="66" l="1"/>
  <c r="K8" i="66"/>
  <c r="G8" i="66"/>
  <c r="M39" i="74" l="1"/>
  <c r="M40" i="74"/>
  <c r="M41" i="74"/>
  <c r="M42" i="74"/>
  <c r="M43" i="74"/>
  <c r="M44" i="74"/>
  <c r="M45" i="74"/>
  <c r="M46" i="74"/>
  <c r="M47" i="74"/>
  <c r="M48" i="74"/>
  <c r="M38" i="74"/>
  <c r="M34" i="74"/>
  <c r="M32" i="74"/>
  <c r="M31" i="74"/>
  <c r="M12" i="74"/>
  <c r="M50" i="74"/>
  <c r="C67" i="27"/>
  <c r="M11" i="74"/>
  <c r="M13" i="74"/>
  <c r="M14" i="74"/>
  <c r="M15" i="74"/>
  <c r="M16" i="74"/>
  <c r="M17" i="74"/>
  <c r="M18" i="74"/>
  <c r="M19" i="74"/>
  <c r="M20" i="74"/>
  <c r="M21" i="74"/>
  <c r="M22" i="74"/>
  <c r="M23" i="74"/>
  <c r="M24" i="74"/>
  <c r="M25" i="74"/>
  <c r="M26" i="74"/>
  <c r="M27" i="74"/>
  <c r="M28" i="74"/>
  <c r="M29" i="74"/>
  <c r="M10" i="74"/>
  <c r="Q10" i="73"/>
  <c r="Q11" i="73"/>
  <c r="Q12" i="73"/>
  <c r="Q13" i="73"/>
  <c r="Q14" i="73"/>
  <c r="Q15" i="73"/>
  <c r="Q16" i="73"/>
  <c r="Q17" i="73"/>
  <c r="Q18" i="73"/>
  <c r="Q19" i="73"/>
  <c r="Q20" i="73"/>
  <c r="Q22" i="73"/>
  <c r="Q23" i="73"/>
  <c r="Q24" i="73"/>
  <c r="Q25" i="73"/>
  <c r="Q9" i="73"/>
  <c r="P12" i="73"/>
  <c r="P9" i="73"/>
  <c r="P10" i="73"/>
  <c r="O10" i="73"/>
  <c r="O9" i="73"/>
  <c r="R14" i="73"/>
  <c r="O23" i="73"/>
  <c r="P22" i="73" l="1"/>
  <c r="L26" i="74"/>
  <c r="M35" i="74"/>
  <c r="N35" i="74"/>
  <c r="C93" i="27" l="1"/>
  <c r="C92" i="27"/>
  <c r="C91" i="27"/>
  <c r="C90" i="27"/>
  <c r="C89" i="27"/>
  <c r="C83" i="27"/>
  <c r="C79" i="27"/>
  <c r="C74" i="27"/>
  <c r="C73" i="27" s="1"/>
  <c r="C72" i="27"/>
  <c r="C71" i="27"/>
  <c r="C70" i="27" s="1"/>
  <c r="C69" i="27"/>
  <c r="C100" i="27"/>
  <c r="N61" i="74"/>
  <c r="N60" i="74"/>
  <c r="N59" i="74"/>
  <c r="N58" i="74"/>
  <c r="N57" i="74"/>
  <c r="N56" i="74" s="1"/>
  <c r="N55" i="74"/>
  <c r="N54" i="74"/>
  <c r="N53" i="74"/>
  <c r="N52" i="74"/>
  <c r="N51" i="74"/>
  <c r="N50" i="74"/>
  <c r="N49" i="74" s="1"/>
  <c r="N48" i="74"/>
  <c r="C86" i="27" s="1"/>
  <c r="N47" i="74"/>
  <c r="C85" i="27" s="1"/>
  <c r="N46" i="74"/>
  <c r="C84" i="27" s="1"/>
  <c r="N45" i="74"/>
  <c r="N44" i="74"/>
  <c r="C82" i="27" s="1"/>
  <c r="N43" i="74"/>
  <c r="C81" i="27" s="1"/>
  <c r="N42" i="74"/>
  <c r="C80" i="27" s="1"/>
  <c r="N41" i="74"/>
  <c r="N40" i="74"/>
  <c r="C78" i="27" s="1"/>
  <c r="N39" i="74"/>
  <c r="N37" i="74" s="1"/>
  <c r="N38" i="74"/>
  <c r="C76" i="27" s="1"/>
  <c r="N36" i="74"/>
  <c r="N34" i="74"/>
  <c r="N32" i="74"/>
  <c r="N31" i="74"/>
  <c r="N30" i="74" s="1"/>
  <c r="N11" i="74"/>
  <c r="C68" i="27" s="1"/>
  <c r="C66" i="27" s="1"/>
  <c r="N12" i="74"/>
  <c r="N13" i="74"/>
  <c r="N14" i="74"/>
  <c r="N15" i="74"/>
  <c r="N16" i="74"/>
  <c r="N17" i="74"/>
  <c r="N18" i="74"/>
  <c r="N19" i="74"/>
  <c r="N20" i="74"/>
  <c r="N21" i="74"/>
  <c r="N22" i="74"/>
  <c r="N23" i="74"/>
  <c r="N24" i="74"/>
  <c r="N25" i="74"/>
  <c r="N27" i="74"/>
  <c r="N28" i="74"/>
  <c r="N29" i="74"/>
  <c r="N10" i="74"/>
  <c r="M30" i="74"/>
  <c r="M33" i="74"/>
  <c r="N33" i="74"/>
  <c r="M37" i="74"/>
  <c r="M56" i="74"/>
  <c r="M49" i="74"/>
  <c r="M61" i="74"/>
  <c r="M60" i="74"/>
  <c r="M59" i="74"/>
  <c r="M58" i="74"/>
  <c r="M57" i="74"/>
  <c r="M55" i="74"/>
  <c r="M54" i="74"/>
  <c r="M53" i="74"/>
  <c r="M52" i="74"/>
  <c r="M51" i="74"/>
  <c r="M36" i="74"/>
  <c r="C77" i="27" l="1"/>
  <c r="C75" i="27" s="1"/>
  <c r="C88" i="27"/>
  <c r="C87" i="27" s="1"/>
  <c r="A3" i="73"/>
  <c r="A3" i="74"/>
  <c r="E9" i="74"/>
  <c r="E8" i="74" s="1"/>
  <c r="F9" i="74"/>
  <c r="G9" i="74"/>
  <c r="H9" i="74"/>
  <c r="I9" i="74"/>
  <c r="I8" i="74" s="1"/>
  <c r="J9" i="74"/>
  <c r="D10" i="74"/>
  <c r="D9" i="74" s="1"/>
  <c r="F10" i="74"/>
  <c r="J10" i="74"/>
  <c r="C11" i="74"/>
  <c r="K11" i="74" s="1"/>
  <c r="L11" i="74" s="1"/>
  <c r="C12" i="74"/>
  <c r="K12" i="74" s="1"/>
  <c r="L12" i="74" s="1"/>
  <c r="J12" i="74"/>
  <c r="C13" i="74"/>
  <c r="K13" i="74" s="1"/>
  <c r="L13" i="74" s="1"/>
  <c r="C14" i="74"/>
  <c r="K14" i="74"/>
  <c r="L14" i="74" s="1"/>
  <c r="C15" i="74"/>
  <c r="K15" i="74"/>
  <c r="L15" i="74"/>
  <c r="C16" i="74"/>
  <c r="K16" i="74" s="1"/>
  <c r="L16" i="74" s="1"/>
  <c r="C17" i="74"/>
  <c r="K17" i="74" s="1"/>
  <c r="L17" i="74" s="1"/>
  <c r="C18" i="74"/>
  <c r="K18" i="74"/>
  <c r="L18" i="74" s="1"/>
  <c r="C19" i="74"/>
  <c r="K19" i="74"/>
  <c r="L19" i="74"/>
  <c r="C20" i="74"/>
  <c r="K20" i="74" s="1"/>
  <c r="L20" i="74" s="1"/>
  <c r="C21" i="74"/>
  <c r="K21" i="74" s="1"/>
  <c r="L21" i="74" s="1"/>
  <c r="C22" i="74"/>
  <c r="K22" i="74"/>
  <c r="L22" i="74" s="1"/>
  <c r="C23" i="74"/>
  <c r="K23" i="74"/>
  <c r="L23" i="74"/>
  <c r="C24" i="74"/>
  <c r="K24" i="74" s="1"/>
  <c r="L24" i="74" s="1"/>
  <c r="C25" i="74"/>
  <c r="K25" i="74" s="1"/>
  <c r="L25" i="74" s="1"/>
  <c r="C26" i="74"/>
  <c r="K26" i="74" s="1"/>
  <c r="C27" i="74"/>
  <c r="K27" i="74"/>
  <c r="L27" i="74"/>
  <c r="C28" i="74"/>
  <c r="K28" i="74" s="1"/>
  <c r="L28" i="74" s="1"/>
  <c r="C29" i="74"/>
  <c r="K29" i="74" s="1"/>
  <c r="L29" i="74" s="1"/>
  <c r="C30" i="74"/>
  <c r="D30" i="74"/>
  <c r="E30" i="74"/>
  <c r="F30" i="74"/>
  <c r="G30" i="74"/>
  <c r="H30" i="74"/>
  <c r="H8" i="74" s="1"/>
  <c r="I30" i="74"/>
  <c r="C31" i="74"/>
  <c r="J31" i="74"/>
  <c r="J30" i="74" s="1"/>
  <c r="K31" i="74"/>
  <c r="K30" i="74" s="1"/>
  <c r="L31" i="74"/>
  <c r="L30" i="74" s="1"/>
  <c r="C32" i="74"/>
  <c r="J32" i="74"/>
  <c r="K32" i="74"/>
  <c r="L32" i="74"/>
  <c r="D33" i="74"/>
  <c r="E33" i="74"/>
  <c r="F33" i="74"/>
  <c r="G33" i="74"/>
  <c r="H33" i="74"/>
  <c r="I33" i="74"/>
  <c r="J33" i="74"/>
  <c r="C34" i="74"/>
  <c r="C33" i="74" s="1"/>
  <c r="K34" i="74"/>
  <c r="K33" i="74" s="1"/>
  <c r="D35" i="74"/>
  <c r="E35" i="74"/>
  <c r="F35" i="74"/>
  <c r="G35" i="74"/>
  <c r="H35" i="74"/>
  <c r="I35" i="74"/>
  <c r="J35" i="74"/>
  <c r="C36" i="74"/>
  <c r="C35" i="74" s="1"/>
  <c r="D37" i="74"/>
  <c r="E37" i="74"/>
  <c r="F37" i="74"/>
  <c r="G37" i="74"/>
  <c r="H37" i="74"/>
  <c r="I37" i="74"/>
  <c r="J37" i="74"/>
  <c r="C38" i="74"/>
  <c r="K38" i="74"/>
  <c r="L38" i="74"/>
  <c r="C39" i="74"/>
  <c r="K39" i="74" s="1"/>
  <c r="D39" i="74"/>
  <c r="C40" i="74"/>
  <c r="K40" i="74" s="1"/>
  <c r="L40" i="74" s="1"/>
  <c r="C41" i="74"/>
  <c r="K41" i="74"/>
  <c r="L41" i="74" s="1"/>
  <c r="C42" i="74"/>
  <c r="K42" i="74"/>
  <c r="L42" i="74"/>
  <c r="C43" i="74"/>
  <c r="K43" i="74"/>
  <c r="L43" i="74"/>
  <c r="C44" i="74"/>
  <c r="K44" i="74" s="1"/>
  <c r="L44" i="74" s="1"/>
  <c r="C45" i="74"/>
  <c r="K45" i="74"/>
  <c r="L45" i="74" s="1"/>
  <c r="C46" i="74"/>
  <c r="K46" i="74"/>
  <c r="L46" i="74"/>
  <c r="C47" i="74"/>
  <c r="K47" i="74"/>
  <c r="L47" i="74"/>
  <c r="C48" i="74"/>
  <c r="K48" i="74" s="1"/>
  <c r="L48" i="74" s="1"/>
  <c r="E49" i="74"/>
  <c r="G49" i="74"/>
  <c r="H49" i="74"/>
  <c r="I49" i="74"/>
  <c r="J49" i="74"/>
  <c r="D50" i="74"/>
  <c r="C50" i="74" s="1"/>
  <c r="F50" i="74"/>
  <c r="F49" i="74" s="1"/>
  <c r="C51" i="74"/>
  <c r="K51" i="74"/>
  <c r="L51" i="74"/>
  <c r="C52" i="74"/>
  <c r="K52" i="74" s="1"/>
  <c r="L52" i="74" s="1"/>
  <c r="C53" i="74"/>
  <c r="K53" i="74" s="1"/>
  <c r="L53" i="74" s="1"/>
  <c r="D54" i="74"/>
  <c r="C54" i="74" s="1"/>
  <c r="K54" i="74" s="1"/>
  <c r="L54" i="74" s="1"/>
  <c r="C55" i="74"/>
  <c r="K55" i="74"/>
  <c r="L55" i="74" s="1"/>
  <c r="D56" i="74"/>
  <c r="E56" i="74"/>
  <c r="F56" i="74"/>
  <c r="H56" i="74"/>
  <c r="I56" i="74"/>
  <c r="J56" i="74"/>
  <c r="C57" i="74"/>
  <c r="C56" i="74" s="1"/>
  <c r="G57" i="74"/>
  <c r="G56" i="74" s="1"/>
  <c r="C58" i="74"/>
  <c r="K58" i="74" s="1"/>
  <c r="L58" i="74" s="1"/>
  <c r="C59" i="74"/>
  <c r="K59" i="74"/>
  <c r="L59" i="74" s="1"/>
  <c r="C60" i="74"/>
  <c r="K60" i="74"/>
  <c r="L60" i="74"/>
  <c r="C61" i="74"/>
  <c r="K61" i="74" s="1"/>
  <c r="L61" i="74" s="1"/>
  <c r="D8" i="73"/>
  <c r="H8" i="73"/>
  <c r="I8" i="73"/>
  <c r="J8" i="73"/>
  <c r="K8" i="73"/>
  <c r="N8" i="73"/>
  <c r="E9" i="73"/>
  <c r="G9" i="73"/>
  <c r="M9" i="73"/>
  <c r="E10" i="73"/>
  <c r="C10" i="73" s="1"/>
  <c r="M10" i="73"/>
  <c r="E11" i="73"/>
  <c r="C11" i="73" s="1"/>
  <c r="O11" i="73" s="1"/>
  <c r="G11" i="73"/>
  <c r="M11" i="73"/>
  <c r="E12" i="73"/>
  <c r="M12" i="73"/>
  <c r="E13" i="73"/>
  <c r="G13" i="73"/>
  <c r="E14" i="73"/>
  <c r="C14" i="73" s="1"/>
  <c r="O14" i="73" s="1"/>
  <c r="M14" i="73"/>
  <c r="E15" i="73"/>
  <c r="G15" i="73"/>
  <c r="M15" i="73"/>
  <c r="E16" i="73"/>
  <c r="L16" i="73"/>
  <c r="L8" i="73" s="1"/>
  <c r="M16" i="73"/>
  <c r="E17" i="73"/>
  <c r="C17" i="73" s="1"/>
  <c r="O17" i="73" s="1"/>
  <c r="M17" i="73"/>
  <c r="E18" i="73"/>
  <c r="M18" i="73"/>
  <c r="E19" i="73"/>
  <c r="C19" i="73" s="1"/>
  <c r="O19" i="73" s="1"/>
  <c r="E20" i="73"/>
  <c r="M20" i="73"/>
  <c r="E21" i="73"/>
  <c r="C21" i="73" s="1"/>
  <c r="O21" i="73" s="1"/>
  <c r="M21" i="73"/>
  <c r="E22" i="73"/>
  <c r="F22" i="73"/>
  <c r="F8" i="73" s="1"/>
  <c r="M22" i="73"/>
  <c r="E23" i="73"/>
  <c r="M23" i="73"/>
  <c r="E24" i="73"/>
  <c r="C24" i="73" s="1"/>
  <c r="O24" i="73" s="1"/>
  <c r="L24" i="73"/>
  <c r="M24" i="73"/>
  <c r="E25" i="73"/>
  <c r="M25" i="73"/>
  <c r="P21" i="73" l="1"/>
  <c r="Q21" i="73" s="1"/>
  <c r="R21" i="73" s="1"/>
  <c r="C107" i="27" s="1"/>
  <c r="P11" i="73"/>
  <c r="R11" i="73" s="1"/>
  <c r="C97" i="27" s="1"/>
  <c r="P24" i="73"/>
  <c r="R24" i="73"/>
  <c r="C110" i="27" s="1"/>
  <c r="P14" i="73"/>
  <c r="R10" i="73"/>
  <c r="C96" i="27" s="1"/>
  <c r="C23" i="73"/>
  <c r="C20" i="73"/>
  <c r="O20" i="73" s="1"/>
  <c r="C16" i="73"/>
  <c r="O16" i="73" s="1"/>
  <c r="C13" i="73"/>
  <c r="O13" i="73" s="1"/>
  <c r="E8" i="73"/>
  <c r="P19" i="73"/>
  <c r="R19" i="73"/>
  <c r="C105" i="27" s="1"/>
  <c r="C25" i="73"/>
  <c r="O25" i="73" s="1"/>
  <c r="C12" i="73"/>
  <c r="O12" i="73" s="1"/>
  <c r="M8" i="73"/>
  <c r="P17" i="73"/>
  <c r="R17" i="73"/>
  <c r="C103" i="27" s="1"/>
  <c r="C22" i="73"/>
  <c r="O22" i="73" s="1"/>
  <c r="C18" i="73"/>
  <c r="O18" i="73" s="1"/>
  <c r="C15" i="73"/>
  <c r="O15" i="73" s="1"/>
  <c r="G8" i="73"/>
  <c r="G8" i="74"/>
  <c r="J8" i="74"/>
  <c r="F8" i="74"/>
  <c r="C49" i="74"/>
  <c r="K50" i="74"/>
  <c r="K37" i="74"/>
  <c r="L39" i="74"/>
  <c r="L37" i="74" s="1"/>
  <c r="C37" i="74"/>
  <c r="K36" i="74"/>
  <c r="L34" i="74"/>
  <c r="L33" i="74" s="1"/>
  <c r="D49" i="74"/>
  <c r="D8" i="74" s="1"/>
  <c r="C10" i="74"/>
  <c r="K57" i="74"/>
  <c r="C9" i="73"/>
  <c r="M9" i="74" l="1"/>
  <c r="M8" i="74" s="1"/>
  <c r="N26" i="74"/>
  <c r="N9" i="74" s="1"/>
  <c r="N8" i="74" s="1"/>
  <c r="R22" i="73"/>
  <c r="R12" i="73"/>
  <c r="C98" i="27" s="1"/>
  <c r="P23" i="73"/>
  <c r="R23" i="73" s="1"/>
  <c r="C109" i="27" s="1"/>
  <c r="P25" i="73"/>
  <c r="R25" i="73"/>
  <c r="C111" i="27" s="1"/>
  <c r="P13" i="73"/>
  <c r="R13" i="73" s="1"/>
  <c r="C99" i="27" s="1"/>
  <c r="P15" i="73"/>
  <c r="R15" i="73"/>
  <c r="C101" i="27" s="1"/>
  <c r="P16" i="73"/>
  <c r="R16" i="73" s="1"/>
  <c r="C102" i="27" s="1"/>
  <c r="P18" i="73"/>
  <c r="R18" i="73"/>
  <c r="C104" i="27" s="1"/>
  <c r="P20" i="73"/>
  <c r="R20" i="73" s="1"/>
  <c r="C106" i="27" s="1"/>
  <c r="K56" i="74"/>
  <c r="L57" i="74"/>
  <c r="L56" i="74" s="1"/>
  <c r="K35" i="74"/>
  <c r="L36" i="74"/>
  <c r="L35" i="74" s="1"/>
  <c r="K49" i="74"/>
  <c r="L50" i="74"/>
  <c r="L49" i="74" s="1"/>
  <c r="C9" i="74"/>
  <c r="C8" i="74" s="1"/>
  <c r="K10" i="74"/>
  <c r="C8" i="73"/>
  <c r="C108" i="27" l="1"/>
  <c r="L10" i="74"/>
  <c r="L9" i="74" s="1"/>
  <c r="L8" i="74" s="1"/>
  <c r="K9" i="74"/>
  <c r="K8" i="74" s="1"/>
  <c r="P8" i="73"/>
  <c r="O8" i="73"/>
  <c r="R9" i="73" l="1"/>
  <c r="Q8" i="73"/>
  <c r="C95" i="27" l="1"/>
  <c r="C94" i="27" s="1"/>
  <c r="C65" i="27" s="1"/>
  <c r="R8" i="73"/>
  <c r="T10" i="73" s="1"/>
  <c r="C27" i="27"/>
  <c r="C26" i="27" s="1"/>
  <c r="L143" i="66"/>
  <c r="K140" i="66"/>
  <c r="G140" i="66"/>
  <c r="L142" i="66"/>
  <c r="K141" i="66"/>
  <c r="G141" i="66"/>
  <c r="L141" i="66" l="1"/>
  <c r="K139" i="66"/>
  <c r="K138" i="66"/>
  <c r="K137" i="66"/>
  <c r="K136" i="66"/>
  <c r="K135" i="66"/>
  <c r="K134" i="66"/>
  <c r="K133" i="66"/>
  <c r="G139" i="66"/>
  <c r="G138" i="66"/>
  <c r="G137" i="66"/>
  <c r="G136" i="66"/>
  <c r="G134" i="66"/>
  <c r="G133" i="66"/>
  <c r="E25" i="72"/>
  <c r="C25" i="72"/>
  <c r="C24" i="72" s="1"/>
  <c r="D25" i="72"/>
  <c r="D24" i="72" s="1"/>
  <c r="E24" i="72"/>
  <c r="L140" i="66" l="1"/>
  <c r="G24" i="27"/>
  <c r="C60" i="27"/>
  <c r="C59" i="27" s="1"/>
  <c r="C48" i="27"/>
  <c r="C47" i="27" s="1"/>
  <c r="C46" i="27" s="1"/>
  <c r="C30" i="27"/>
  <c r="C64" i="27"/>
  <c r="C63" i="27" s="1"/>
  <c r="C62" i="27"/>
  <c r="F62" i="27" s="1"/>
  <c r="C58" i="27"/>
  <c r="C57" i="27" s="1"/>
  <c r="C56" i="27"/>
  <c r="C55" i="27" s="1"/>
  <c r="C54" i="27"/>
  <c r="C53" i="27" s="1"/>
  <c r="C52" i="27"/>
  <c r="C51" i="27"/>
  <c r="C50" i="27"/>
  <c r="C29" i="27" l="1"/>
  <c r="C28" i="27" s="1"/>
  <c r="G25" i="27" s="1"/>
  <c r="E31" i="27"/>
  <c r="C49" i="27"/>
  <c r="F60" i="27"/>
  <c r="F63" i="27" s="1"/>
  <c r="C61" i="27"/>
  <c r="E28" i="72" l="1"/>
  <c r="E29" i="72"/>
  <c r="H9" i="71" l="1"/>
  <c r="E18" i="71"/>
  <c r="E17" i="71" s="1"/>
  <c r="D18" i="71"/>
  <c r="E16" i="71"/>
  <c r="D16" i="71"/>
  <c r="H16" i="71"/>
  <c r="A3" i="71"/>
  <c r="A3" i="72" s="1"/>
  <c r="J17" i="71"/>
  <c r="D17" i="71"/>
  <c r="I16" i="71"/>
  <c r="G16" i="71" l="1"/>
  <c r="F16" i="71" s="1"/>
  <c r="E10" i="71" l="1"/>
  <c r="E9" i="71" s="1"/>
  <c r="I10" i="71"/>
  <c r="I9" i="71" s="1"/>
  <c r="J10" i="71"/>
  <c r="J9" i="71" s="1"/>
  <c r="I18" i="71"/>
  <c r="I17" i="71" s="1"/>
  <c r="H18" i="71"/>
  <c r="H17" i="71" s="1"/>
  <c r="C18" i="71"/>
  <c r="C17" i="71" s="1"/>
  <c r="C11" i="72"/>
  <c r="C10" i="72" s="1"/>
  <c r="D11" i="72"/>
  <c r="D10" i="72" s="1"/>
  <c r="E11" i="72"/>
  <c r="G11" i="72" s="1"/>
  <c r="K11" i="72"/>
  <c r="L11" i="72"/>
  <c r="M11" i="72"/>
  <c r="E12" i="72"/>
  <c r="E13" i="72"/>
  <c r="E14" i="72"/>
  <c r="C15" i="72"/>
  <c r="D15" i="72"/>
  <c r="E16" i="72"/>
  <c r="E15" i="72" s="1"/>
  <c r="G15" i="72" s="1"/>
  <c r="C17" i="72"/>
  <c r="D17" i="72"/>
  <c r="E17" i="72"/>
  <c r="H17" i="72"/>
  <c r="H10" i="72" s="1"/>
  <c r="E18" i="72"/>
  <c r="C19" i="72"/>
  <c r="D19" i="72"/>
  <c r="E19" i="72"/>
  <c r="G19" i="72" s="1"/>
  <c r="E20" i="72"/>
  <c r="H21" i="72"/>
  <c r="C22" i="72"/>
  <c r="D22" i="72"/>
  <c r="E23" i="72"/>
  <c r="E22" i="72" s="1"/>
  <c r="E26" i="72"/>
  <c r="G24" i="72" s="1"/>
  <c r="C27" i="72"/>
  <c r="D27" i="72"/>
  <c r="D21" i="72" s="1"/>
  <c r="E27" i="72"/>
  <c r="C28" i="72"/>
  <c r="G28" i="72"/>
  <c r="C29" i="72"/>
  <c r="D29" i="72"/>
  <c r="D28" i="72" s="1"/>
  <c r="H29" i="72"/>
  <c r="H28" i="72" s="1"/>
  <c r="E30" i="72"/>
  <c r="C11" i="71"/>
  <c r="H11" i="71"/>
  <c r="I11" i="71"/>
  <c r="C12" i="71"/>
  <c r="H12" i="71"/>
  <c r="I12" i="71"/>
  <c r="C13" i="71"/>
  <c r="H13" i="71"/>
  <c r="I13" i="71"/>
  <c r="J13" i="71"/>
  <c r="C14" i="71"/>
  <c r="H14" i="71"/>
  <c r="I14" i="71"/>
  <c r="C15" i="71"/>
  <c r="H15" i="71"/>
  <c r="I15" i="71"/>
  <c r="C19" i="71"/>
  <c r="H19" i="71"/>
  <c r="I19" i="71"/>
  <c r="C20" i="71"/>
  <c r="H20" i="71"/>
  <c r="I20" i="71"/>
  <c r="C21" i="71"/>
  <c r="H21" i="71"/>
  <c r="I21" i="71"/>
  <c r="C22" i="71"/>
  <c r="H22" i="71"/>
  <c r="I22" i="71"/>
  <c r="C23" i="71"/>
  <c r="H23" i="71"/>
  <c r="I23" i="71"/>
  <c r="G23" i="71" s="1"/>
  <c r="F23" i="71" s="1"/>
  <c r="C24" i="71"/>
  <c r="H24" i="71"/>
  <c r="I24" i="71"/>
  <c r="C25" i="71"/>
  <c r="H25" i="71"/>
  <c r="I25" i="71"/>
  <c r="C26" i="71"/>
  <c r="H26" i="71"/>
  <c r="I26" i="71"/>
  <c r="C27" i="71"/>
  <c r="H27" i="71"/>
  <c r="I27" i="71"/>
  <c r="C28" i="71"/>
  <c r="H28" i="71"/>
  <c r="I28" i="71"/>
  <c r="C30" i="71"/>
  <c r="C31" i="71"/>
  <c r="H9" i="72" l="1"/>
  <c r="G18" i="71"/>
  <c r="G21" i="71"/>
  <c r="F21" i="71" s="1"/>
  <c r="G26" i="71"/>
  <c r="F26" i="71" s="1"/>
  <c r="G11" i="71"/>
  <c r="G27" i="71"/>
  <c r="F27" i="71" s="1"/>
  <c r="G19" i="71"/>
  <c r="F19" i="71" s="1"/>
  <c r="G24" i="71"/>
  <c r="F24" i="71" s="1"/>
  <c r="G14" i="71"/>
  <c r="F14" i="71" s="1"/>
  <c r="G28" i="71"/>
  <c r="F28" i="71" s="1"/>
  <c r="G22" i="71"/>
  <c r="F22" i="71" s="1"/>
  <c r="G15" i="71"/>
  <c r="F15" i="71" s="1"/>
  <c r="G25" i="71"/>
  <c r="F25" i="71" s="1"/>
  <c r="G20" i="71"/>
  <c r="F20" i="71" s="1"/>
  <c r="G12" i="71"/>
  <c r="F12" i="71" s="1"/>
  <c r="C32" i="71"/>
  <c r="D9" i="72"/>
  <c r="C21" i="72"/>
  <c r="C9" i="72" s="1"/>
  <c r="G10" i="72"/>
  <c r="E21" i="72"/>
  <c r="G22" i="72"/>
  <c r="G21" i="72" s="1"/>
  <c r="E10" i="72"/>
  <c r="F11" i="71"/>
  <c r="G13" i="71"/>
  <c r="F13" i="71" s="1"/>
  <c r="G9" i="72" l="1"/>
  <c r="F18" i="71"/>
  <c r="F17" i="71" s="1"/>
  <c r="G17" i="71"/>
  <c r="E9" i="72"/>
  <c r="R9" i="72" l="1"/>
  <c r="K125" i="66"/>
  <c r="K124" i="66"/>
  <c r="K123" i="66"/>
  <c r="K122" i="66"/>
  <c r="K121" i="66"/>
  <c r="K120" i="66"/>
  <c r="G124" i="66"/>
  <c r="G123" i="66"/>
  <c r="K92" i="66"/>
  <c r="K119" i="66" l="1"/>
  <c r="L124" i="66"/>
  <c r="L123" i="66"/>
  <c r="C25" i="27"/>
  <c r="L133" i="66"/>
  <c r="L131" i="66"/>
  <c r="L130" i="66"/>
  <c r="G135" i="66"/>
  <c r="L126" i="66"/>
  <c r="K129" i="66"/>
  <c r="G129" i="66"/>
  <c r="G132" i="66" l="1"/>
  <c r="G128" i="66" s="1"/>
  <c r="L129" i="66"/>
  <c r="L138" i="66"/>
  <c r="L139" i="66"/>
  <c r="L137" i="66"/>
  <c r="L135" i="66"/>
  <c r="L134" i="66"/>
  <c r="K132" i="66"/>
  <c r="C24" i="27" l="1"/>
  <c r="C23" i="27" s="1"/>
  <c r="K128" i="66"/>
  <c r="L132" i="66"/>
  <c r="K109" i="66"/>
  <c r="G30" i="66"/>
  <c r="G29" i="66"/>
  <c r="G28" i="66"/>
  <c r="L128" i="66" l="1"/>
  <c r="K28" i="66"/>
  <c r="L105" i="66"/>
  <c r="L114" i="66"/>
  <c r="L117" i="66"/>
  <c r="K116" i="66"/>
  <c r="K115" i="66"/>
  <c r="K113" i="66"/>
  <c r="K112" i="66"/>
  <c r="K111" i="66"/>
  <c r="K110" i="66"/>
  <c r="K108" i="66"/>
  <c r="K107" i="66"/>
  <c r="K106" i="66"/>
  <c r="K104" i="66"/>
  <c r="K103" i="66"/>
  <c r="K102" i="66"/>
  <c r="K101" i="66"/>
  <c r="K100" i="66"/>
  <c r="K99" i="66"/>
  <c r="K98" i="66"/>
  <c r="K97" i="66"/>
  <c r="K96" i="66"/>
  <c r="K95" i="66"/>
  <c r="K94" i="66"/>
  <c r="K93" i="66"/>
  <c r="K91" i="66"/>
  <c r="K89" i="66"/>
  <c r="K88" i="66"/>
  <c r="K87" i="66"/>
  <c r="K86" i="66"/>
  <c r="K85" i="66"/>
  <c r="K83" i="66"/>
  <c r="K82" i="66"/>
  <c r="K81" i="66"/>
  <c r="K79" i="66"/>
  <c r="K78" i="66"/>
  <c r="K77" i="66"/>
  <c r="K76" i="66"/>
  <c r="K75" i="66"/>
  <c r="K73" i="66"/>
  <c r="K72" i="66"/>
  <c r="K71" i="66"/>
  <c r="K70" i="66"/>
  <c r="K69" i="66"/>
  <c r="K68" i="66"/>
  <c r="K67" i="66"/>
  <c r="K64" i="66"/>
  <c r="K63" i="66"/>
  <c r="K62" i="66"/>
  <c r="K61" i="66"/>
  <c r="K60" i="66"/>
  <c r="K58" i="66"/>
  <c r="K57" i="66"/>
  <c r="K56" i="66"/>
  <c r="K55" i="66"/>
  <c r="K54" i="66"/>
  <c r="K51" i="66"/>
  <c r="K50" i="66"/>
  <c r="K49" i="66"/>
  <c r="K47" i="66"/>
  <c r="K46" i="66"/>
  <c r="K45" i="66"/>
  <c r="K44" i="66"/>
  <c r="K43" i="66"/>
  <c r="K42" i="66"/>
  <c r="K39" i="66"/>
  <c r="K38" i="66"/>
  <c r="K37" i="66"/>
  <c r="K36" i="66"/>
  <c r="K35" i="66"/>
  <c r="K34" i="66"/>
  <c r="K33" i="66"/>
  <c r="K30" i="66"/>
  <c r="K29" i="66"/>
  <c r="K27" i="66"/>
  <c r="K26" i="66"/>
  <c r="K24" i="66"/>
  <c r="K23" i="66"/>
  <c r="K22" i="66"/>
  <c r="K21" i="66"/>
  <c r="K20" i="66"/>
  <c r="K17" i="66"/>
  <c r="K16" i="66"/>
  <c r="K14" i="66"/>
  <c r="K13" i="66"/>
  <c r="K11" i="66"/>
  <c r="K12" i="66" l="1"/>
  <c r="K90" i="66"/>
  <c r="K19" i="66"/>
  <c r="K41" i="66"/>
  <c r="L28" i="66"/>
  <c r="K15" i="66"/>
  <c r="K53" i="66"/>
  <c r="K66" i="66"/>
  <c r="K74" i="66"/>
  <c r="K32" i="66"/>
  <c r="K59" i="66"/>
  <c r="K84" i="66"/>
  <c r="K48" i="66"/>
  <c r="K80" i="66"/>
  <c r="K25" i="66"/>
  <c r="G73" i="66"/>
  <c r="L73" i="66" s="1"/>
  <c r="G64" i="66"/>
  <c r="L64" i="66" s="1"/>
  <c r="G39" i="66"/>
  <c r="L39" i="66" s="1"/>
  <c r="G38" i="66"/>
  <c r="L38" i="66" s="1"/>
  <c r="L30" i="66"/>
  <c r="L29" i="66"/>
  <c r="G16" i="66"/>
  <c r="G91" i="66"/>
  <c r="L91" i="66" s="1"/>
  <c r="G116" i="66"/>
  <c r="L116" i="66" s="1"/>
  <c r="G115" i="66"/>
  <c r="L115" i="66" s="1"/>
  <c r="G113" i="66"/>
  <c r="L113" i="66" s="1"/>
  <c r="G112" i="66"/>
  <c r="L112" i="66" s="1"/>
  <c r="G111" i="66"/>
  <c r="L111" i="66" s="1"/>
  <c r="G110" i="66"/>
  <c r="L110" i="66" s="1"/>
  <c r="G109" i="66"/>
  <c r="L109" i="66" s="1"/>
  <c r="G108" i="66"/>
  <c r="L108" i="66" s="1"/>
  <c r="G107" i="66"/>
  <c r="L107" i="66" s="1"/>
  <c r="G106" i="66"/>
  <c r="L106" i="66" s="1"/>
  <c r="G104" i="66"/>
  <c r="L104" i="66" s="1"/>
  <c r="G103" i="66"/>
  <c r="L103" i="66" s="1"/>
  <c r="G102" i="66"/>
  <c r="L102" i="66" s="1"/>
  <c r="G101" i="66"/>
  <c r="L101" i="66" s="1"/>
  <c r="G100" i="66"/>
  <c r="L100" i="66" s="1"/>
  <c r="G99" i="66"/>
  <c r="L99" i="66" s="1"/>
  <c r="G98" i="66"/>
  <c r="L98" i="66" s="1"/>
  <c r="G97" i="66"/>
  <c r="L97" i="66" s="1"/>
  <c r="G96" i="66"/>
  <c r="L96" i="66" s="1"/>
  <c r="G95" i="66"/>
  <c r="L95" i="66" s="1"/>
  <c r="G94" i="66"/>
  <c r="L94" i="66" s="1"/>
  <c r="G93" i="66"/>
  <c r="L93" i="66" s="1"/>
  <c r="G92" i="66"/>
  <c r="L92" i="66" s="1"/>
  <c r="G89" i="66"/>
  <c r="L89" i="66" s="1"/>
  <c r="G88" i="66"/>
  <c r="L88" i="66" s="1"/>
  <c r="G87" i="66"/>
  <c r="L87" i="66" s="1"/>
  <c r="G86" i="66"/>
  <c r="G85" i="66"/>
  <c r="L85" i="66" s="1"/>
  <c r="G83" i="66"/>
  <c r="L83" i="66" s="1"/>
  <c r="G82" i="66"/>
  <c r="L82" i="66" s="1"/>
  <c r="G81" i="66"/>
  <c r="G79" i="66"/>
  <c r="L79" i="66" s="1"/>
  <c r="G78" i="66"/>
  <c r="L78" i="66" s="1"/>
  <c r="G77" i="66"/>
  <c r="L77" i="66" s="1"/>
  <c r="G76" i="66"/>
  <c r="L76" i="66" s="1"/>
  <c r="G75" i="66"/>
  <c r="L75" i="66" s="1"/>
  <c r="G72" i="66"/>
  <c r="L72" i="66" s="1"/>
  <c r="G71" i="66"/>
  <c r="L71" i="66" s="1"/>
  <c r="G70" i="66"/>
  <c r="L70" i="66" s="1"/>
  <c r="G69" i="66"/>
  <c r="L69" i="66" s="1"/>
  <c r="G68" i="66"/>
  <c r="L68" i="66" s="1"/>
  <c r="G67" i="66"/>
  <c r="G63" i="66"/>
  <c r="L63" i="66" s="1"/>
  <c r="G62" i="66"/>
  <c r="L62" i="66" s="1"/>
  <c r="G61" i="66"/>
  <c r="L61" i="66" s="1"/>
  <c r="G60" i="66"/>
  <c r="L60" i="66" s="1"/>
  <c r="G58" i="66"/>
  <c r="G57" i="66"/>
  <c r="L57" i="66" s="1"/>
  <c r="G56" i="66"/>
  <c r="L56" i="66" s="1"/>
  <c r="G55" i="66"/>
  <c r="L55" i="66" s="1"/>
  <c r="G54" i="66"/>
  <c r="L54" i="66" s="1"/>
  <c r="G51" i="66"/>
  <c r="L51" i="66" s="1"/>
  <c r="G50" i="66"/>
  <c r="L50" i="66" s="1"/>
  <c r="G49" i="66"/>
  <c r="L49" i="66" s="1"/>
  <c r="G47" i="66"/>
  <c r="L47" i="66" s="1"/>
  <c r="G46" i="66"/>
  <c r="L46" i="66" s="1"/>
  <c r="G45" i="66"/>
  <c r="L45" i="66" s="1"/>
  <c r="G44" i="66"/>
  <c r="L44" i="66" s="1"/>
  <c r="G43" i="66"/>
  <c r="L43" i="66" s="1"/>
  <c r="G42" i="66"/>
  <c r="L42" i="66" s="1"/>
  <c r="G37" i="66"/>
  <c r="L37" i="66" s="1"/>
  <c r="G36" i="66"/>
  <c r="L36" i="66" s="1"/>
  <c r="G35" i="66"/>
  <c r="L35" i="66" s="1"/>
  <c r="G34" i="66"/>
  <c r="L34" i="66" s="1"/>
  <c r="G33" i="66"/>
  <c r="L33" i="66" s="1"/>
  <c r="G27" i="66"/>
  <c r="L27" i="66" s="1"/>
  <c r="G26" i="66"/>
  <c r="G24" i="66"/>
  <c r="L24" i="66" s="1"/>
  <c r="G23" i="66"/>
  <c r="L23" i="66" s="1"/>
  <c r="G22" i="66"/>
  <c r="L22" i="66" s="1"/>
  <c r="G21" i="66"/>
  <c r="L21" i="66" s="1"/>
  <c r="G20" i="66"/>
  <c r="G17" i="66"/>
  <c r="L17" i="66" s="1"/>
  <c r="G14" i="66"/>
  <c r="L14" i="66" s="1"/>
  <c r="G13" i="66"/>
  <c r="L13" i="66" s="1"/>
  <c r="G11" i="66"/>
  <c r="K18" i="66" l="1"/>
  <c r="G19" i="66"/>
  <c r="G15" i="66"/>
  <c r="L15" i="66" s="1"/>
  <c r="L20" i="66"/>
  <c r="L26" i="66"/>
  <c r="G25" i="66"/>
  <c r="L25" i="66" s="1"/>
  <c r="G80" i="66"/>
  <c r="L80" i="66" s="1"/>
  <c r="G84" i="66"/>
  <c r="L84" i="66" s="1"/>
  <c r="G66" i="66"/>
  <c r="G65" i="66" s="1"/>
  <c r="L67" i="66"/>
  <c r="G53" i="66"/>
  <c r="K65" i="66"/>
  <c r="G32" i="66"/>
  <c r="G31" i="66" s="1"/>
  <c r="G48" i="66"/>
  <c r="G74" i="66"/>
  <c r="L74" i="66" s="1"/>
  <c r="K31" i="66"/>
  <c r="L86" i="66"/>
  <c r="G12" i="66"/>
  <c r="L12" i="66" s="1"/>
  <c r="G41" i="66"/>
  <c r="L41" i="66" s="1"/>
  <c r="L16" i="66"/>
  <c r="K40" i="66"/>
  <c r="L81" i="66"/>
  <c r="G59" i="66"/>
  <c r="L59" i="66" s="1"/>
  <c r="G90" i="66"/>
  <c r="K52" i="66"/>
  <c r="L90" i="66" l="1"/>
  <c r="K10" i="66"/>
  <c r="K9" i="66" s="1"/>
  <c r="C20" i="27" s="1"/>
  <c r="C19" i="27" s="1"/>
  <c r="L66" i="66"/>
  <c r="L65" i="66"/>
  <c r="G52" i="66"/>
  <c r="L32" i="66"/>
  <c r="G40" i="66"/>
  <c r="L40" i="66" s="1"/>
  <c r="L48" i="66"/>
  <c r="L52" i="66"/>
  <c r="G18" i="66"/>
  <c r="L18" i="66" s="1"/>
  <c r="L19" i="66"/>
  <c r="L53" i="66"/>
  <c r="L31" i="66"/>
  <c r="C42" i="27"/>
  <c r="C43" i="27"/>
  <c r="C44" i="27"/>
  <c r="C45" i="27"/>
  <c r="C41" i="27" l="1"/>
  <c r="G10" i="66"/>
  <c r="G9" i="66" s="1"/>
  <c r="F17" i="70"/>
  <c r="F16" i="70" s="1"/>
  <c r="F19" i="70"/>
  <c r="F18" i="70" s="1"/>
  <c r="F15" i="70"/>
  <c r="F14" i="70"/>
  <c r="F13" i="70"/>
  <c r="F11" i="70"/>
  <c r="F10" i="70" s="1"/>
  <c r="G18" i="70"/>
  <c r="H18" i="70"/>
  <c r="I18" i="70"/>
  <c r="K18" i="70"/>
  <c r="L16" i="70"/>
  <c r="M16" i="70"/>
  <c r="N16" i="70"/>
  <c r="P16" i="70"/>
  <c r="G12" i="70"/>
  <c r="H12" i="70"/>
  <c r="I12" i="70"/>
  <c r="J12" i="70"/>
  <c r="K12" i="70"/>
  <c r="L12" i="70"/>
  <c r="M12" i="70"/>
  <c r="O12" i="70"/>
  <c r="J9" i="70"/>
  <c r="O9" i="70"/>
  <c r="A3" i="70"/>
  <c r="P17" i="70"/>
  <c r="Q17" i="70"/>
  <c r="Q16" i="70" s="1"/>
  <c r="Q15" i="70"/>
  <c r="Q12" i="70" s="1"/>
  <c r="P15" i="70"/>
  <c r="P19" i="70"/>
  <c r="P18" i="70" s="1"/>
  <c r="P14" i="70"/>
  <c r="G10" i="70"/>
  <c r="H10" i="70"/>
  <c r="I10" i="70"/>
  <c r="I9" i="70" s="1"/>
  <c r="Q9" i="70" l="1"/>
  <c r="H9" i="70"/>
  <c r="G9" i="70"/>
  <c r="F12" i="70"/>
  <c r="F9" i="70"/>
  <c r="K9" i="70"/>
  <c r="L9" i="70"/>
  <c r="N9" i="70"/>
  <c r="M9" i="70"/>
  <c r="P11" i="70"/>
  <c r="P10" i="70" s="1"/>
  <c r="P13" i="70"/>
  <c r="P12" i="70" s="1"/>
  <c r="C40" i="27"/>
  <c r="C39" i="27"/>
  <c r="C38" i="27"/>
  <c r="C37" i="27"/>
  <c r="A4" i="69"/>
  <c r="C10" i="69"/>
  <c r="E11" i="69"/>
  <c r="E10" i="69" s="1"/>
  <c r="C12" i="69"/>
  <c r="E13" i="69"/>
  <c r="E12" i="69" s="1"/>
  <c r="C14" i="69"/>
  <c r="E15" i="69"/>
  <c r="E14" i="69" s="1"/>
  <c r="C16" i="69"/>
  <c r="E17" i="69"/>
  <c r="E16" i="69" s="1"/>
  <c r="C36" i="27" l="1"/>
  <c r="P9" i="70"/>
  <c r="C9" i="69"/>
  <c r="E9" i="69"/>
  <c r="A3" i="68" l="1"/>
  <c r="F8" i="68"/>
  <c r="D9" i="68"/>
  <c r="F9" i="68"/>
  <c r="D11" i="68"/>
  <c r="E11" i="68"/>
  <c r="F11" i="68"/>
  <c r="E13" i="68"/>
  <c r="F13" i="68"/>
  <c r="C10" i="68"/>
  <c r="C9" i="68" s="1"/>
  <c r="E10" i="68"/>
  <c r="E9" i="68" s="1"/>
  <c r="E8" i="68" s="1"/>
  <c r="C14" i="68"/>
  <c r="G14" i="68" s="1"/>
  <c r="C12" i="68"/>
  <c r="C11" i="68" s="1"/>
  <c r="D15" i="68"/>
  <c r="D13" i="68" s="1"/>
  <c r="D8" i="68" s="1"/>
  <c r="C13" i="68" l="1"/>
  <c r="C8" i="68" s="1"/>
  <c r="G12" i="68"/>
  <c r="G11" i="68" s="1"/>
  <c r="C34" i="27" s="1"/>
  <c r="G15" i="68"/>
  <c r="G13" i="68" s="1"/>
  <c r="C35" i="27" s="1"/>
  <c r="G10" i="68"/>
  <c r="G9" i="68" s="1"/>
  <c r="C33" i="27" s="1"/>
  <c r="C32" i="27" l="1"/>
  <c r="C31" i="27" s="1"/>
  <c r="G8" i="68"/>
  <c r="G23" i="27" l="1"/>
  <c r="G121" i="66"/>
  <c r="G122" i="66"/>
  <c r="G125" i="66"/>
  <c r="G120" i="66"/>
  <c r="G36" i="27" l="1"/>
  <c r="G119" i="66"/>
  <c r="L119" i="66" s="1"/>
  <c r="L120" i="66"/>
  <c r="L125" i="66"/>
  <c r="L121" i="66"/>
  <c r="L127" i="66"/>
  <c r="L122" i="66"/>
  <c r="K118" i="66" l="1"/>
  <c r="F35" i="27" s="1"/>
  <c r="F36" i="27" s="1"/>
  <c r="C22" i="27" l="1"/>
  <c r="C21" i="27" s="1"/>
  <c r="G118" i="66"/>
  <c r="Q8" i="66" s="1"/>
  <c r="L118" i="66" l="1"/>
  <c r="L58" i="66"/>
  <c r="L11" i="66"/>
  <c r="L10" i="66" l="1"/>
  <c r="L9" i="66" s="1"/>
  <c r="E32" i="27" l="1"/>
  <c r="C7" i="27"/>
  <c r="M7" i="61"/>
  <c r="A3" i="62"/>
  <c r="A3" i="61"/>
  <c r="E8" i="60"/>
  <c r="D8" i="60" s="1"/>
  <c r="C16" i="60"/>
  <c r="G31" i="27" l="1"/>
  <c r="G32" i="27" s="1"/>
  <c r="F40" i="27"/>
  <c r="I8" i="60"/>
  <c r="H8" i="60"/>
  <c r="G8" i="60"/>
  <c r="F41" i="27" l="1"/>
  <c r="G33" i="27"/>
  <c r="G38" i="27" s="1"/>
  <c r="E22" i="27"/>
  <c r="F37" i="27"/>
  <c r="A3" i="60"/>
  <c r="C152" i="62"/>
  <c r="C151" i="62"/>
  <c r="C150" i="62" s="1"/>
  <c r="C146" i="62"/>
  <c r="C136" i="62"/>
  <c r="C134" i="62"/>
  <c r="C131" i="62"/>
  <c r="C123" i="62"/>
  <c r="C119" i="62"/>
  <c r="C114" i="62"/>
  <c r="C109" i="62"/>
  <c r="C105" i="62" s="1"/>
  <c r="C100" i="62"/>
  <c r="C99" i="62"/>
  <c r="C98" i="62"/>
  <c r="C90" i="62"/>
  <c r="C85" i="62"/>
  <c r="C81" i="62"/>
  <c r="C79" i="62"/>
  <c r="C78" i="62" s="1"/>
  <c r="C75" i="62"/>
  <c r="C73" i="62"/>
  <c r="C72" i="62" s="1"/>
  <c r="C71" i="62" s="1"/>
  <c r="C68" i="62"/>
  <c r="C63" i="62"/>
  <c r="C62" i="62" s="1"/>
  <c r="C56" i="62" s="1"/>
  <c r="B52" i="62"/>
  <c r="C51" i="62"/>
  <c r="C50" i="62" s="1"/>
  <c r="C49" i="62" s="1"/>
  <c r="C46" i="62"/>
  <c r="C43" i="62"/>
  <c r="C41" i="62" s="1"/>
  <c r="C33" i="62"/>
  <c r="C28" i="62"/>
  <c r="C27" i="62" s="1"/>
  <c r="C23" i="62"/>
  <c r="C20" i="62"/>
  <c r="C19" i="62" s="1"/>
  <c r="C13" i="62"/>
  <c r="C10" i="62" s="1"/>
  <c r="C8" i="62" s="1"/>
  <c r="F313" i="61"/>
  <c r="C313" i="61"/>
  <c r="H312" i="61"/>
  <c r="H317" i="61" s="1"/>
  <c r="E312" i="61"/>
  <c r="E317" i="61" s="1"/>
  <c r="H311" i="61"/>
  <c r="H316" i="61" s="1"/>
  <c r="E311" i="61"/>
  <c r="E316" i="61" s="1"/>
  <c r="H310" i="61"/>
  <c r="H315" i="61" s="1"/>
  <c r="E310" i="61"/>
  <c r="E315" i="61" s="1"/>
  <c r="H309" i="61"/>
  <c r="E309" i="61"/>
  <c r="F308" i="61"/>
  <c r="F307" i="61" s="1"/>
  <c r="C308" i="61"/>
  <c r="C307" i="61" s="1"/>
  <c r="H303" i="61"/>
  <c r="E303" i="61"/>
  <c r="E305" i="61" s="1"/>
  <c r="E304" i="61" s="1"/>
  <c r="F302" i="61"/>
  <c r="F301" i="61" s="1"/>
  <c r="C302" i="61"/>
  <c r="C301" i="61" s="1"/>
  <c r="F296" i="61"/>
  <c r="C296" i="61"/>
  <c r="H295" i="61"/>
  <c r="H299" i="61" s="1"/>
  <c r="E295" i="61"/>
  <c r="E299" i="61" s="1"/>
  <c r="H294" i="61"/>
  <c r="H298" i="61" s="1"/>
  <c r="E294" i="61"/>
  <c r="E298" i="61" s="1"/>
  <c r="H293" i="61"/>
  <c r="H297" i="61" s="1"/>
  <c r="E293" i="61"/>
  <c r="E297" i="61" s="1"/>
  <c r="F292" i="61"/>
  <c r="C292" i="61"/>
  <c r="F291" i="61"/>
  <c r="C291" i="61"/>
  <c r="C290" i="61" s="1"/>
  <c r="H288" i="61"/>
  <c r="E288" i="61"/>
  <c r="H287" i="61"/>
  <c r="E287" i="61"/>
  <c r="H286" i="61"/>
  <c r="E286" i="61"/>
  <c r="H285" i="61"/>
  <c r="E285" i="61"/>
  <c r="H284" i="61"/>
  <c r="E284" i="61"/>
  <c r="H283" i="61"/>
  <c r="E283" i="61"/>
  <c r="H282" i="61"/>
  <c r="E282" i="61"/>
  <c r="F281" i="61"/>
  <c r="C281" i="61"/>
  <c r="I280" i="61"/>
  <c r="F278" i="61"/>
  <c r="C278" i="61"/>
  <c r="H277" i="61"/>
  <c r="H279" i="61" s="1"/>
  <c r="H278" i="61" s="1"/>
  <c r="E277" i="61"/>
  <c r="H276" i="61"/>
  <c r="F276" i="61"/>
  <c r="F275" i="61" s="1"/>
  <c r="C276" i="61"/>
  <c r="C275" i="61" s="1"/>
  <c r="I274" i="61"/>
  <c r="F271" i="61"/>
  <c r="C271" i="61"/>
  <c r="H270" i="61"/>
  <c r="E270" i="61"/>
  <c r="E273" i="61" s="1"/>
  <c r="H269" i="61"/>
  <c r="H272" i="61" s="1"/>
  <c r="E269" i="61"/>
  <c r="F268" i="61"/>
  <c r="F267" i="61" s="1"/>
  <c r="C268" i="61"/>
  <c r="C267" i="61" s="1"/>
  <c r="F259" i="61"/>
  <c r="C259" i="61"/>
  <c r="H258" i="61"/>
  <c r="H263" i="61" s="1"/>
  <c r="E258" i="61"/>
  <c r="E263" i="61" s="1"/>
  <c r="H257" i="61"/>
  <c r="H262" i="61" s="1"/>
  <c r="E257" i="61"/>
  <c r="E262" i="61" s="1"/>
  <c r="H256" i="61"/>
  <c r="H261" i="61" s="1"/>
  <c r="E256" i="61"/>
  <c r="E261" i="61" s="1"/>
  <c r="H255" i="61"/>
  <c r="H260" i="61" s="1"/>
  <c r="E255" i="61"/>
  <c r="E260" i="61" s="1"/>
  <c r="F254" i="61"/>
  <c r="F253" i="61" s="1"/>
  <c r="C254" i="61"/>
  <c r="C253" i="61" s="1"/>
  <c r="F248" i="61"/>
  <c r="C248" i="61"/>
  <c r="H247" i="61"/>
  <c r="H251" i="61" s="1"/>
  <c r="E247" i="61"/>
  <c r="E251" i="61" s="1"/>
  <c r="H246" i="61"/>
  <c r="H250" i="61" s="1"/>
  <c r="E246" i="61"/>
  <c r="E250" i="61" s="1"/>
  <c r="H245" i="61"/>
  <c r="H249" i="61" s="1"/>
  <c r="E245" i="61"/>
  <c r="F244" i="61"/>
  <c r="F243" i="61" s="1"/>
  <c r="C244" i="61"/>
  <c r="F237" i="61"/>
  <c r="C237" i="61"/>
  <c r="H236" i="61"/>
  <c r="H241" i="61" s="1"/>
  <c r="E236" i="61"/>
  <c r="E241" i="61" s="1"/>
  <c r="H235" i="61"/>
  <c r="H240" i="61" s="1"/>
  <c r="E235" i="61"/>
  <c r="E240" i="61" s="1"/>
  <c r="H234" i="61"/>
  <c r="H239" i="61" s="1"/>
  <c r="E234" i="61"/>
  <c r="H233" i="61"/>
  <c r="H238" i="61" s="1"/>
  <c r="E233" i="61"/>
  <c r="E238" i="61" s="1"/>
  <c r="F232" i="61"/>
  <c r="F231" i="61" s="1"/>
  <c r="C232" i="61"/>
  <c r="C231" i="61" s="1"/>
  <c r="C230" i="61" s="1"/>
  <c r="H228" i="61"/>
  <c r="I228" i="61" s="1"/>
  <c r="K228" i="61" s="1"/>
  <c r="K218" i="61" s="1"/>
  <c r="F228" i="61"/>
  <c r="I227" i="61"/>
  <c r="I226" i="61"/>
  <c r="H225" i="61"/>
  <c r="E225" i="61"/>
  <c r="E224" i="61" s="1"/>
  <c r="I223" i="61"/>
  <c r="I222" i="61"/>
  <c r="H221" i="61"/>
  <c r="E221" i="61"/>
  <c r="E220" i="61" s="1"/>
  <c r="E219" i="61" s="1"/>
  <c r="E218" i="61" s="1"/>
  <c r="J218" i="61"/>
  <c r="C218" i="61"/>
  <c r="F218" i="61" s="1"/>
  <c r="F213" i="61"/>
  <c r="C213" i="61"/>
  <c r="F212" i="61"/>
  <c r="C212" i="61"/>
  <c r="F211" i="61"/>
  <c r="F210" i="61" s="1"/>
  <c r="C211" i="61"/>
  <c r="H209" i="61"/>
  <c r="H216" i="61" s="1"/>
  <c r="E209" i="61"/>
  <c r="E216" i="61" s="1"/>
  <c r="H208" i="61"/>
  <c r="H215" i="61" s="1"/>
  <c r="E208" i="61"/>
  <c r="E215" i="61" s="1"/>
  <c r="H207" i="61"/>
  <c r="H214" i="61" s="1"/>
  <c r="E207" i="61"/>
  <c r="E214" i="61" s="1"/>
  <c r="F206" i="61"/>
  <c r="H206" i="61" s="1"/>
  <c r="H213" i="61" s="1"/>
  <c r="C206" i="61"/>
  <c r="F205" i="61"/>
  <c r="H205" i="61" s="1"/>
  <c r="H212" i="61" s="1"/>
  <c r="C205" i="61"/>
  <c r="E205" i="61" s="1"/>
  <c r="E212" i="61" s="1"/>
  <c r="F204" i="61"/>
  <c r="E204" i="61"/>
  <c r="E211" i="61" s="1"/>
  <c r="C204" i="61"/>
  <c r="E203" i="61"/>
  <c r="F194" i="61"/>
  <c r="C194" i="61"/>
  <c r="H193" i="61"/>
  <c r="H200" i="61" s="1"/>
  <c r="E193" i="61"/>
  <c r="E200" i="61" s="1"/>
  <c r="H192" i="61"/>
  <c r="H199" i="61" s="1"/>
  <c r="E192" i="61"/>
  <c r="E199" i="61" s="1"/>
  <c r="H191" i="61"/>
  <c r="H198" i="61" s="1"/>
  <c r="E191" i="61"/>
  <c r="E198" i="61" s="1"/>
  <c r="H190" i="61"/>
  <c r="H197" i="61" s="1"/>
  <c r="E190" i="61"/>
  <c r="E197" i="61" s="1"/>
  <c r="H189" i="61"/>
  <c r="H196" i="61" s="1"/>
  <c r="E189" i="61"/>
  <c r="E196" i="61" s="1"/>
  <c r="H188" i="61"/>
  <c r="E188" i="61"/>
  <c r="F187" i="61"/>
  <c r="C187" i="61"/>
  <c r="C186" i="61" s="1"/>
  <c r="F186" i="61" s="1"/>
  <c r="F181" i="61"/>
  <c r="C181" i="61"/>
  <c r="H180" i="61"/>
  <c r="H184" i="61" s="1"/>
  <c r="E180" i="61"/>
  <c r="E184" i="61" s="1"/>
  <c r="H179" i="61"/>
  <c r="E179" i="61"/>
  <c r="E183" i="61" s="1"/>
  <c r="H178" i="61"/>
  <c r="H182" i="61" s="1"/>
  <c r="E178" i="61"/>
  <c r="F177" i="61"/>
  <c r="F176" i="61" s="1"/>
  <c r="C177" i="61"/>
  <c r="C176" i="61" s="1"/>
  <c r="I173" i="61"/>
  <c r="I172" i="61" s="1"/>
  <c r="K172" i="61" s="1"/>
  <c r="E172" i="61"/>
  <c r="C172" i="61"/>
  <c r="F172" i="61" s="1"/>
  <c r="H172" i="61" s="1"/>
  <c r="H171" i="61"/>
  <c r="H170" i="61" s="1"/>
  <c r="E171" i="61"/>
  <c r="E170" i="61" s="1"/>
  <c r="I170" i="61" s="1"/>
  <c r="H167" i="61"/>
  <c r="E167" i="61"/>
  <c r="E169" i="61" s="1"/>
  <c r="E168" i="61" s="1"/>
  <c r="F165" i="61"/>
  <c r="F164" i="61" s="1"/>
  <c r="C165" i="61"/>
  <c r="C164" i="61" s="1"/>
  <c r="H163" i="61"/>
  <c r="E163" i="61"/>
  <c r="H162" i="61"/>
  <c r="E162" i="61"/>
  <c r="H157" i="61"/>
  <c r="H160" i="61" s="1"/>
  <c r="E157" i="61"/>
  <c r="H156" i="61"/>
  <c r="E156" i="61"/>
  <c r="E159" i="61" s="1"/>
  <c r="F155" i="61"/>
  <c r="F158" i="61" s="1"/>
  <c r="C155" i="61"/>
  <c r="H153" i="61"/>
  <c r="E153" i="61"/>
  <c r="H150" i="61"/>
  <c r="H152" i="61" s="1"/>
  <c r="H151" i="61" s="1"/>
  <c r="C150" i="61"/>
  <c r="E150" i="61" s="1"/>
  <c r="E149" i="61" s="1"/>
  <c r="F148" i="61"/>
  <c r="J146" i="61"/>
  <c r="J145" i="61" s="1"/>
  <c r="H142" i="61"/>
  <c r="H144" i="61" s="1"/>
  <c r="H143" i="61" s="1"/>
  <c r="E142" i="61"/>
  <c r="E144" i="61" s="1"/>
  <c r="E143" i="61" s="1"/>
  <c r="F140" i="61"/>
  <c r="C140" i="61"/>
  <c r="H136" i="61"/>
  <c r="E136" i="61"/>
  <c r="E138" i="61" s="1"/>
  <c r="E137" i="61" s="1"/>
  <c r="F134" i="61"/>
  <c r="C134" i="61"/>
  <c r="H133" i="61"/>
  <c r="E133" i="61"/>
  <c r="H130" i="61"/>
  <c r="H132" i="61" s="1"/>
  <c r="H131" i="61" s="1"/>
  <c r="E130" i="61"/>
  <c r="E132" i="61" s="1"/>
  <c r="E131" i="61" s="1"/>
  <c r="F128" i="61"/>
  <c r="C128" i="61"/>
  <c r="F102" i="61"/>
  <c r="C102" i="61"/>
  <c r="H101" i="61"/>
  <c r="H104" i="61" s="1"/>
  <c r="E101" i="61"/>
  <c r="H100" i="61"/>
  <c r="E100" i="61"/>
  <c r="E103" i="61" s="1"/>
  <c r="F99" i="61"/>
  <c r="F98" i="61" s="1"/>
  <c r="F97" i="61" s="1"/>
  <c r="F96" i="61" s="1"/>
  <c r="C99" i="61"/>
  <c r="C98" i="61" s="1"/>
  <c r="C97" i="61" s="1"/>
  <c r="C96" i="61" s="1"/>
  <c r="I95" i="61"/>
  <c r="I94" i="61"/>
  <c r="E93" i="61"/>
  <c r="C93" i="61"/>
  <c r="F93" i="61" s="1"/>
  <c r="I92" i="61"/>
  <c r="E92" i="61"/>
  <c r="I91" i="61"/>
  <c r="E91" i="61"/>
  <c r="H90" i="61"/>
  <c r="G90" i="61"/>
  <c r="F90" i="61"/>
  <c r="C90" i="61"/>
  <c r="F87" i="61"/>
  <c r="C87" i="61"/>
  <c r="H86" i="61"/>
  <c r="H89" i="61" s="1"/>
  <c r="E86" i="61"/>
  <c r="E89" i="61" s="1"/>
  <c r="H85" i="61"/>
  <c r="E85" i="61"/>
  <c r="E88" i="61" s="1"/>
  <c r="F84" i="61"/>
  <c r="F83" i="61" s="1"/>
  <c r="F78" i="61" s="1"/>
  <c r="F77" i="61" s="1"/>
  <c r="C84" i="61"/>
  <c r="C83" i="61" s="1"/>
  <c r="C78" i="61" s="1"/>
  <c r="C77" i="61" s="1"/>
  <c r="C75" i="61"/>
  <c r="C74" i="61"/>
  <c r="C73" i="61"/>
  <c r="C72" i="61"/>
  <c r="H71" i="61"/>
  <c r="H69" i="61"/>
  <c r="H75" i="61" s="1"/>
  <c r="C69" i="61"/>
  <c r="E69" i="61" s="1"/>
  <c r="H68" i="61"/>
  <c r="H74" i="61" s="1"/>
  <c r="C68" i="61"/>
  <c r="E68" i="61" s="1"/>
  <c r="H67" i="61"/>
  <c r="H73" i="61" s="1"/>
  <c r="C67" i="61"/>
  <c r="E67" i="61" s="1"/>
  <c r="H66" i="61"/>
  <c r="H72" i="61" s="1"/>
  <c r="C66" i="61"/>
  <c r="E66" i="61" s="1"/>
  <c r="H65" i="61"/>
  <c r="C65" i="61"/>
  <c r="E65" i="61" s="1"/>
  <c r="E71" i="61" s="1"/>
  <c r="F64" i="61"/>
  <c r="F63" i="61" s="1"/>
  <c r="I62" i="61"/>
  <c r="I61" i="61"/>
  <c r="I60" i="61"/>
  <c r="I59" i="61"/>
  <c r="I58" i="61"/>
  <c r="F54" i="61"/>
  <c r="C54" i="61"/>
  <c r="H53" i="61"/>
  <c r="H57" i="61" s="1"/>
  <c r="C53" i="61"/>
  <c r="E53" i="61" s="1"/>
  <c r="H52" i="61"/>
  <c r="H56" i="61" s="1"/>
  <c r="C52" i="61"/>
  <c r="E52" i="61" s="1"/>
  <c r="H51" i="61"/>
  <c r="C51" i="61"/>
  <c r="E51" i="61" s="1"/>
  <c r="E55" i="61" s="1"/>
  <c r="F50" i="61"/>
  <c r="F49" i="61" s="1"/>
  <c r="N47" i="61"/>
  <c r="H46" i="61"/>
  <c r="E46" i="61"/>
  <c r="E45" i="61"/>
  <c r="H44" i="61"/>
  <c r="E44" i="61"/>
  <c r="I44" i="61" s="1"/>
  <c r="F43" i="61"/>
  <c r="C41" i="61"/>
  <c r="F41" i="61" s="1"/>
  <c r="H41" i="61" s="1"/>
  <c r="H40" i="61" s="1"/>
  <c r="E38" i="61"/>
  <c r="E37" i="61" s="1"/>
  <c r="H37" i="61"/>
  <c r="H34" i="61"/>
  <c r="H36" i="61" s="1"/>
  <c r="H35" i="61" s="1"/>
  <c r="C34" i="61"/>
  <c r="E34" i="61" s="1"/>
  <c r="E36" i="61" s="1"/>
  <c r="E35" i="61" s="1"/>
  <c r="E33" i="61"/>
  <c r="F32" i="61"/>
  <c r="J29" i="61"/>
  <c r="I28" i="61"/>
  <c r="C27" i="61"/>
  <c r="E27" i="61" s="1"/>
  <c r="G22" i="61"/>
  <c r="F21" i="61"/>
  <c r="F17" i="61"/>
  <c r="H20" i="61" s="1"/>
  <c r="I20" i="61" s="1"/>
  <c r="F16" i="61"/>
  <c r="F12" i="61"/>
  <c r="H15" i="61" s="1"/>
  <c r="I15" i="61" s="1"/>
  <c r="F6" i="61"/>
  <c r="F127" i="61" l="1"/>
  <c r="C203" i="61"/>
  <c r="C202" i="61" s="1"/>
  <c r="C175" i="61"/>
  <c r="E90" i="61"/>
  <c r="I153" i="61"/>
  <c r="I68" i="61"/>
  <c r="C40" i="62"/>
  <c r="C39" i="62" s="1"/>
  <c r="C76" i="61"/>
  <c r="F11" i="61"/>
  <c r="F10" i="61" s="1"/>
  <c r="F9" i="61" s="1"/>
  <c r="I93" i="61"/>
  <c r="H187" i="61"/>
  <c r="I71" i="61"/>
  <c r="H129" i="61"/>
  <c r="E155" i="61"/>
  <c r="C229" i="61"/>
  <c r="C217" i="61" s="1"/>
  <c r="I89" i="61"/>
  <c r="C127" i="61"/>
  <c r="C126" i="61" s="1"/>
  <c r="C114" i="61" s="1"/>
  <c r="H195" i="61"/>
  <c r="H268" i="61"/>
  <c r="E129" i="61"/>
  <c r="H128" i="61"/>
  <c r="C174" i="61"/>
  <c r="I131" i="61"/>
  <c r="F47" i="61"/>
  <c r="I143" i="61"/>
  <c r="E308" i="61"/>
  <c r="I35" i="61"/>
  <c r="I66" i="61"/>
  <c r="I90" i="61"/>
  <c r="E160" i="61"/>
  <c r="E158" i="61" s="1"/>
  <c r="E177" i="61"/>
  <c r="C210" i="61"/>
  <c r="H273" i="61"/>
  <c r="H271" i="61" s="1"/>
  <c r="H267" i="61" s="1"/>
  <c r="H281" i="61"/>
  <c r="E313" i="61"/>
  <c r="E307" i="61" s="1"/>
  <c r="E314" i="61"/>
  <c r="E254" i="61"/>
  <c r="F266" i="61"/>
  <c r="I46" i="61"/>
  <c r="H248" i="61"/>
  <c r="H292" i="61"/>
  <c r="H64" i="61"/>
  <c r="J7" i="61"/>
  <c r="O7" i="61" s="1"/>
  <c r="H161" i="61"/>
  <c r="F175" i="61"/>
  <c r="H232" i="61"/>
  <c r="I86" i="61"/>
  <c r="E206" i="61"/>
  <c r="E213" i="61" s="1"/>
  <c r="E187" i="61"/>
  <c r="C32" i="61"/>
  <c r="I37" i="61"/>
  <c r="H84" i="61"/>
  <c r="I133" i="61"/>
  <c r="E141" i="61"/>
  <c r="E140" i="61" s="1"/>
  <c r="H149" i="61"/>
  <c r="H177" i="61"/>
  <c r="C113" i="62"/>
  <c r="C112" i="62" s="1"/>
  <c r="C104" i="62" s="1"/>
  <c r="E296" i="61"/>
  <c r="C84" i="62"/>
  <c r="H33" i="61"/>
  <c r="H32" i="61" s="1"/>
  <c r="F230" i="61"/>
  <c r="F229" i="61" s="1"/>
  <c r="F217" i="61" s="1"/>
  <c r="H254" i="61"/>
  <c r="H253" i="61" s="1"/>
  <c r="E281" i="61"/>
  <c r="E302" i="61"/>
  <c r="E301" i="61" s="1"/>
  <c r="C26" i="62"/>
  <c r="C18" i="62" s="1"/>
  <c r="C97" i="62"/>
  <c r="E26" i="61"/>
  <c r="I26" i="61" s="1"/>
  <c r="I27" i="61"/>
  <c r="E73" i="61"/>
  <c r="I73" i="61" s="1"/>
  <c r="I67" i="61"/>
  <c r="E75" i="61"/>
  <c r="I75" i="61" s="1"/>
  <c r="I69" i="61"/>
  <c r="C26" i="61"/>
  <c r="C25" i="61" s="1"/>
  <c r="H13" i="61"/>
  <c r="H14" i="61" s="1"/>
  <c r="H11" i="61" s="1"/>
  <c r="H18" i="61"/>
  <c r="I18" i="61" s="1"/>
  <c r="E41" i="61"/>
  <c r="E40" i="61" s="1"/>
  <c r="I40" i="61" s="1"/>
  <c r="C39" i="61"/>
  <c r="H194" i="61"/>
  <c r="H186" i="61" s="1"/>
  <c r="I52" i="61"/>
  <c r="E56" i="61"/>
  <c r="I56" i="61" s="1"/>
  <c r="E50" i="61"/>
  <c r="H99" i="61"/>
  <c r="H103" i="61"/>
  <c r="I100" i="61"/>
  <c r="F290" i="61"/>
  <c r="C289" i="61"/>
  <c r="F289" i="61" s="1"/>
  <c r="E25" i="61"/>
  <c r="E57" i="61"/>
  <c r="I57" i="61" s="1"/>
  <c r="I53" i="61"/>
  <c r="E64" i="61"/>
  <c r="E84" i="61"/>
  <c r="E87" i="61"/>
  <c r="E104" i="61"/>
  <c r="I104" i="61" s="1"/>
  <c r="E99" i="61"/>
  <c r="H138" i="61"/>
  <c r="H137" i="61" s="1"/>
  <c r="I137" i="61" s="1"/>
  <c r="H135" i="61"/>
  <c r="C148" i="61"/>
  <c r="E182" i="61"/>
  <c r="E181" i="61" s="1"/>
  <c r="E244" i="61"/>
  <c r="E249" i="61"/>
  <c r="E248" i="61" s="1"/>
  <c r="E259" i="61"/>
  <c r="C130" i="62"/>
  <c r="C129" i="62" s="1"/>
  <c r="E74" i="61"/>
  <c r="I74" i="61" s="1"/>
  <c r="I85" i="61"/>
  <c r="E128" i="61"/>
  <c r="I129" i="61"/>
  <c r="I128" i="61" s="1"/>
  <c r="H148" i="61"/>
  <c r="E161" i="61"/>
  <c r="I161" i="61" s="1"/>
  <c r="E239" i="61"/>
  <c r="E237" i="61" s="1"/>
  <c r="E232" i="61"/>
  <c r="H259" i="61"/>
  <c r="E292" i="61"/>
  <c r="F203" i="61"/>
  <c r="F202" i="61" s="1"/>
  <c r="F174" i="61" s="1"/>
  <c r="H204" i="61"/>
  <c r="E32" i="61"/>
  <c r="I33" i="61"/>
  <c r="I51" i="61"/>
  <c r="F76" i="61"/>
  <c r="I149" i="61"/>
  <c r="H224" i="61"/>
  <c r="I224" i="61" s="1"/>
  <c r="I225" i="61"/>
  <c r="H237" i="61"/>
  <c r="H275" i="61"/>
  <c r="C154" i="61"/>
  <c r="F154" i="61" s="1"/>
  <c r="F147" i="61" s="1"/>
  <c r="F146" i="61" s="1"/>
  <c r="C161" i="61"/>
  <c r="C158" i="61"/>
  <c r="H24" i="61"/>
  <c r="I24" i="61" s="1"/>
  <c r="H22" i="61"/>
  <c r="H50" i="61"/>
  <c r="H70" i="61"/>
  <c r="E276" i="61"/>
  <c r="E279" i="61"/>
  <c r="E278" i="61" s="1"/>
  <c r="I278" i="61" s="1"/>
  <c r="C145" i="62"/>
  <c r="C144" i="62" s="1"/>
  <c r="C266" i="61"/>
  <c r="C265" i="61" s="1"/>
  <c r="H43" i="61"/>
  <c r="H42" i="61" s="1"/>
  <c r="H39" i="61" s="1"/>
  <c r="H31" i="61" s="1"/>
  <c r="H30" i="61" s="1"/>
  <c r="H55" i="61"/>
  <c r="H54" i="61" s="1"/>
  <c r="E152" i="61"/>
  <c r="E151" i="61" s="1"/>
  <c r="I151" i="61" s="1"/>
  <c r="H155" i="61"/>
  <c r="H159" i="61"/>
  <c r="H158" i="61" s="1"/>
  <c r="H169" i="61"/>
  <c r="H168" i="61" s="1"/>
  <c r="I168" i="61" s="1"/>
  <c r="H166" i="61"/>
  <c r="E253" i="61"/>
  <c r="H308" i="61"/>
  <c r="H314" i="61"/>
  <c r="H313" i="61" s="1"/>
  <c r="C83" i="62"/>
  <c r="C70" i="62" s="1"/>
  <c r="C64" i="61"/>
  <c r="C63" i="61" s="1"/>
  <c r="F39" i="61"/>
  <c r="F31" i="61" s="1"/>
  <c r="F30" i="61" s="1"/>
  <c r="F29" i="61" s="1"/>
  <c r="I65" i="61"/>
  <c r="E72" i="61"/>
  <c r="I72" i="61" s="1"/>
  <c r="F126" i="61"/>
  <c r="F114" i="61" s="1"/>
  <c r="H220" i="61"/>
  <c r="I221" i="61"/>
  <c r="E268" i="61"/>
  <c r="E272" i="61"/>
  <c r="E271" i="61" s="1"/>
  <c r="H296" i="61"/>
  <c r="H305" i="61"/>
  <c r="H304" i="61" s="1"/>
  <c r="I304" i="61" s="1"/>
  <c r="H302" i="61"/>
  <c r="C50" i="61"/>
  <c r="C49" i="61" s="1"/>
  <c r="E195" i="61"/>
  <c r="E194" i="61" s="1"/>
  <c r="E210" i="61"/>
  <c r="E202" i="61" s="1"/>
  <c r="H244" i="61"/>
  <c r="H88" i="61"/>
  <c r="I101" i="61"/>
  <c r="E135" i="61"/>
  <c r="H141" i="61"/>
  <c r="H140" i="61" s="1"/>
  <c r="H183" i="61"/>
  <c r="H181" i="61" s="1"/>
  <c r="E166" i="61"/>
  <c r="I84" i="61" l="1"/>
  <c r="E176" i="61"/>
  <c r="C71" i="61"/>
  <c r="E102" i="61"/>
  <c r="E186" i="61"/>
  <c r="H231" i="61"/>
  <c r="H229" i="61" s="1"/>
  <c r="H19" i="61"/>
  <c r="I19" i="61" s="1"/>
  <c r="H266" i="61"/>
  <c r="H265" i="61" s="1"/>
  <c r="H176" i="61"/>
  <c r="H175" i="61" s="1"/>
  <c r="I13" i="61"/>
  <c r="I141" i="61"/>
  <c r="I140" i="61" s="1"/>
  <c r="C47" i="61"/>
  <c r="H63" i="61"/>
  <c r="E43" i="61"/>
  <c r="E42" i="61" s="1"/>
  <c r="I42" i="61" s="1"/>
  <c r="H243" i="61"/>
  <c r="H230" i="61" s="1"/>
  <c r="I253" i="61"/>
  <c r="H291" i="61"/>
  <c r="I281" i="61"/>
  <c r="H165" i="61"/>
  <c r="H164" i="61" s="1"/>
  <c r="C31" i="61"/>
  <c r="C30" i="61" s="1"/>
  <c r="C29" i="61" s="1"/>
  <c r="I271" i="61"/>
  <c r="H154" i="61"/>
  <c r="H147" i="61" s="1"/>
  <c r="H146" i="61" s="1"/>
  <c r="I158" i="61"/>
  <c r="H301" i="61"/>
  <c r="I301" i="61" s="1"/>
  <c r="H307" i="61"/>
  <c r="I70" i="61"/>
  <c r="F25" i="61"/>
  <c r="F8" i="61" s="1"/>
  <c r="C8" i="61"/>
  <c r="I11" i="61"/>
  <c r="I186" i="61"/>
  <c r="I50" i="61"/>
  <c r="I88" i="61"/>
  <c r="I87" i="61" s="1"/>
  <c r="I83" i="61" s="1"/>
  <c r="I78" i="61" s="1"/>
  <c r="I77" i="61" s="1"/>
  <c r="H87" i="61"/>
  <c r="H83" i="61" s="1"/>
  <c r="H78" i="61" s="1"/>
  <c r="H77" i="61" s="1"/>
  <c r="I55" i="61"/>
  <c r="I54" i="61" s="1"/>
  <c r="E54" i="61"/>
  <c r="E49" i="61" s="1"/>
  <c r="I296" i="61"/>
  <c r="I176" i="61"/>
  <c r="E175" i="61"/>
  <c r="E83" i="61"/>
  <c r="E78" i="61" s="1"/>
  <c r="E77" i="61" s="1"/>
  <c r="I99" i="61"/>
  <c r="C147" i="61"/>
  <c r="C146" i="61" s="1"/>
  <c r="C145" i="61" s="1"/>
  <c r="I166" i="61"/>
  <c r="I165" i="61" s="1"/>
  <c r="I164" i="61" s="1"/>
  <c r="E165" i="61"/>
  <c r="E164" i="61" s="1"/>
  <c r="H211" i="61"/>
  <c r="H210" i="61" s="1"/>
  <c r="H203" i="61"/>
  <c r="H219" i="61"/>
  <c r="H218" i="61" s="1"/>
  <c r="H49" i="61"/>
  <c r="I32" i="61"/>
  <c r="E31" i="61"/>
  <c r="E30" i="61" s="1"/>
  <c r="I292" i="61"/>
  <c r="E291" i="61"/>
  <c r="E290" i="61" s="1"/>
  <c r="E289" i="61" s="1"/>
  <c r="C128" i="62"/>
  <c r="C7" i="62" s="1"/>
  <c r="H134" i="61"/>
  <c r="H127" i="61" s="1"/>
  <c r="H126" i="61" s="1"/>
  <c r="H114" i="61" s="1"/>
  <c r="F145" i="61"/>
  <c r="I103" i="61"/>
  <c r="I102" i="61" s="1"/>
  <c r="H102" i="61"/>
  <c r="H98" i="61" s="1"/>
  <c r="H97" i="61" s="1"/>
  <c r="H96" i="61" s="1"/>
  <c r="E148" i="61"/>
  <c r="E127" i="61"/>
  <c r="E126" i="61" s="1"/>
  <c r="E114" i="61" s="1"/>
  <c r="E8" i="61"/>
  <c r="I25" i="61"/>
  <c r="I268" i="61"/>
  <c r="E267" i="61"/>
  <c r="I155" i="61"/>
  <c r="I64" i="61"/>
  <c r="E154" i="61"/>
  <c r="I307" i="61"/>
  <c r="I22" i="61"/>
  <c r="H23" i="61"/>
  <c r="I23" i="61" s="1"/>
  <c r="F265" i="61"/>
  <c r="F264" i="61" s="1"/>
  <c r="C264" i="61"/>
  <c r="I276" i="61"/>
  <c r="E275" i="61"/>
  <c r="I275" i="61" s="1"/>
  <c r="I302" i="61"/>
  <c r="E98" i="61"/>
  <c r="E39" i="61"/>
  <c r="I39" i="61" s="1"/>
  <c r="I14" i="61"/>
  <c r="I12" i="61" s="1"/>
  <c r="H12" i="61"/>
  <c r="I135" i="61"/>
  <c r="E134" i="61"/>
  <c r="I220" i="61"/>
  <c r="I219" i="61" s="1"/>
  <c r="I218" i="61" s="1"/>
  <c r="E70" i="61"/>
  <c r="E63" i="61" s="1"/>
  <c r="E231" i="61"/>
  <c r="E243" i="61"/>
  <c r="H17" i="61" l="1"/>
  <c r="I267" i="61"/>
  <c r="I266" i="61" s="1"/>
  <c r="I265" i="61" s="1"/>
  <c r="H202" i="61"/>
  <c r="H174" i="61" s="1"/>
  <c r="I243" i="61"/>
  <c r="H217" i="61"/>
  <c r="I291" i="61"/>
  <c r="I290" i="61" s="1"/>
  <c r="I289" i="61" s="1"/>
  <c r="I264" i="61" s="1"/>
  <c r="K265" i="61"/>
  <c r="I154" i="61"/>
  <c r="I63" i="61"/>
  <c r="H290" i="61"/>
  <c r="H289" i="61" s="1"/>
  <c r="H264" i="61" s="1"/>
  <c r="H21" i="61"/>
  <c r="I21" i="61" s="1"/>
  <c r="F7" i="61"/>
  <c r="H145" i="61"/>
  <c r="E48" i="61"/>
  <c r="E47" i="61"/>
  <c r="E29" i="61" s="1"/>
  <c r="I49" i="61"/>
  <c r="I98" i="61"/>
  <c r="I97" i="61" s="1"/>
  <c r="I96" i="61" s="1"/>
  <c r="I76" i="61" s="1"/>
  <c r="E97" i="61"/>
  <c r="E96" i="61" s="1"/>
  <c r="E76" i="61" s="1"/>
  <c r="I134" i="61"/>
  <c r="I148" i="61"/>
  <c r="I147" i="61" s="1"/>
  <c r="I146" i="61" s="1"/>
  <c r="E147" i="61"/>
  <c r="E146" i="61" s="1"/>
  <c r="I175" i="61"/>
  <c r="E174" i="61"/>
  <c r="E229" i="61"/>
  <c r="I229" i="61" s="1"/>
  <c r="I231" i="61"/>
  <c r="E230" i="61"/>
  <c r="I230" i="61" s="1"/>
  <c r="H76" i="61"/>
  <c r="I31" i="61"/>
  <c r="I30" i="61" s="1"/>
  <c r="I202" i="61"/>
  <c r="I17" i="61"/>
  <c r="E266" i="61"/>
  <c r="E265" i="61" s="1"/>
  <c r="E264" i="61" s="1"/>
  <c r="H47" i="61"/>
  <c r="H29" i="61" s="1"/>
  <c r="H48" i="61"/>
  <c r="P145" i="61"/>
  <c r="C7" i="61"/>
  <c r="H16" i="61" l="1"/>
  <c r="I174" i="61"/>
  <c r="K174" i="61" s="1"/>
  <c r="E145" i="61"/>
  <c r="I127" i="61"/>
  <c r="I126" i="61" s="1"/>
  <c r="I114" i="61" s="1"/>
  <c r="C12" i="60" s="1"/>
  <c r="I145" i="61"/>
  <c r="K289" i="61"/>
  <c r="K264" i="61" s="1"/>
  <c r="C10" i="60"/>
  <c r="C15" i="60"/>
  <c r="K76" i="61"/>
  <c r="K147" i="61"/>
  <c r="I47" i="61"/>
  <c r="K47" i="61" s="1"/>
  <c r="I48" i="61"/>
  <c r="E217" i="61"/>
  <c r="E7" i="61" s="1"/>
  <c r="I16" i="61"/>
  <c r="H10" i="61"/>
  <c r="K30" i="61"/>
  <c r="K114" i="61" l="1"/>
  <c r="I29" i="61"/>
  <c r="K29" i="61"/>
  <c r="C13" i="60"/>
  <c r="I10" i="61"/>
  <c r="H9" i="61"/>
  <c r="I9" i="61" s="1"/>
  <c r="I8" i="61" s="1"/>
  <c r="L29" i="61"/>
  <c r="L7" i="61" s="1"/>
  <c r="K229" i="61"/>
  <c r="K217" i="61" s="1"/>
  <c r="I217" i="61"/>
  <c r="C11" i="60" s="1"/>
  <c r="C14" i="60"/>
  <c r="K146" i="61"/>
  <c r="K145" i="61" s="1"/>
  <c r="C9" i="60" l="1"/>
  <c r="K8" i="61"/>
  <c r="O8" i="61" s="1"/>
  <c r="I7" i="61"/>
  <c r="C8" i="60"/>
  <c r="H8" i="61"/>
  <c r="H7" i="61" s="1"/>
  <c r="K7" i="61" l="1"/>
  <c r="A2" i="52" l="1"/>
  <c r="E12" i="39"/>
  <c r="D12" i="39"/>
  <c r="A2" i="39" l="1"/>
  <c r="E12" i="52" l="1"/>
  <c r="E11" i="52" s="1"/>
  <c r="E10" i="52" s="1"/>
  <c r="D12" i="52"/>
  <c r="F12" i="52"/>
  <c r="H11" i="52"/>
  <c r="H10" i="52" s="1"/>
  <c r="G11" i="52"/>
  <c r="G10" i="52" s="1"/>
  <c r="C12" i="52" l="1"/>
  <c r="C11" i="52" s="1"/>
  <c r="C10" i="52" s="1"/>
  <c r="F11" i="52"/>
  <c r="F10" i="52" s="1"/>
  <c r="D11" i="52"/>
  <c r="D10" i="52" s="1"/>
  <c r="G11" i="39" l="1"/>
  <c r="G10" i="39" s="1"/>
  <c r="D11" i="39" l="1"/>
  <c r="D10" i="39" s="1"/>
  <c r="H11" i="39"/>
  <c r="H10" i="39" s="1"/>
  <c r="F12" i="39"/>
  <c r="C12" i="39" l="1"/>
  <c r="C11" i="39" s="1"/>
  <c r="C10" i="39" s="1"/>
  <c r="E11" i="39"/>
  <c r="E10" i="39" s="1"/>
  <c r="F11" i="39"/>
  <c r="F10" i="39" s="1"/>
  <c r="C16" i="71"/>
  <c r="C10" i="71" s="1"/>
  <c r="C9" i="71" s="1"/>
  <c r="D10" i="71" l="1"/>
  <c r="D9" i="71" s="1"/>
  <c r="H10" i="71" l="1"/>
  <c r="G10" i="71" l="1"/>
  <c r="G9" i="71" s="1"/>
  <c r="F10" i="71"/>
  <c r="L17" i="71" s="1"/>
  <c r="L18" i="71" s="1"/>
  <c r="L19" i="71" s="1"/>
  <c r="F9" i="71" l="1"/>
</calcChain>
</file>

<file path=xl/comments1.xml><?xml version="1.0" encoding="utf-8"?>
<comments xmlns="http://schemas.openxmlformats.org/spreadsheetml/2006/main">
  <authors>
    <author>Lananh_pc</author>
  </authors>
  <commentList>
    <comment ref="E94" authorId="0">
      <text>
        <r>
          <rPr>
            <b/>
            <sz val="9"/>
            <color indexed="81"/>
            <rFont val="Tahoma"/>
            <family val="2"/>
          </rPr>
          <t>Lananh_pc:</t>
        </r>
        <r>
          <rPr>
            <sz val="9"/>
            <color indexed="81"/>
            <rFont val="Tahoma"/>
            <family val="2"/>
          </rPr>
          <t xml:space="preserve">
số tiền giảm so với định mức do ct thẩm dịnh giá giảm</t>
        </r>
      </text>
    </comment>
  </commentList>
</comments>
</file>

<file path=xl/comments2.xml><?xml version="1.0" encoding="utf-8"?>
<comments xmlns="http://schemas.openxmlformats.org/spreadsheetml/2006/main">
  <authors>
    <author>GP</author>
  </authors>
  <commentList>
    <comment ref="D10" authorId="0">
      <text>
        <r>
          <rPr>
            <b/>
            <sz val="9"/>
            <color indexed="81"/>
            <rFont val="Tahoma"/>
            <family val="2"/>
          </rPr>
          <t>GP:</t>
        </r>
        <r>
          <rPr>
            <sz val="9"/>
            <color indexed="81"/>
            <rFont val="Tahoma"/>
            <family val="2"/>
          </rPr>
          <t xml:space="preserve">
- Lương vc: 23.937.117
- Lương HĐ: 175.254
- Thai sản: 153.408</t>
        </r>
      </text>
    </comment>
    <comment ref="F10" authorId="0">
      <text>
        <r>
          <rPr>
            <b/>
            <sz val="9"/>
            <color indexed="81"/>
            <rFont val="Tahoma"/>
            <family val="2"/>
          </rPr>
          <t>GP:</t>
        </r>
        <r>
          <rPr>
            <sz val="9"/>
            <color indexed="81"/>
            <rFont val="Tahoma"/>
            <family val="2"/>
          </rPr>
          <t xml:space="preserve">
Trường PTDT Nội trú
</t>
        </r>
      </text>
    </comment>
    <comment ref="D39" authorId="0">
      <text>
        <r>
          <rPr>
            <b/>
            <sz val="9"/>
            <color indexed="81"/>
            <rFont val="Tahoma"/>
            <family val="2"/>
          </rPr>
          <t>GP:</t>
        </r>
        <r>
          <rPr>
            <sz val="9"/>
            <color indexed="81"/>
            <rFont val="Tahoma"/>
            <family val="2"/>
          </rPr>
          <t xml:space="preserve">
- Lương BC: 380.625
- Lương HĐ: 101.403</t>
        </r>
      </text>
    </comment>
    <comment ref="D50" authorId="0">
      <text>
        <r>
          <rPr>
            <b/>
            <sz val="9"/>
            <color indexed="81"/>
            <rFont val="Tahoma"/>
            <family val="2"/>
          </rPr>
          <t>GP:</t>
        </r>
        <r>
          <rPr>
            <sz val="9"/>
            <color indexed="81"/>
            <rFont val="Tahoma"/>
            <family val="2"/>
          </rPr>
          <t xml:space="preserve">
- Lương CB: 725.722
- Lương HĐ: 81.899
- Cấp ủy 04: 12.15</t>
        </r>
      </text>
    </comment>
    <comment ref="F50" authorId="0">
      <text>
        <r>
          <rPr>
            <b/>
            <sz val="9"/>
            <color indexed="81"/>
            <rFont val="Tahoma"/>
            <family val="2"/>
          </rPr>
          <t>GP:</t>
        </r>
        <r>
          <rPr>
            <sz val="9"/>
            <color indexed="81"/>
            <rFont val="Tahoma"/>
            <family val="2"/>
          </rPr>
          <t xml:space="preserve">
- Cấp ủy huyện: 46656
- Cấp ủy chi bộ: 972</t>
        </r>
      </text>
    </comment>
  </commentList>
</comments>
</file>

<file path=xl/comments3.xml><?xml version="1.0" encoding="utf-8"?>
<comments xmlns="http://schemas.openxmlformats.org/spreadsheetml/2006/main">
  <authors>
    <author>GP</author>
  </authors>
  <commentList>
    <comment ref="E23" authorId="0">
      <text>
        <r>
          <rPr>
            <b/>
            <sz val="9"/>
            <color indexed="81"/>
            <rFont val="Tahoma"/>
            <family val="2"/>
          </rPr>
          <t>GP:</t>
        </r>
        <r>
          <rPr>
            <sz val="9"/>
            <color indexed="81"/>
            <rFont val="Tahoma"/>
            <family val="2"/>
          </rPr>
          <t xml:space="preserve">
+ PC đảng ủy viên từ tháng 5 đến tháng 12 = 0,3*1800*2 người x 7 tháng = 7560
</t>
        </r>
      </text>
    </comment>
  </commentList>
</comments>
</file>

<file path=xl/sharedStrings.xml><?xml version="1.0" encoding="utf-8"?>
<sst xmlns="http://schemas.openxmlformats.org/spreadsheetml/2006/main" count="2258" uniqueCount="770">
  <si>
    <t>Ghi chú</t>
  </si>
  <si>
    <t>A</t>
  </si>
  <si>
    <t>I</t>
  </si>
  <si>
    <t>II</t>
  </si>
  <si>
    <t>III</t>
  </si>
  <si>
    <t>B</t>
  </si>
  <si>
    <t>Đơn vị</t>
  </si>
  <si>
    <t>1.1</t>
  </si>
  <si>
    <t>1.2</t>
  </si>
  <si>
    <t>2.1</t>
  </si>
  <si>
    <t>2.2</t>
  </si>
  <si>
    <t>IV</t>
  </si>
  <si>
    <t>C</t>
  </si>
  <si>
    <t>STT</t>
  </si>
  <si>
    <t>TỔNG CỘNG</t>
  </si>
  <si>
    <t>-</t>
  </si>
  <si>
    <t>Huyện Na Rì</t>
  </si>
  <si>
    <t>Huyện Ngân Sơn</t>
  </si>
  <si>
    <t xml:space="preserve"> -</t>
  </si>
  <si>
    <t>Số tiền</t>
  </si>
  <si>
    <t>Nguồn kinh phí/Nhiệm vụ chi/Đơn vị thực hiện</t>
  </si>
  <si>
    <t>Tên đơn vị</t>
  </si>
  <si>
    <t>Đơn vị: Đồng</t>
  </si>
  <si>
    <t>TỔNG SỐ</t>
  </si>
  <si>
    <t>HUYỆN NA RÌ</t>
  </si>
  <si>
    <t>HUYỆN NGÂN SƠN</t>
  </si>
  <si>
    <t>Tổng số</t>
  </si>
  <si>
    <t>Sự nghiệp môi trường</t>
  </si>
  <si>
    <t>Quản lý nhà nước, đảng, đoàn thể</t>
  </si>
  <si>
    <t>Cấp tỉnh</t>
  </si>
  <si>
    <t>Huyện Bạch Thông</t>
  </si>
  <si>
    <t>Huyện Chợ Mới</t>
  </si>
  <si>
    <t>NSTW</t>
  </si>
  <si>
    <t>Cấp huyện</t>
  </si>
  <si>
    <t>Chia theo lĩnh vực</t>
  </si>
  <si>
    <t>Trong đó</t>
  </si>
  <si>
    <t>NSĐP đối ứng</t>
  </si>
  <si>
    <t>Mục 6: NÂNG CAO CHẤT LƯỢNG MÔI TRƯỜNG; XÂY DỰNG CẢNH QUAN NÔNG THÔN SÁNG - XANH - SẠCH - ĐẸP, AN TOÀN; GIỮ GÌN VÀ KHÔI PHỤC CẢNH QUAN TRUYỀN THỐNG NÔNG THÔN</t>
  </si>
  <si>
    <t>Tổng kinh phí phân bổ và giao năm 2024</t>
  </si>
  <si>
    <t>Chi giữ gìn và khôi phục cảnh quan truyền thống của nông thôn Việt Nam; phát triển các mô hình thôn, xóm sáng, xanh, sạch, đẹp, an toàn, khu dân cư kiểu mẫu</t>
  </si>
  <si>
    <t>Huyện Ba Bể</t>
  </si>
  <si>
    <t>Thành phố Bắc Kạn</t>
  </si>
  <si>
    <t>Đơn vị: đồng</t>
  </si>
  <si>
    <t>Đơn vị:đồng</t>
  </si>
  <si>
    <t>Trong đó:</t>
  </si>
  <si>
    <t>Biểu số 01a</t>
  </si>
  <si>
    <t>Biểu số 01b</t>
  </si>
  <si>
    <t>HUYỆN BA BỂ</t>
  </si>
  <si>
    <t>V</t>
  </si>
  <si>
    <t>VI</t>
  </si>
  <si>
    <t>VII</t>
  </si>
  <si>
    <t>VIII</t>
  </si>
  <si>
    <t>MỤC 8: NÂNG CAO CHẤT LƯỢNG, PHÁT HUY VAI TRÒ CỦA MẶT TRẬN TỔ QUỐC VIỆT NAM VÀ CÁC TỔ CHỨC CHÍNH TRỊ - XÃ HỘI TRONG XÂY DỰNG NÔNG THÔN MỚI</t>
  </si>
  <si>
    <t>Chi vun đắp, gìn giữ giá trị tốt đẹp và phát triển hệ giá trị gia đình Việt Nam; thực hiện Cuộc vận động “Xây dựng gia đình 5 không, 3 sạch”.</t>
  </si>
  <si>
    <t>Hội Liên hiệp Phụ nữ</t>
  </si>
  <si>
    <t>Tổng kinh phí phân bổ bổ sung năm 2024</t>
  </si>
  <si>
    <t>Biểu số 01</t>
  </si>
  <si>
    <t>Nội dung</t>
  </si>
  <si>
    <t xml:space="preserve">BIỂU THU HỒI VÀ CẤP BỔ SUNG KINH PHÍ THỰC HIỆN CHƯƠNG TRÌNH PHÁT TRIỂN LÂM NGHIỆP BỀN VỮNG NĂM 2024 </t>
  </si>
  <si>
    <t>Kinh phí thực hiện</t>
  </si>
  <si>
    <t>Công ty TNHH Một thành viên Lâm nghiệp Bắc Kạn</t>
  </si>
  <si>
    <t>BIỂU TỔNG HỢP ĐỀ NGHỊ HỖ TRỢ KINH PHÍ THỰC HIỆN CHƯƠNG TRÌNH PHÁT TRIỂN LÂM NGHIỆP BỀN VỮNG NĂM 2024</t>
  </si>
  <si>
    <t>Thực hiện từ ngày 01/01/2024 đến trước ngày 15/7/2024</t>
  </si>
  <si>
    <t>Nhu cầu kinh phí từ ngày 15/7/2024 đến hết năm 2024</t>
  </si>
  <si>
    <t>Tổng nhu cầu kinh phí năm 2024</t>
  </si>
  <si>
    <t>Số kinh phí đã giao tại Quyết định số 2338/QĐ-UBND ngày 10/12/2023</t>
  </si>
  <si>
    <t>Số kinh phi còn thừa (+)/ thiếu (-)</t>
  </si>
  <si>
    <t>Số kinh phí Sở Tài chính đề nghị thu hồi về ngân sách tỉnh</t>
  </si>
  <si>
    <t>Số kinh phí Sở Tài chính đề nghị UBND tỉnh cấp bổ sung</t>
  </si>
  <si>
    <t>Diện tích được phê duyệt (Chi tiết theo Biểu số 02a)</t>
  </si>
  <si>
    <t>Định mức theo Thông tư số 21/2023/TT-BTC (nghìn đồng)</t>
  </si>
  <si>
    <t>Định mức theo Nghị định số 58/2024/NĐ-CP (nghìn đồng)</t>
  </si>
  <si>
    <t>Nhu cầu kinh phí</t>
  </si>
  <si>
    <t>CÔNG TY TNHH MỘT THÀNH VIÊN LÂM NGHIỆP BẮC KẠN</t>
  </si>
  <si>
    <t>Diện tích thiết kế mới năm 2024</t>
  </si>
  <si>
    <t>Khoán bảo vệ rừng</t>
  </si>
  <si>
    <t>Rừng phòng hộ</t>
  </si>
  <si>
    <t>1.1.2</t>
  </si>
  <si>
    <t>Các xã khu vực I</t>
  </si>
  <si>
    <t>Chi phí nhân công</t>
  </si>
  <si>
    <t>Theo điểm c, e khoản 2 Điều 9 Nghị định số 58/2024/NĐ-CP ngày 24/5/2024 của CP</t>
  </si>
  <si>
    <t>Chi phí quản lý</t>
  </si>
  <si>
    <t>Chi phí lập hồ sơ khoán bảo vệ</t>
  </si>
  <si>
    <t xml:space="preserve">Rừng sản xuất là rừng tự nhiên </t>
  </si>
  <si>
    <t>1.2.1</t>
  </si>
  <si>
    <t>Theo điểm b,d khoản 2 Điều 12 Nghị định số 58/2024/NĐ-CP ngày 24/5/2024 của CP</t>
  </si>
  <si>
    <t>1.2.2</t>
  </si>
  <si>
    <t>Các xã khu vực II</t>
  </si>
  <si>
    <t>Theo điểm c,d khoản 2 Điều 12 Nghị định số 58/2024/NĐ-CPngày 24/5/2024 của CP</t>
  </si>
  <si>
    <t xml:space="preserve">Diện tích chuyển tiếp từ năm trước sang </t>
  </si>
  <si>
    <t>Hỗ trợ bảo vệ rừng sản xuất là rừng tự nhiên</t>
  </si>
  <si>
    <t>HUYỆN BẠCH THÔNG</t>
  </si>
  <si>
    <t>ok</t>
  </si>
  <si>
    <t>Theo điểm d, e khoản 2 Điều 9 Nghị định số 58/2024/NĐ-CP ngày 24/5/2024 của CP</t>
  </si>
  <si>
    <t>Xã Dương Phong</t>
  </si>
  <si>
    <t>Theo điểm b, d khoản 2 Điều 12 Nghị định số 58/2024/NĐ-CP ngày 24/5/2024 của CP</t>
  </si>
  <si>
    <t>Trồng cây phân tán</t>
  </si>
  <si>
    <t>Thị trấn Phủ Thông</t>
  </si>
  <si>
    <t>Theo điểm d khoản 2 Điều 9 Nghị định số 58/2024/NĐ-CP ngày 24/5/2024 của CP</t>
  </si>
  <si>
    <t>Xã Quân Hà</t>
  </si>
  <si>
    <t>Xã Tân Tú</t>
  </si>
  <si>
    <t>Theo điểm e khoản 2 Điều 9 Nghị định số 58/2024/NĐ-CP ngày 24/5/2024 của CP</t>
  </si>
  <si>
    <t>Theo điểm b khoản 2 Điều 12 Nghị định số 58/2024/NĐ-CP ngày 24/5/2024 của CP</t>
  </si>
  <si>
    <t>Xã Quang Thuận</t>
  </si>
  <si>
    <t>Xã Cẩm Giàng</t>
  </si>
  <si>
    <t>Theo điểm d khoản 2 Điều 12 Nghị định số 58/2024/NĐ-CP ngày 24/5/2024 của CP</t>
  </si>
  <si>
    <t>Thị trấn Yến Lạc</t>
  </si>
  <si>
    <t>Xã Cường Lợi</t>
  </si>
  <si>
    <t xml:space="preserve">Thị trấn Vân Tùng </t>
  </si>
  <si>
    <t>Theo điểm a khoản 2 Điều 12 Nghị định số 58/2024/NĐ-CP ngày 24/5/2024 của CP</t>
  </si>
  <si>
    <t>HUYỆN CHỢ MỚI</t>
  </si>
  <si>
    <t>Xã Nông Hạ</t>
  </si>
  <si>
    <t>Xã Thanh Thịnh</t>
  </si>
  <si>
    <t>Xã Như Cố</t>
  </si>
  <si>
    <t>Hỗ trợ bảo vệ rừng</t>
  </si>
  <si>
    <t>Xã Bình Văn</t>
  </si>
  <si>
    <t>TT Đồng Tâm</t>
  </si>
  <si>
    <t>Xã Thanh Vận</t>
  </si>
  <si>
    <t>Xã Địa Linh</t>
  </si>
  <si>
    <t>Xã Khang Ninh</t>
  </si>
  <si>
    <t>Xã Thượng Giáo</t>
  </si>
  <si>
    <t>Xã Hà Hiệu</t>
  </si>
  <si>
    <t>THÀNH PHỐ BẮC KẠN</t>
  </si>
  <si>
    <t>Xã Huyền Tụng</t>
  </si>
  <si>
    <t>Xã Xuất Hóa</t>
  </si>
  <si>
    <t>Theo điểm a khoản 2 Điều 9 Nghị định số 58/2024/NĐ-CP ngày 24/5/2024 của CP</t>
  </si>
  <si>
    <t>Xã Nông Thượng</t>
  </si>
  <si>
    <t>Theo điểm a khoản 2 Điều 14 Nghị định số 58/2024/NĐ-CP ngày 24/5/2024 của CP</t>
  </si>
  <si>
    <t>Xã Dương Quang</t>
  </si>
  <si>
    <t>Phường Huyền Tụng</t>
  </si>
  <si>
    <t>Phường Xuất Hóa</t>
  </si>
  <si>
    <t>Phường Đức Xuân</t>
  </si>
  <si>
    <t>Phường Sông Cầu</t>
  </si>
  <si>
    <t>Phường Chí Kiên</t>
  </si>
  <si>
    <t>TỔNG HỢP DIỆN TÍCH ĐƯỢC PHÊ DUYỆT THỰC HIỆN CHƯƠNG TRÌNH PHÁT TRIỂN LÂM NGHIỆP BỀN VỮNG</t>
  </si>
  <si>
    <t>Diện tích được phê duyệt (ha)</t>
  </si>
  <si>
    <t>Số tháng được hỗ trợ trong năm 2024</t>
  </si>
  <si>
    <t>Xã khu vực I</t>
  </si>
  <si>
    <t>Xã khu vực II</t>
  </si>
  <si>
    <t>334,51</t>
  </si>
  <si>
    <t>147,78</t>
  </si>
  <si>
    <t>13,99</t>
  </si>
  <si>
    <t>Thị trấn Đồng Tâm</t>
  </si>
  <si>
    <t>Chi tiết theo Biểu số 01a, 01b kèm theo</t>
  </si>
  <si>
    <t>Số kinh phí thừa (+)/ thiếu (-)</t>
  </si>
  <si>
    <t>Số kinh phí thu hồi về ngân sách tỉnh</t>
  </si>
  <si>
    <t>Số kinh phí được cấp bổ sung</t>
  </si>
  <si>
    <t>Kinh phí đã được bố trí tại Quyết định số 2338/QĐ-UBND ngày 10/12/2023</t>
  </si>
  <si>
    <t>Tổng kinh phí NSTW cấp bổ sung năm 2024</t>
  </si>
  <si>
    <t>Kinh phí chưa phân bổ</t>
  </si>
  <si>
    <t>2=3+4</t>
  </si>
  <si>
    <t>5=1-2</t>
  </si>
  <si>
    <t>Huyện Chợ Đồn</t>
  </si>
  <si>
    <t>Từ 01/8/2024 đến hết năm 2024</t>
  </si>
  <si>
    <t>Từ ngày 01/01/2024 đến trước ngày 15/7/2024</t>
  </si>
  <si>
    <t>Từ 01/4/2024 đến hết năm 2024</t>
  </si>
  <si>
    <t>Từ 01/7/2024 đến hết năm 2024</t>
  </si>
  <si>
    <t>Từ 01/3/2024 đến hết năm 2024</t>
  </si>
  <si>
    <t>Từ 01/02/2024 đến hết năm 2024</t>
  </si>
  <si>
    <t>HUYỆN CHỢ ĐỒN</t>
  </si>
  <si>
    <t>Đơn vị không có nhu cầu bổ sung kinh phí</t>
  </si>
  <si>
    <t>Số đã giao đầu năm không có nhu cầu bổ sung</t>
  </si>
  <si>
    <t>Chi tiết theo Biểu số 01</t>
  </si>
  <si>
    <t>Người</t>
  </si>
  <si>
    <t>Cái</t>
  </si>
  <si>
    <t>d</t>
  </si>
  <si>
    <t>c</t>
  </si>
  <si>
    <t>b</t>
  </si>
  <si>
    <t>a</t>
  </si>
  <si>
    <t>e</t>
  </si>
  <si>
    <t>Thành tiền</t>
  </si>
  <si>
    <t>Số lượng</t>
  </si>
  <si>
    <t>Đơn vị tính</t>
  </si>
  <si>
    <t>DỰ TOÁN THẨM ĐỊNH</t>
  </si>
  <si>
    <t>Vật tư, văn phòng phẩm</t>
  </si>
  <si>
    <t>Kg</t>
  </si>
  <si>
    <t>Gam</t>
  </si>
  <si>
    <t>Hộp</t>
  </si>
  <si>
    <t>g</t>
  </si>
  <si>
    <t>Thông tư số 40/2017/TT-BTC</t>
  </si>
  <si>
    <t>Theo thực tế</t>
  </si>
  <si>
    <t>Hỗ trợ</t>
  </si>
  <si>
    <t>Chênh lệch tăng, giảm         (+, -)</t>
  </si>
  <si>
    <t>BIỂU PHÂN BỔ KINH PHÍ SỰ NGHIỆP CHO CÁC ĐƠN VỊ THỰC HIỆN NHIỆM VỤ NĂM 2024</t>
  </si>
  <si>
    <t>Phòng Tài chính - Kế hoạch thẩm định</t>
  </si>
  <si>
    <t>Hoàng Văn Thảo</t>
  </si>
  <si>
    <t>2</t>
  </si>
  <si>
    <t>Lâm Văn Hầm</t>
  </si>
  <si>
    <t>1</t>
  </si>
  <si>
    <t>Đàm Văn Huấn</t>
  </si>
  <si>
    <t>Tổng cộng</t>
  </si>
  <si>
    <t>5=1+2+3+4</t>
  </si>
  <si>
    <t>Hỗ trợ đóng BHYT</t>
  </si>
  <si>
    <t>Hỗ trợ đóng BHXH</t>
  </si>
  <si>
    <t>Hỗ trợ cho
thời gian
làm việc có đóng BHXH dưới 15 năm</t>
  </si>
  <si>
    <t>Hỗ trợ cho
thời gian
nghỉ hưu
trước tuổi</t>
  </si>
  <si>
    <t xml:space="preserve">Tổng kinh phí
được cấp </t>
  </si>
  <si>
    <t>Tổng kinh phí thực hiện chính sách hỗ trợ theo
Nghị quyết số 05/2020/NQ-HĐND ngày 05/5/2020 của HĐND tỉnh, trong đó:</t>
  </si>
  <si>
    <t>TT</t>
  </si>
  <si>
    <t>UBND xã Văn Lang</t>
  </si>
  <si>
    <t>UBND xã Sơn Thành</t>
  </si>
  <si>
    <t>UBND xã Cường Lợi</t>
  </si>
  <si>
    <t>3</t>
  </si>
  <si>
    <t>Nguồn tỉnh bổ sung có mục tiêu</t>
  </si>
  <si>
    <t>Hoàng Văn Hoan</t>
  </si>
  <si>
    <t>UBND xã Văn Vũ</t>
  </si>
  <si>
    <t>UBND xã Lương Thượng</t>
  </si>
  <si>
    <t>UBND thị trấn Yến Lạc</t>
  </si>
  <si>
    <t>Nguyễn Công Huấn</t>
  </si>
  <si>
    <t>Lê Minh Đồng</t>
  </si>
  <si>
    <t>Hoàng Vân Trường</t>
  </si>
  <si>
    <t>Nông Văn Thảo</t>
  </si>
  <si>
    <t>Tổng kinh phí được cấp</t>
  </si>
  <si>
    <t>Mức hỗ trợ/tháng</t>
  </si>
  <si>
    <t>Số tháng hỗ trợ</t>
  </si>
  <si>
    <t>5=3*4</t>
  </si>
  <si>
    <t>Kinh phí hỗ trợ đối với người được phân công trực tiếp giúp đỡ người giáo dục tại xã, phường, thị trấn theo Nghị quyết số 11/2023/NQ-HĐND ngày 01/8/2023 của HĐND tỉnh Bắc Kạn năm 2024</t>
  </si>
  <si>
    <t>Quyết định số 2130/QĐ-UBND ngày 29/11/2024 của UBND tỉnh</t>
  </si>
  <si>
    <t>Quyết định số 2115/QĐ-UBND ngày 28/11/2024 của UBND tỉnh</t>
  </si>
  <si>
    <t>X</t>
  </si>
  <si>
    <t>UBND xã Văn Minh</t>
  </si>
  <si>
    <t xml:space="preserve"> </t>
  </si>
  <si>
    <t>Trợ cấp do đóng BHXH</t>
  </si>
  <si>
    <t>Trợ cấp tìm
việc làm</t>
  </si>
  <si>
    <t>Trợ cấp do có trên 20 năm đóng BHXH</t>
  </si>
  <si>
    <t>Trợ cấp do có đủ 20 năm đóng BHXH</t>
  </si>
  <si>
    <t>Trợ cấp tính cho thời gian nghỉ hưu trước tuổi</t>
  </si>
  <si>
    <t>Cơ quan, đơn vị tự chi trả</t>
  </si>
  <si>
    <t>Thôi việc ngay</t>
  </si>
  <si>
    <t>Nghỉ hưu trước tuổi</t>
  </si>
  <si>
    <t>Nghỉ hưu
trước tuổi</t>
  </si>
  <si>
    <t>Nguồn kinh phí chi trả</t>
  </si>
  <si>
    <t>Kinh phí thực hiện chính sách tinh giản biên chế</t>
  </si>
  <si>
    <t>Thuộc
đối tượng</t>
  </si>
  <si>
    <t>Chức danh chuyên môn,
đơn vị công tác trước khi tinh giản biên chế</t>
  </si>
  <si>
    <t>Đơn vị: 1.000 đồng</t>
  </si>
  <si>
    <t>Biểu số 03</t>
  </si>
  <si>
    <t>BIỂU PHÂN BỔ KINH PHÍ CHI TRẢ CHO ĐỐI TƯỢNG TINH GIẢN BIÊN CHẾ THEO NGHỊ ĐỊNH SỐ 29/2023/NĐ-CP, 
ĐỢT NGHỈ 01/10/2024 VÀ ĐỢT NGHỈ 01/11/2024</t>
  </si>
  <si>
    <t>Nông Ngọc Tinh</t>
  </si>
  <si>
    <t>Bí thư Đảng ủy, Chủ tịch HĐND xã Văn Minh, huyện Na Rì</t>
  </si>
  <si>
    <t>Nguyễn Văn Mai</t>
  </si>
  <si>
    <t>Phó Bí thư Đảng ủy xã Sơn Thành, huyện Na Rì</t>
  </si>
  <si>
    <t>Phó Chủ tịch UBND xã Văn Lang, huyện Na Rì</t>
  </si>
  <si>
    <t>Công chức Văn phòng - thống kê xã Cường Lợi, huyện Na Rì</t>
  </si>
  <si>
    <t>Công chức Văn phòng - thống kê xã Sơn Thành, huyện Na Rì</t>
  </si>
  <si>
    <t>BIỂU CHI TIẾT PHÂN BỔ KINH PHÍ HỖ TRỢ CHO NGƯỜI ĐƯỢC PHÂN CÔNG TRỰC TIẾP GIÚP ĐỠ NGƯỜI ĐƯỢC GIÁO DỤC TẠI XÃ, THỊ TRẤN THEO NGHỊ QUYẾT SỐ 11/2023/NQ-HĐND NGÀY 01/8/2023 CỦA HĐND TỈNH</t>
  </si>
  <si>
    <t>BIỂU KINH PHÍ CẤP BỔ SUNG ĐỂ THỰC HIỆN CHÍNH SÁCH HỖ TRỢ THEO NGHỊ QUYẾT 
SỐ 05/2020/NQ-HĐND ĐỐI VỚI CÁN BỘ, CÔNG CHỨC CẤP XÃ NGHỈ HƯU 
TRƯỚC TUỔI, THÔI VIỆC NĂM 2024</t>
  </si>
  <si>
    <t>Kinh phí thực hiện chính sách tinh giản biên chế theo Nghị định số 29/2023/NĐ-CP (Đợt nghỉ ngày 01/10 và đợt nghỉ ngày 01/11 năm 2024)</t>
  </si>
  <si>
    <t>UBND XÃ KIM HỶ</t>
  </si>
  <si>
    <t>Chi tiền ăn</t>
  </si>
  <si>
    <t>Chi tiền giải khát giữa giờ</t>
  </si>
  <si>
    <t>Tiền hỗ trợ tập luyện văn nghệ</t>
  </si>
  <si>
    <t>Chi thuê mướn phục vụ, vệ sinh phát dọn</t>
  </si>
  <si>
    <t>Chi khác</t>
  </si>
  <si>
    <t>UBND xã Kim Hỷ</t>
  </si>
  <si>
    <t>Kinh phí hỗ trợ tổ chức lễ công bố thôn đạt chuẩn nông thôn mới năm 2024</t>
  </si>
  <si>
    <t>Biểu số 04</t>
  </si>
  <si>
    <t>Biểu số 02</t>
  </si>
  <si>
    <t>Thẩm định nội dung tài liệu ôn tập</t>
  </si>
  <si>
    <t>Trưởng Ban</t>
  </si>
  <si>
    <t>Thư ký, thành viên</t>
  </si>
  <si>
    <t>Tổ trưởng</t>
  </si>
  <si>
    <t>Thành viên</t>
  </si>
  <si>
    <t>Trưởng ban</t>
  </si>
  <si>
    <t xml:space="preserve">Thư ký </t>
  </si>
  <si>
    <t>Phụ cấp các thành viên</t>
  </si>
  <si>
    <t>Công an bảo vệ vòng trong</t>
  </si>
  <si>
    <t>Công an bảo vệ vòng ngoài</t>
  </si>
  <si>
    <t>Ban giám sát</t>
  </si>
  <si>
    <t>Tiền thuê địa điểm ra đề</t>
  </si>
  <si>
    <t>Chi thuê phòng ngủ cho Ban Đề, giám sát, công an</t>
  </si>
  <si>
    <t>Phụ cấp trách nhiệm Ban in sao đề (07 người)</t>
  </si>
  <si>
    <t>Giám sát Ban in sao Đề</t>
  </si>
  <si>
    <t>Tiền thuê địa điểm in sao đề</t>
  </si>
  <si>
    <t>Phụ cấp trách nhiệm Ban coi thi (36 người)</t>
  </si>
  <si>
    <t xml:space="preserve">Trưởng ban </t>
  </si>
  <si>
    <t>Phó Trưởng ban</t>
  </si>
  <si>
    <t>Thư ký</t>
  </si>
  <si>
    <t xml:space="preserve">Công an </t>
  </si>
  <si>
    <t>Nhân viên y tế</t>
  </si>
  <si>
    <t xml:space="preserve">Ban Giám sát </t>
  </si>
  <si>
    <t>Chi trả điện nước tại địa điểm coi thi</t>
  </si>
  <si>
    <t>Ngày</t>
  </si>
  <si>
    <t>Chi phụ cấp ban chấm (47 người)</t>
  </si>
  <si>
    <t xml:space="preserve">Thành viên </t>
  </si>
  <si>
    <t>Tiền thuê địa điểm chấm thi</t>
  </si>
  <si>
    <t>Phụ cấp Ban Phách</t>
  </si>
  <si>
    <t xml:space="preserve">Thành viên, Thư ký </t>
  </si>
  <si>
    <t>Giám sát (01 người)</t>
  </si>
  <si>
    <t>Thuê phòng nghỉ</t>
  </si>
  <si>
    <t>Chủ tịch Hội đồng</t>
  </si>
  <si>
    <t xml:space="preserve">Phó Chủ tịch Hội đồng </t>
  </si>
  <si>
    <t>Ủy viên</t>
  </si>
  <si>
    <t>Ban giám sát tham gia các cuộc họp của Hội đồng</t>
  </si>
  <si>
    <t xml:space="preserve">Phục vụ nước, ăn uống, sinh hoạt (01 người) Ban đề, Ban Phách, Ban chấm </t>
  </si>
  <si>
    <t>Phục vụ (vận chuyển, dọn dẹp, lắp đặt máy móc, lái xe) Ban Đề, in sao đề</t>
  </si>
  <si>
    <t>Phục vụ (13 người), lái xe (02 người) Ban coi</t>
  </si>
  <si>
    <t xml:space="preserve">Ban coi thi (30 TV Ban coi, 5 HĐTD,  3 giám sát, 4 công an, 20 phục vụ) </t>
  </si>
  <si>
    <t>Phong bì công văn (gửi thông báo thí sinh đủ điều kiện dự thi; thông báo triệu tập thí sinh dự thi; kết quả điểm thi vòng 2, kết quả trúng tuyển, quyết định tuyển dụng, kết quả điểm phúc khảo)</t>
  </si>
  <si>
    <t>Phong bì công văn đựng ngân hàng câu hỏi Ban Đề</t>
  </si>
  <si>
    <t>Cước gửi thư đảm bảo thông báo đến thí sinh dự thi</t>
  </si>
  <si>
    <t>Lần</t>
  </si>
  <si>
    <t>Ổ SSd 140G</t>
  </si>
  <si>
    <t>USB sandisk 64Gb</t>
  </si>
  <si>
    <t>cái</t>
  </si>
  <si>
    <t>Giấy thi bài thi tự luận</t>
  </si>
  <si>
    <t>Tờ</t>
  </si>
  <si>
    <t>Bì to</t>
  </si>
  <si>
    <t>Bì nhỏ</t>
  </si>
  <si>
    <t>Thẻ đeo các Ban</t>
  </si>
  <si>
    <t>Biển khu vực thi cấm vào</t>
  </si>
  <si>
    <t>Tuýp chữ khai mạc kỳ thi</t>
  </si>
  <si>
    <t>Hòm to</t>
  </si>
  <si>
    <t>Hòm nhỡ</t>
  </si>
  <si>
    <t>Khóa</t>
  </si>
  <si>
    <t>Phô tô giấy nháp, tài liệu (nội quy, tài liệu ôn tập cho Ban Đề ra đề, thông báo gửi thí sinh…)</t>
  </si>
  <si>
    <t>Mực máy photo</t>
  </si>
  <si>
    <t>Hộp mực máy in 12A</t>
  </si>
  <si>
    <t>Đổ mực máy in</t>
  </si>
  <si>
    <t xml:space="preserve">Dây điện để đấu nối cho các máy tính </t>
  </si>
  <si>
    <t>Mét</t>
  </si>
  <si>
    <t>Giấy A4 plus</t>
  </si>
  <si>
    <t>Cặp ba dây</t>
  </si>
  <si>
    <t>Ổ cắm loại to</t>
  </si>
  <si>
    <t>Ổ cắm loại nhỏ</t>
  </si>
  <si>
    <t>Xăng chạy máy nổ</t>
  </si>
  <si>
    <t>Chè</t>
  </si>
  <si>
    <t>Màn chụp</t>
  </si>
  <si>
    <t>Một số văn phòng phẩm (kéo, bút, dao rạch, băng dính niêm phong, keo dán, bàn dập ghim, túi cúc, bút dạ….)</t>
  </si>
  <si>
    <t>PHÒNG NỘI VỤ</t>
  </si>
  <si>
    <t>Kinh phí tổ chức kỳ tuyển dụng viên chức năm 2024</t>
  </si>
  <si>
    <t>Tổ thư ký giúp việc</t>
  </si>
  <si>
    <t>Ban kiểm tra phiếu đăng ký dự tuyển</t>
  </si>
  <si>
    <t>Ban đề thi</t>
  </si>
  <si>
    <t>đ</t>
  </si>
  <si>
    <t>Ban coi thi</t>
  </si>
  <si>
    <t>Ban chấm thi</t>
  </si>
  <si>
    <t>Chi thuê phòng nghỉ cho Ban chấm</t>
  </si>
  <si>
    <t>Ban phách</t>
  </si>
  <si>
    <t>Phòng</t>
  </si>
  <si>
    <t>Tiền ăn cho Ban in sao đề thi, giám sát, công an (5 tv ban in sao đề, 1 công an bảo vệ vòng trong, 1 giám sát, 2 TVHĐTD)</t>
  </si>
  <si>
    <t>Tiền ăn cho Ban ra đề thi, giám sát, công an (36 TV ban đề, 2 Công an, 2 giám sát, 2 TVHĐTD)</t>
  </si>
  <si>
    <t>Tiền ăn cho Ban chấm, giám sát, công an (42 ban chấm, 2 Công an, 3 giám sát, 2 TVHĐTD)</t>
  </si>
  <si>
    <t>Tiền ăn cho Ban phách, giám sát, công an, HĐTD (05 TV ban phách, 2 Công an, 3 giám sát, 2 TVHĐTD)</t>
  </si>
  <si>
    <t>Tiểu ban đảm bảo an ninh trật tự, chăm sóc sức khỏe và phục vụ</t>
  </si>
  <si>
    <t>Chi giải khát</t>
  </si>
  <si>
    <t>Ban chấm thi (42 TV ban chấm, 2 Công an, 3 giám sát, 2 TVHĐTD)</t>
  </si>
  <si>
    <t>Số đơn vị đề nghị</t>
  </si>
  <si>
    <t>Phòng Nội vụ</t>
  </si>
  <si>
    <t>Tổng nhu cầu kinh phí tổ chức kỳ tuyển dụng viên chức năm 2024, gồm:</t>
  </si>
  <si>
    <t>*</t>
  </si>
  <si>
    <t>Số ngày</t>
  </si>
  <si>
    <t>Theo Nghị quyết số 17/2022/NQ-HĐND</t>
  </si>
  <si>
    <t>Theo khả năng cân đối của ngân sách huyện</t>
  </si>
  <si>
    <t>Tổng kinh phí được ngân sách cấp</t>
  </si>
  <si>
    <t>Đơn giá/định mức</t>
  </si>
  <si>
    <t>UBND XÃ VĂN VŨ</t>
  </si>
  <si>
    <t>Tổng nhu cầu kinh phí được hỗ trợ tại Quyết định số 3529/QĐ-UBND ngày 01/11/2024 của Chủ tịch UBND huyện</t>
  </si>
  <si>
    <t>Kinh phí chi trả trợ cấp hằng tháng còn dư tại đơn vị</t>
  </si>
  <si>
    <t>Quyết định số 3529/QĐ-UBND ngày 01/11/2024 của Chủ tịch UBND huyện</t>
  </si>
  <si>
    <t>Cấp bù kinh phí trợ cấp tiền mai táng phí cho thân nhân cán bộ xã già yếu, nghỉ việc theo Quyết định số 130/CP ngày 20/6/1975 của Hội đồng Chính phủ và Quyết định số 111-HĐBT ngày 13/10/1981 của Hội đồng Bộ trưởng</t>
  </si>
  <si>
    <t>Chi tiết theo Biểu số 04</t>
  </si>
  <si>
    <t>Chi tiết theo Biểu số 02</t>
  </si>
  <si>
    <t>Chi tiết theo Biểu số 03</t>
  </si>
  <si>
    <t>Kinh phí trợ cấp tiền mai táng phí cho thân nhân cán bộ xã già yếu, nghỉ việc theo Quyết định số 130/CP ngày 20/6/1975 của Hội đồng Chính phủ và Quyết định số 111-HĐBT ngày 13/10/1981 của Hội đồng Bộ trưởng (=a+b)</t>
  </si>
  <si>
    <t>Bộ</t>
  </si>
  <si>
    <t>Thuê trang phục biểu diễn văn nghệ</t>
  </si>
  <si>
    <t>Phụ cấp trách nhiệm Ban ra đề (42 người)</t>
  </si>
  <si>
    <t>PHỤ CẤP TRÁCH NHIỆM HĐ TUYỂN DỤNG
Họp HĐTD: 4 ngày, làm đề thi: 3 ngày, coi thi 02 ngày, chấm thi 02 ngày; làm phách 2 ngày, khớp phách: 2 ngày; (Tổng: 15 ngày)</t>
  </si>
  <si>
    <t>Thư ký Hội đồng (Tổng hợp điểm của thí sinh dự tuyển)</t>
  </si>
  <si>
    <t>Ban ra đề thi (36 TV ban đề, 2 Công an, 4 giám sát, 
2 TVHĐTD)</t>
  </si>
  <si>
    <t>Ban in sao đề thi (5 TV ban in sao đề, 1 công an bảo vệ vòng trong, 2 giám sát, 2 TVHĐTD)</t>
  </si>
  <si>
    <t>Ban phách (5 TV ban phách, 2 giám sát, 2 công an, 2 TVHĐTD)</t>
  </si>
  <si>
    <t>Tổ in sao đề</t>
  </si>
  <si>
    <t>Làm tròn số</t>
  </si>
  <si>
    <t>Tiền bồi dưỡng biểu diễn văn nghệ</t>
  </si>
  <si>
    <t>Băng rôn</t>
  </si>
  <si>
    <t>Khánh tiết (in bạt kích thước cao 4m x rộng 6m = 24m²)</t>
  </si>
  <si>
    <t>h</t>
  </si>
  <si>
    <t>Theo giá thị trường</t>
  </si>
  <si>
    <t>Hỗ trợ 2 cái</t>
  </si>
  <si>
    <t>Kinh phí thực hiện chính sách hỗ trợ theo Nghị quyết số 05/2020/NQ-HĐND ngày 05/5/2020 của HĐND tỉnh Bắc Kạn đối với cán bộ, công chức cấp xã nghỉ hưu trước tuổi, thôi việc năm 2024</t>
  </si>
  <si>
    <t>Ngân sách huyện</t>
  </si>
  <si>
    <t xml:space="preserve">Ngân sách tỉnh </t>
  </si>
  <si>
    <t>Ghi chú:</t>
  </si>
  <si>
    <t>(5 tháng đối với các xã khu vực II, III chuyển KV1 Theo Quyết định số 861/QĐ-TTg)</t>
  </si>
  <si>
    <t>(5 tháng đối với các xã khu vực II, III chuyển KV1 theo Quyết định số 861/QĐ-TTg)</t>
  </si>
  <si>
    <t>Kim Lư</t>
  </si>
  <si>
    <t>12 tháng</t>
  </si>
  <si>
    <t>Cường Lợi</t>
  </si>
  <si>
    <t>Kim Hỷ</t>
  </si>
  <si>
    <t>Lương Thượng</t>
  </si>
  <si>
    <t>Văn Lang</t>
  </si>
  <si>
    <t>Văn Vũ</t>
  </si>
  <si>
    <t>Cư Lễ</t>
  </si>
  <si>
    <t>Sơn Thành</t>
  </si>
  <si>
    <t>Dương Sơn</t>
  </si>
  <si>
    <t>Văn Minh</t>
  </si>
  <si>
    <t>Đổng Xá</t>
  </si>
  <si>
    <t>Quang Phong</t>
  </si>
  <si>
    <t>Xuân Dương</t>
  </si>
  <si>
    <t>Liêm Thủy</t>
  </si>
  <si>
    <t>Trần Phú</t>
  </si>
  <si>
    <t>5=6+7</t>
  </si>
  <si>
    <t>4=5+8</t>
  </si>
  <si>
    <t>1=2+3</t>
  </si>
  <si>
    <t>Sản xuất</t>
  </si>
  <si>
    <t>Phòng hộ</t>
  </si>
  <si>
    <t>Tổng</t>
  </si>
  <si>
    <t>Kinh phí quản lý</t>
  </si>
  <si>
    <t>Kinh phí nhân công</t>
  </si>
  <si>
    <t>Tống nhu cầu kinh phí</t>
  </si>
  <si>
    <t>Khối lượng thực hiện (ha)</t>
  </si>
  <si>
    <t>Hỗ trợ tiền sử dụng sản phẩm, dịch vụ công ích thủy lợi</t>
  </si>
  <si>
    <t xml:space="preserve">Kinh phí cho đối tượng bảo trợ xã hội theo Nghị định số  20/2021/NĐ-CP ngày 15/3/2021 của Chính phủ (Nghị định số 76/2024/NĐ-CP ngày 01/7/2024 của Chính phủ); Kinh phí đảm bảo xã hội theo dân số </t>
  </si>
  <si>
    <t>Kinh phí mua BHYT cho cựu chiến binh, thanh niên xung phong, đối tượng tham gia kháng chiến Lào, Campuchia</t>
  </si>
  <si>
    <t>ĐẢM BẢO XÃ HỘI</t>
  </si>
  <si>
    <t>Học bổng cho học sinh dân tộc nội trú theo Thông tư liên tịch số 109/2009/TTLT-BTC-BGDĐT ngày 29/05/2009 của Bộ Tài chính và Bộ Giáo dục và Đào tạo</t>
  </si>
  <si>
    <t>Chính sách hỗ trợ đối với trường phổ thông có học sinh bán trú theo Nghị quyết số 54/2016/NQ-HĐND ngày 06/11/2016 của HĐND tỉnh Bắc Kạn</t>
  </si>
  <si>
    <t xml:space="preserve">Chính sách hỗ trợ học sinh bán trú và trường phổ thông theo Nghị định số 116/2016/NĐ-CP ngày 18/7/2016 của Chính phủ </t>
  </si>
  <si>
    <t>Chính sách miễn, giảm học phí, hỗ trợ chi phí học tập theo Nghị định số 81/2021/NĐ-CP ngày 27/8/2021 của Chính phủ</t>
  </si>
  <si>
    <t>Hoàn trả</t>
  </si>
  <si>
    <t>Cấp bổ sung</t>
  </si>
  <si>
    <t>3=2-1</t>
  </si>
  <si>
    <t>NS TỈNH</t>
  </si>
  <si>
    <t>nstw</t>
  </si>
  <si>
    <t>Kinh phí còn thiếu được cấp bổ sung</t>
  </si>
  <si>
    <t>Nhu cầu kinh phí năm 2024</t>
  </si>
  <si>
    <t>Kinh phí đã bố trí</t>
  </si>
  <si>
    <t>Chính sách, nhiệm vụ</t>
  </si>
  <si>
    <t>BIỂU PHÂN BỔ KINH PHÍ CHO CÁC ĐƠN VỊ ĐỂ THỰC HIỆN MỘT SỐ CHÍNH SÁCH AN SINH XÃ HỘI, NHIỆM VỤ CÒN THIẾU TRÊN ĐỊA BÀN HUYỆN NA RÌ NĂM 2024</t>
  </si>
  <si>
    <t>Nguồn ngân sách tỉnh cấp bổ sung</t>
  </si>
  <si>
    <t>BIỂU KINH PHÍ THỰC HIỆN TRẢ NỢ KINH PHÍ KHOÁN BẢO VỆ RỪNG PHÒNG HỘ, SẢN XUẤT LÀ RỪNG TỰ NHIÊN 
CÁC XÃ KHU VỰC II, III  NĂM 2021</t>
  </si>
  <si>
    <t>Biểu số 06</t>
  </si>
  <si>
    <t>Chi tiết theo Biểu số 06</t>
  </si>
  <si>
    <t>Biểu số 05</t>
  </si>
  <si>
    <t>SỰ NGHIỆP KINH TẾ</t>
  </si>
  <si>
    <t>Kinh phí thực hiện Nghị định số  20/2021/NĐ-CP ngày 15/3/2021 của Chính phủ</t>
  </si>
  <si>
    <t>+</t>
  </si>
  <si>
    <t>Kinh phí đảm bảo xã hội theo dân số (thực hiện hỗ trợ di dời nhà ở khẩn cấp (11 nhà)+ hỗ trợ làm nhà ở (02 nhà)- Khoản 1,2 điều 15 Nghị định 20/2021/NĐ-CP</t>
  </si>
  <si>
    <t xml:space="preserve">Phòng Giáo dục và Đào tạo </t>
  </si>
  <si>
    <t>Phòng Lao động Thương binh và Xã hội</t>
  </si>
  <si>
    <t>Trung tâm Giáo dục nghề nghiệp - GDTX</t>
  </si>
  <si>
    <t>SỰ NGHIỆP GIÁO DỤC - ĐÀO TẠO VÀ DẠY NGHỀ</t>
  </si>
  <si>
    <t>Nguồn kinh phí sự nghiệp thực hiện các chương trình mục tiêu quốc gia</t>
  </si>
  <si>
    <t>Kinh phí thực hiện trả nợ kinh phí bảo vệ và phát triển rừng năm 2021 thuộc Tiểu dự án 1, Dự án 3 Chương trình MTQG phát triển kinh tế - xã hội vùng đồng bào dân tộc thiểu số và miền núi từ nguồn Chương trình MTQG phát triển kinh tế - xã hội vùng đồng bào dân tộc thiểu số và miền núi đã thu hồi về ngân sách cấp tỉnh năm 2024</t>
  </si>
  <si>
    <t>Kinh phí thực hiện trả nợ kinh phí bảo vệ và phát triển rừng năm 2021 thuộc Tiểu dự án 1, Dự án 3 Chương trình MTQG phát triển kinh tế - xã hội vùng đồng bào dân tộc thiểu số và miền núi từ nguồn Chương trình MTQG phát triển kinh tế - xã hội vùng đồng bào dân tộc thiểu số và miền núi đã thu hồi về ngân sách cấp huyện năm 2024</t>
  </si>
  <si>
    <t xml:space="preserve">Phòng Nông nghiệp và PTNT </t>
  </si>
  <si>
    <t>TTr UBND tỉnh</t>
  </si>
  <si>
    <t>NS huyện</t>
  </si>
  <si>
    <t>Huyện điều hành</t>
  </si>
  <si>
    <t>Chi tiết theo Biểu số 05</t>
  </si>
  <si>
    <t>tổng số ko phân bổ</t>
  </si>
  <si>
    <t>Nguồn vốn CT MTQG PT KTXH vùng ĐBDTTS &amp; MN đã thu hồi về NS huyện</t>
  </si>
  <si>
    <t>NGUỒN NGÂN SÁCH HUYỆN ĐIỀU HÀNH</t>
  </si>
  <si>
    <t>NGUỒN NGÂN SÁCH HUYỆN</t>
  </si>
  <si>
    <t>NGUỒN TỈNH BỔ SUNG CÓ MỤC TIÊU</t>
  </si>
  <si>
    <t>Khánh tiết buổi lễ (in bạt, kích thước cao 4m, rộng 9m = 36m²)</t>
  </si>
  <si>
    <t>Phô tô tài liệu</t>
  </si>
  <si>
    <t>Tiền bồi dưỡng luyện tập đội văn nghệ thôn</t>
  </si>
  <si>
    <t>Tiền bồi dưỡng biểu diễn đội văn nghệ thôn</t>
  </si>
  <si>
    <t>Hỗ trợ tiền ăn cho đại biểu không hưởng lương</t>
  </si>
  <si>
    <t>Xã bố trí</t>
  </si>
  <si>
    <t>Hỗ trợ theo thực tế</t>
  </si>
  <si>
    <t>Hỗ trợ 80 người</t>
  </si>
  <si>
    <t>Quyết định số 3876/QĐ-UBND ngày 05/12/2024 của UBND huyện</t>
  </si>
  <si>
    <t>Công chức Văn phòng - Thống kê xã Sơn Thành, huyện Na Rì</t>
  </si>
  <si>
    <t>UBND XÃ QUANG PHONG</t>
  </si>
  <si>
    <t>Tổng nhu cầu kinh phí được hỗ trợ tại Quyết định số 3879/QĐ-UBND ngày 06/12/2024 của Chủ tịch UBND huyện</t>
  </si>
  <si>
    <t>Quyết định số 3879/QĐ-UBND ngày 06/12/2024 của Chủ tịch UBND huyện</t>
  </si>
  <si>
    <t>UBND xã Quang Phong</t>
  </si>
  <si>
    <t>UBND xã Xuân Dương</t>
  </si>
  <si>
    <t>UBND xã Trần Phú</t>
  </si>
  <si>
    <t>UBND xã Đổng Xá</t>
  </si>
  <si>
    <t>UBND xã Liêm Thuỷ</t>
  </si>
  <si>
    <t>UBND xã Kim Lư</t>
  </si>
  <si>
    <t>UBND xã Dương Sơn</t>
  </si>
  <si>
    <t>UBND xã Cư Lễ</t>
  </si>
  <si>
    <t>UBND xã Côn Minh</t>
  </si>
  <si>
    <t>15=3-14</t>
  </si>
  <si>
    <t>3=4+…+13</t>
  </si>
  <si>
    <t>Chế độ thù lao theo Quyết định 30/2011/QĐ-TTg</t>
  </si>
  <si>
    <t>Quỹ trợ cấp tăng thêm hưu  xã</t>
  </si>
  <si>
    <t>BHYT cán bộ không chuyên trách cấp thôn</t>
  </si>
  <si>
    <t>BHXH, BHYT cán bộ không chuyên trách cấp xã</t>
  </si>
  <si>
    <t>Phụ cấp trách nhiệm cấp ủy</t>
  </si>
  <si>
    <t>Hoạt động phí đại biểu HĐND</t>
  </si>
  <si>
    <t>Lương, phụ cấp, bảo hiểm cho CBCC</t>
  </si>
  <si>
    <t>Kinh phí CCTL cấp bổ sung 
(đợt 1)</t>
  </si>
  <si>
    <t>Kinh phí thực hiện CCTL còn thiếu cần bổ sung từ ngân sách cấp trên</t>
  </si>
  <si>
    <t xml:space="preserve">Nguồn kinh phí còn dư tại đơn vị sử dụng để thực hiện CCTL </t>
  </si>
  <si>
    <t>Nhu cầu kinh phí CCTL năm 2024</t>
  </si>
  <si>
    <t>Tổng cộng nhu cầu (đã làm tròn)</t>
  </si>
  <si>
    <t xml:space="preserve">
STT</t>
  </si>
  <si>
    <t>Hội Người cao tuổi</t>
  </si>
  <si>
    <t>Hội Cựu Thanh niên xung phong</t>
  </si>
  <si>
    <t>Hội Luật gia</t>
  </si>
  <si>
    <t>Hội Đông y</t>
  </si>
  <si>
    <t>Hội Khuyến học</t>
  </si>
  <si>
    <t>Hội đặc thù cấp huyện</t>
  </si>
  <si>
    <t>Hội Cựu chiến binh</t>
  </si>
  <si>
    <t xml:space="preserve">Hội Nông dân </t>
  </si>
  <si>
    <t>Đoàn Thanh niên CSHCM</t>
  </si>
  <si>
    <t>Ủy ban Mặt trận Tổ quốc Việt Nam huyện</t>
  </si>
  <si>
    <t>Huyện ủy</t>
  </si>
  <si>
    <t>Đảng, đoàn thể</t>
  </si>
  <si>
    <t xml:space="preserve">Phòng Tài nguyên và Môi trường </t>
  </si>
  <si>
    <t xml:space="preserve">Phòng Văn hóa và Thông tin </t>
  </si>
  <si>
    <t xml:space="preserve">Phòng Tư pháp </t>
  </si>
  <si>
    <t>Phòng Giáo dục và Đào tạo</t>
  </si>
  <si>
    <t xml:space="preserve">Phòng Kinh tế và Hạ tầng </t>
  </si>
  <si>
    <t xml:space="preserve">Phòng Lao động - Thương binh và Xã hội </t>
  </si>
  <si>
    <t xml:space="preserve">Thanh tra huyện </t>
  </si>
  <si>
    <t xml:space="preserve">Phòng Nội vụ </t>
  </si>
  <si>
    <t>Phòng Nông nghiệp và PTNT</t>
  </si>
  <si>
    <t>Văn phòng HĐND - UBND</t>
  </si>
  <si>
    <t xml:space="preserve">Phòng Tài chính - Kế hoạch </t>
  </si>
  <si>
    <t>Quản lý nhà nước</t>
  </si>
  <si>
    <t xml:space="preserve">Trung tâm Dịch vụ nông nghiệp </t>
  </si>
  <si>
    <t>Sự nghiệp kinh tế</t>
  </si>
  <si>
    <t>Hội Chữ thập đỏ</t>
  </si>
  <si>
    <t>Đảm bảo xã hội</t>
  </si>
  <si>
    <t>Trung tâm Văn hóa, Thể thao và TT (SN truyền thông)</t>
  </si>
  <si>
    <t>Trung tâm Văn hóa, Thể thao và TT (SN văn hóa TT)</t>
  </si>
  <si>
    <t>Sự nghiệp văn hóa - truyền thông</t>
  </si>
  <si>
    <t>Trung tâm học tập cộng đồng xã Xuân Dương</t>
  </si>
  <si>
    <t>Trung tâm học tập cộng đồng xã Văn Minh</t>
  </si>
  <si>
    <t>Trung tâm học tập cộng đồng xã Văn Vũ</t>
  </si>
  <si>
    <t>Trung tâm học tập cộng đồng xã Kim Hỷ</t>
  </si>
  <si>
    <t>Trung tâm học tập cộng đồng xã Trần Phú</t>
  </si>
  <si>
    <t>Trung tâm học tập cộng đồng xã Đổng Xá</t>
  </si>
  <si>
    <t>Trung tâm học tập cộng đồng xã Quang Phong</t>
  </si>
  <si>
    <t>Trung tâm học tập cộng đồng xã Lương Thượng</t>
  </si>
  <si>
    <t>Trung tâm học tập cộng đồng xã Liêm Thuỷ</t>
  </si>
  <si>
    <t>Trung tâm học tập cộng đồng xã Sơn Thành</t>
  </si>
  <si>
    <t>Trung tâm học tập cộng đồng xã Kim Lư</t>
  </si>
  <si>
    <t>Trung tâm học tập cộng đồng xã Dương Sơn</t>
  </si>
  <si>
    <t>Trung tâm học tập cộng đồng xã Cường Lợi</t>
  </si>
  <si>
    <t>Trung tâm học tập cộng đồng xã Cư Lễ</t>
  </si>
  <si>
    <t>Trung tâm học tập cộng đồng xã Côn Minh</t>
  </si>
  <si>
    <t>Trung tâm học tập cộng đồng xã Văn Lang</t>
  </si>
  <si>
    <t>Trung tâm học tập cộng đồng thị trấn Yến Lạc</t>
  </si>
  <si>
    <t>Trung tâm Chính trị</t>
  </si>
  <si>
    <t>Phòng Giáo dục và Đào tạo (sự nghiệp giáo dục)</t>
  </si>
  <si>
    <t>Sự nghiệp giáo dục - đào tạo</t>
  </si>
  <si>
    <t>11=3-10</t>
  </si>
  <si>
    <t>4</t>
  </si>
  <si>
    <t>3=4+5+6+7+8</t>
  </si>
  <si>
    <t>Lương, phụ cấp, bảo hiểm cho CBCC, người LĐ</t>
  </si>
  <si>
    <t>Kinh phí CCTL cấp bổ sung (đợt 1)</t>
  </si>
  <si>
    <t>UBND các xã, thị trấn</t>
  </si>
  <si>
    <t>Chi tiết theo Biểu số 08</t>
  </si>
  <si>
    <t>Biểu số 07</t>
  </si>
  <si>
    <t xml:space="preserve"> BIỂU  PHÂN BỔ KINH PHÍ THỰC HIỆN CẢI CÁCH TIỀN LƯƠNG NĂM 2024 THEO NGHỊ ĐỊNH SỐ 73/2024/NĐ-CP 
NGÀY 30/6/2024 CỦA CHÍNH PHỦ CHO CÁC ĐƠN VỊ CẤP HUYỆN (ĐỢT 2)</t>
  </si>
  <si>
    <t>KINH PHÍ THỰC HIỆN CHÍNH SÁCH CẢI CÁCH TIỀN LƯƠNG NĂM 2024 (ĐỢT 2) (Nguồn tỉnh cấp bổ sung)</t>
  </si>
  <si>
    <t xml:space="preserve"> BIỂU PHÂN BỔ KINH PHÍ THỰC HIỆN MỨC LƯƠNG CƠ SỞ THEO NGHỊ ĐỊNH SỐ 73/2024/NĐ-CP 
NGÀY 30/6/2024 CỦA CHÍNH PHỦ CHO UBND CÁC XÃ, THỊ TRẤN NĂM 2024 (ĐỢT 2)</t>
  </si>
  <si>
    <t>18</t>
  </si>
  <si>
    <t>Kinh phí CCTL còn lại chưa cấp bổ sung</t>
  </si>
  <si>
    <t>17=15-16</t>
  </si>
  <si>
    <t>14</t>
  </si>
  <si>
    <t>13=11-12</t>
  </si>
  <si>
    <t>Kinh phí CCTL cấp bổ sung (đợt 2)</t>
  </si>
  <si>
    <t>Chi tiết theo Biểu số 07</t>
  </si>
  <si>
    <t>Ban quản lý CTMT phát triển lâm nghiệp bền vững huyện Na Rì giai đoạn 2016-2020</t>
  </si>
  <si>
    <t>Dự kiến được giao từ quỹ dự trữ tài chính của tỉnh trước 14/12/2024</t>
  </si>
  <si>
    <t>Trợ cấp do sắp xếp lại đơn vị hành chính cấp huyện, xã (theo quy định tại điểm a, khoản 1, Điều 9 Nghị định số 29/2023/ NĐ-CP</t>
  </si>
  <si>
    <t>Trợ cấp do sắp xếp lại đơn vị hành chính cấp huyện, xã (theo quy định tại điểm b, khoản 1, Điều 9 Nghị định số 29/2023/ NĐ-CP</t>
  </si>
  <si>
    <t>Trợ cấp do sắp xếp lại đơn vị hành chính cấp huyện, xã (theo quy định tại điểm a, khoản 1, Điều 9 Nghị định số 29/2023/       NĐ-CP</t>
  </si>
  <si>
    <t>Trợ cấp do sắp xếp lại đơn vị hành chính cấp huyện, xã (theo quy định tại điểm b, khoản 1, Điều 9 Nghị định số 29/2023/             NĐ-CP</t>
  </si>
  <si>
    <t>Trợ cấp lần đầu theo NĐ 76/2019/ NĐ-CP</t>
  </si>
  <si>
    <t>Trợ cấp 1 lần theo NĐ 76/2019/ NĐ-CP</t>
  </si>
  <si>
    <t xml:space="preserve">                         Đơn vị: 1.000 đồng</t>
  </si>
  <si>
    <t>Trợ cấp một lần theo NĐ 76/2019/ NĐ-CP</t>
  </si>
  <si>
    <t>Phụ cấp thôn đội trưởng theo NĐ 72/2020/ NĐ-CP</t>
  </si>
  <si>
    <t>Ghim bấm</t>
  </si>
  <si>
    <t>Bút bi (hộp 20 cái)</t>
  </si>
  <si>
    <t>Tệp</t>
  </si>
  <si>
    <t>Giấy nhớ màu</t>
  </si>
  <si>
    <t>Giấy bìa A3 màu</t>
  </si>
  <si>
    <t>Giấy A3</t>
  </si>
  <si>
    <t>Giấy bìa A4</t>
  </si>
  <si>
    <t>Hỗ trợ theo giá thị trường và số lượng thực tế</t>
  </si>
  <si>
    <t xml:space="preserve">Giấy A4                </t>
  </si>
  <si>
    <t>Mua văn phòng phẩm</t>
  </si>
  <si>
    <t>Chổi nhựa</t>
  </si>
  <si>
    <t>Lọ</t>
  </si>
  <si>
    <t>Nước lau kính</t>
  </si>
  <si>
    <t>Nước rửa chén</t>
  </si>
  <si>
    <t>Nước tẩy bồn cầu</t>
  </si>
  <si>
    <t>Nước lau sàn</t>
  </si>
  <si>
    <t>Nước rửa tay</t>
  </si>
  <si>
    <t>Bịch</t>
  </si>
  <si>
    <t>Giấy vệ sinh</t>
  </si>
  <si>
    <t>Không có căn cứ hỗ trợ; Sử dụng kinh phí chi thường xuyên của đơn vị</t>
  </si>
  <si>
    <t>Chè búp</t>
  </si>
  <si>
    <t>Mua vật tư văn phòng</t>
  </si>
  <si>
    <t>Chi làm thêm giờ</t>
  </si>
  <si>
    <t>Hỗ trợ công tác quyết toán ngân sách năm 2024</t>
  </si>
  <si>
    <t>KHO BẠC NHÀ NƯỚC NA RÌ</t>
  </si>
  <si>
    <t>Lễ</t>
  </si>
  <si>
    <t>Lễ tại Nhà truyền thống</t>
  </si>
  <si>
    <t>Vòng hoa</t>
  </si>
  <si>
    <t>Vòng hoa dâng hương Nhà truyền thống</t>
  </si>
  <si>
    <t>Lễ tại Nhà bia</t>
  </si>
  <si>
    <t>Vòng hoa dâng hương Nhà bia</t>
  </si>
  <si>
    <t>Người/ ngày</t>
  </si>
  <si>
    <t>Chi giải khát giữa giờ</t>
  </si>
  <si>
    <t>Suất</t>
  </si>
  <si>
    <t>Thăm tặng quà gia đình có công với cách mạng</t>
  </si>
  <si>
    <t>Cặp tài liệu</t>
  </si>
  <si>
    <t>Theo thực tế 300.000 đồng/buổi</t>
  </si>
  <si>
    <t>Buổi</t>
  </si>
  <si>
    <t>Thuê hội trường</t>
  </si>
  <si>
    <t>Thông tư số 71/2018/TT-BTC; Hỗ trợ theo giá thị trường và dự kiến số lượng thực tế</t>
  </si>
  <si>
    <t>Tiếp khách</t>
  </si>
  <si>
    <t>Chi phí đảm bảo</t>
  </si>
  <si>
    <t>Điểm g, Khoản 3, Điều 5, Chương II Quyết định số 21/2018/QĐ-UBND ngày 06/8/2018 của UBND tỉnh Bắc Kạn</t>
  </si>
  <si>
    <t>Người duyệt Tin (37% hệ số nhuận bút của người viết)</t>
  </si>
  <si>
    <t xml:space="preserve">Khoản 1, Điều 1, Quyết định số 18/2021/QĐ-UBND ngày 11/10/2021 của UBND tỉnh Bắc Kạn </t>
  </si>
  <si>
    <t>Viết nội dung Tin</t>
  </si>
  <si>
    <t>Điểm g, Khoản 3, Điều 5, Chương II  Quyết định số 21/2018/QĐ-UBND ngày 06/8/2018 của UBND tỉnh Bắc Kạn)</t>
  </si>
  <si>
    <t>Người duyệt phóng sự (30% hệ số nhuận bút của người viết)</t>
  </si>
  <si>
    <t>Viết nội dung phóng sự</t>
  </si>
  <si>
    <t>Điểm g, Khoản 3, Điều 5, Chương II  Quyết định số 21/2018/QĐ-UBND ngày 06/8/2018 của UBND tỉnh Bắc Kạn</t>
  </si>
  <si>
    <t>Người duyệt chính luận (40% hệ số nhuận bút của người viết)</t>
  </si>
  <si>
    <t>Viết nội dung chính luận</t>
  </si>
  <si>
    <t>Bài</t>
  </si>
  <si>
    <t>Viết bài đăng báo</t>
  </si>
  <si>
    <t xml:space="preserve">Điểm e, Khoản 3, Điều 5, Chương II Quyết định số 21/2018/QĐ-UBND ngày 06/8/2018 của UBND tỉnh Bắc Kạn </t>
  </si>
  <si>
    <t>Người trả lời phỏng vấn</t>
  </si>
  <si>
    <t xml:space="preserve">Điểm c, Khoản 3, Điều 5, Chương II Quyết định số 21/2018/QĐ-UBND ngày 06/8/2018 của UBND tỉnh Bắc Kạn </t>
  </si>
  <si>
    <t>Người kiểm duyệt (30% hệ số nhuận bút của người viết)</t>
  </si>
  <si>
    <t>Điểm g, Khoản 3, Điều 5, Chương II Quyết định số 21/2018/QĐ-UBND ngày 06/8/2018 của UBND tỉnh Bắc Kạn (Tính 01 người)</t>
  </si>
  <si>
    <t>Phát thanh viên (25% hệ số nhuận bút của người viết)</t>
  </si>
  <si>
    <t>Điểm c, Khoản 3, Điều 5, Chương II Quyết định số 21/2018/QĐ-UBND ngày 06/8/2018 của UBND tỉnh Bắc Kạn (Tính 01 người)</t>
  </si>
  <si>
    <t>Người dựng phim (80% hệ số nhuận bút của người viết)</t>
  </si>
  <si>
    <t>Quay phim (90% hệ số nhuận bút của người viết)</t>
  </si>
  <si>
    <t>Đạo diễn (90% hệ số nhuận bút của người viết)</t>
  </si>
  <si>
    <t>Biên kịch (80% hệ số nhuận bút của người viết)</t>
  </si>
  <si>
    <t>Khoản 2, Điều 1 Quyết định số 18/2021/QĐ-UBND ngày 11/10/2021 của UBND tỉnh Bắc Kạn</t>
  </si>
  <si>
    <t xml:space="preserve">Tác giả  </t>
  </si>
  <si>
    <t>Video</t>
  </si>
  <si>
    <t>Phóng sự báo cáo đề dẫn</t>
  </si>
  <si>
    <t>f</t>
  </si>
  <si>
    <t>Mô hình</t>
  </si>
  <si>
    <t>Mô hình pháo, hầm lán</t>
  </si>
  <si>
    <t>Mô hình cây</t>
  </si>
  <si>
    <t>Không có căn cứ hỗ trợ</t>
  </si>
  <si>
    <t>Cuộc</t>
  </si>
  <si>
    <t>Thuê đạo diễn chương trình</t>
  </si>
  <si>
    <t>Tiền trang điểm cho diễn viên</t>
  </si>
  <si>
    <t>Thuê đạo cụ</t>
  </si>
  <si>
    <t>Thuê quần áo bộ đội</t>
  </si>
  <si>
    <t>Thuê trang phục áo bà ba</t>
  </si>
  <si>
    <t>Thuê trang phục bộ dân tộc Dao</t>
  </si>
  <si>
    <t>Thuê trang phục bộ dân tộc Nùng</t>
  </si>
  <si>
    <t>Thuê trang phục bộ dân tộc Tày</t>
  </si>
  <si>
    <t>Thùng</t>
  </si>
  <si>
    <t>Nước uống cho diễn viên luyện tập</t>
  </si>
  <si>
    <t>Pin míc luyện tập</t>
  </si>
  <si>
    <t>Văn hóa, văn nghệ</t>
  </si>
  <si>
    <t>Báo tường khung kẽm, tấm ốp alumi, ảnh (1,8m x 1,2m), chân 0,8m</t>
  </si>
  <si>
    <t>Bảng ảnh. Khung kẽm, tấm ốp alumi, ảnh (1,8m x 1,2m), chân 0,8m</t>
  </si>
  <si>
    <t>Bảng ảnh + báo tường</t>
  </si>
  <si>
    <t>Trưng bày triển lãm thành tựu văn hóa, văn học nghệ thuật, báo chí, sưu tầm tư liệu, hiện vật hình ảnh về quá trình xây dựng, chiến đấu và trưởng thành của Lực lượng vũ trang huyện Na Rì (Khung, ảnh và chân 60cm x 80cm x 80 cm)</t>
  </si>
  <si>
    <t>Trưng bày triển lãm thành tựu văn hóa, văn học nghệ thuật, báo chí, sưu tầm tư liệu, hiện vật hình ảnh về quá trình xây dựng, chiến đấu và trưởng thành của Bộ Chỉ huy Quân sự tỉnh Bắc Kạn (Khung, ảnh và chân 60cm x 80cm x 80 cm)</t>
  </si>
  <si>
    <t>Trưng bày triển lãm thành tựu văn hóa, văn học nghệ thuật, báo chí, sưu tầm tư liệu, hiện vật hình ảnh về quá trình xây dựng, chiến đấu và trưởng thành của Quân khu 1 (Khung, ảnh và chân 60cm x 80cm x 80 cm)</t>
  </si>
  <si>
    <t>Trưng bày triển lãm thành tựu văn hóa, văn học nghệ thuật, báo chí, sưu tầm tư liệu, hiện vật hình ảnh về quá trình xây dựng, chiến đấu và trưởng thành của Quân đội nhân dân Việt Nam (Khung, ảnh và chân 60cm x 80cm x 80 cm)</t>
  </si>
  <si>
    <t>Trưng bày triển lãm thành tựu văn hóa, văn học nghệ thuật, báo chí, sưu tầm tư liệu, hiện vật hình ảnh về quá trình xây dựng, chiến đấu và trưởng thành của Quân đội và LLVT huyện (Khung, ảnh và chân 60cm x 80cm x 80 cm)</t>
  </si>
  <si>
    <t>Biển</t>
  </si>
  <si>
    <t>Biển đặt bàn + in chức danh</t>
  </si>
  <si>
    <t>Khẩu hiệu bên ngoài tiền sảnh hội trường (8m x 0,8m)</t>
  </si>
  <si>
    <t>Khẩu hiệu bên dưới hội trường (9m x 0,70m)</t>
  </si>
  <si>
    <t>Khung + khẩu hiệu hai bên hội trường Trung tâm VHTT</t>
  </si>
  <si>
    <t>Khẩu hiệu (chữ bằng dải hoa) trong hội trường (9m x 1m)</t>
  </si>
  <si>
    <t>Biển đại biểu đeo ngực + phục vụ</t>
  </si>
  <si>
    <t>Theo giá thị trường (350.000 đồng/m² x 6,4m² = 2.240.000 đồng)</t>
  </si>
  <si>
    <t>Ma két (tuýp chữ) khung kẽm (3,6m x 1,8m)</t>
  </si>
  <si>
    <t>Trang trí khánh tiết Lễ mít tinh</t>
  </si>
  <si>
    <t>Khẩu hiệu tuyên truyền ngoài cổng (Khung kẽm 3m x 3m)</t>
  </si>
  <si>
    <t>Theo giá thị trường, (350.000 đồng/m² x 6,4m² = 2.240.000 đồng)</t>
  </si>
  <si>
    <t>Băng rôn chào mừng ngoài cổng Ban CHQS huyện (Khung kẽm phi 32, kích thước 0,8m x 8m)</t>
  </si>
  <si>
    <t>Cờ phướn chất liệu lụa (0,6m x 5m)</t>
  </si>
  <si>
    <t>Băng rôn tuyên truyền trên trục đường chính của huyện (8m x 0,8m)</t>
  </si>
  <si>
    <t>Công tác tuyên truyền</t>
  </si>
  <si>
    <t>Kinh phí tổ chức các hoạt động kỷ niệm 80 năm Ngày thành lập Quân đội nhân dân Việt Nam và 35 năm Ngày hội Quốc phòng toàn dân</t>
  </si>
  <si>
    <t>BAN CHỈ HUY QUÂN SỰ HUYỆN NA RÌ</t>
  </si>
  <si>
    <t>Đo hoạt độ ALT</t>
  </si>
  <si>
    <t>Đo hoạt độ AST</t>
  </si>
  <si>
    <t>Creatinin máu</t>
  </si>
  <si>
    <t>Glucose máu</t>
  </si>
  <si>
    <t xml:space="preserve">Ure máu   </t>
  </si>
  <si>
    <t>Nhóm máu</t>
  </si>
  <si>
    <t>Công thức máu</t>
  </si>
  <si>
    <t>X-Quang TPT</t>
  </si>
  <si>
    <t>Điện tim (điện tâm đồ)</t>
  </si>
  <si>
    <t>Siêu âm</t>
  </si>
  <si>
    <t>Nước tiểu</t>
  </si>
  <si>
    <t xml:space="preserve">Test viên gan C </t>
  </si>
  <si>
    <t xml:space="preserve">Test viên gan B </t>
  </si>
  <si>
    <t xml:space="preserve">Test HIV </t>
  </si>
  <si>
    <t>Phụ lục III Nghị quyết số 03/2024/NQ-HĐND của HĐND tỉnh Bắc Kạn; Tính theo số lượng sơ bộ khám thực tế</t>
  </si>
  <si>
    <t xml:space="preserve">Test ma tuý tổng hợp </t>
  </si>
  <si>
    <t>Chi phí thực hiện các xét nghiệm cận lâm sàng</t>
  </si>
  <si>
    <t>Vật tư khác: Dây thép 50 mét</t>
  </si>
  <si>
    <t>Phiếu</t>
  </si>
  <si>
    <t>Phiếu khám sức khoẻ</t>
  </si>
  <si>
    <t>Quyển</t>
  </si>
  <si>
    <t>Tài liệu Thông tư số 105/2023/TT-BQP</t>
  </si>
  <si>
    <t>Đôi</t>
  </si>
  <si>
    <t>Găng tay</t>
  </si>
  <si>
    <t xml:space="preserve">Pin đèn                        </t>
  </si>
  <si>
    <t>Xà phòng giặt túi 1kg</t>
  </si>
  <si>
    <t xml:space="preserve">Khăn mặt lau tay        </t>
  </si>
  <si>
    <t>Bánh</t>
  </si>
  <si>
    <t xml:space="preserve">Xà phòng thơm   </t>
  </si>
  <si>
    <t>Bút bi (tập huấn, khám)</t>
  </si>
  <si>
    <t>Phụ lục II Thông tư số 105/2023/TT-BQP của Bộ Quốc phòng</t>
  </si>
  <si>
    <t xml:space="preserve">Chi nước uống </t>
  </si>
  <si>
    <t>Chi bồi dưỡng cho các nhân viên y tế tham gia khám</t>
  </si>
  <si>
    <t>Khoản 1, Mục II, Phụ lục II Thông tư số 105/2023/TT-BQP của Bộ Quốc phòng</t>
  </si>
  <si>
    <t>Chi bồi dưỡng cho các thành viên hội đồng</t>
  </si>
  <si>
    <t>Tổ chức họp tổng kết rút kinh nghiệm</t>
  </si>
  <si>
    <t>Tổ chức phân loại sức khoẻ:</t>
  </si>
  <si>
    <t>Chi nước uống</t>
  </si>
  <si>
    <t>Tổ chức khám tại Trung tâm Y tế huyện</t>
  </si>
  <si>
    <t>Chi bồi dưỡng cho các cán bộ, nhân viên y tế tham gia khám</t>
  </si>
  <si>
    <t>Khoản 1, Mục II, Phụ lục II Thông tư số 105/2023/TT-BQP; 
(thực tế tổ chức tập huấn 0,5 ngày)</t>
  </si>
  <si>
    <t xml:space="preserve">Tổ chức tập huấn, quán triệt các nội dung cơ bản trong khám tuyển, phân công nhiệm vụ cho các thành viên Hội đồng khám sức khỏe, Tổ giúp việc Hội đồng khám sức khỏe </t>
  </si>
  <si>
    <t>Kinh phí khám sức khoẻ thực hiện nghĩa vụ quân sự huyện Na Rì năm 2025</t>
  </si>
  <si>
    <t>TRUNG TÂM Y TẾ HUYỆN NA RÌ</t>
  </si>
  <si>
    <t>Dự án</t>
  </si>
  <si>
    <t>Chi phí thẩm định giá mua sắm trang thiết bị tại các thôn vùng đồng bào dân tộc thiểu số và miền núi thực hiện Dự án 6 thuộc Chương trình Mục tiêu quốc gia phát triển kinh tế - xã hội vùng đồng bào dân tộc thiểu số và miền núi năm 2024 (lần 2)</t>
  </si>
  <si>
    <t>Điều 12 Nghị định số 24/2024/NĐ-CP của Chính phủ; và theo giá thị trường tại thời điểm lập dự toán</t>
  </si>
  <si>
    <t>Chi phí tư vấn thẩm định hồ sơ mời thầu, thẩm định kết quả lựa chọn nhà thầu cho gói thầu: Mua sắm trang thiết bị tại các thôn vùng đồng bào dân tộc thiểu số và miền núi thực hiện Dự án 6 thuộc Chương trình Mục tiêu quốc gia phát triển kinh tế - xã hội vùng đồng bào dân tộc thiểu số và miền núi năm 2024 (lần 2)</t>
  </si>
  <si>
    <t>Chi phí tư vấn lập hồ sơ mời thầu, đánh giá hồ sơ dự thầu cho gói thầu: Mua sắm trang thiết bị tại các thôn vùng đồng bào dân tộc thiểu số và miền núi thực hiện Dự án 6 thuộc Chương trình Mục tiêu quốc gia phát triển kinh tế - xã hội vùng đồng bào dân tộc thiểu số và miền núi năm 2024 (lần 2)</t>
  </si>
  <si>
    <t>PHÒNG VĂN HÓA VÀ THÔNG TIN</t>
  </si>
  <si>
    <t>Kinh phí còn dư tại đơn vị</t>
  </si>
  <si>
    <t>Chi tiếp các đoàn khách đến làm việc</t>
  </si>
  <si>
    <t>Kinh phí hoạt động của Thường trực HĐND-UBND huyện</t>
  </si>
  <si>
    <t>VĂN PHÒNG HĐND-UBND</t>
  </si>
  <si>
    <t>Đơn giá</t>
  </si>
  <si>
    <t>Số lần</t>
  </si>
  <si>
    <t>Số UBND huyện trình</t>
  </si>
  <si>
    <t>Số đơn vị đề nghị năm 2024</t>
  </si>
  <si>
    <t>Biểu số 09</t>
  </si>
  <si>
    <t xml:space="preserve">Kinh phí hoạt động tiếp khách của Thường trực HĐND-UBND huyện </t>
  </si>
  <si>
    <t>Văn phòng HĐND-UBND huyện</t>
  </si>
  <si>
    <t>10=7-8-9</t>
  </si>
  <si>
    <t>Kinh phí cấp bổ sung</t>
  </si>
  <si>
    <t>Dự toán thẩm định</t>
  </si>
  <si>
    <t>Kinh phí được giao còn dư tại đơn vị chưa sử dụng</t>
  </si>
  <si>
    <t>Nhu cầu thực hiện từ tháng 11/2024 đến hết năm 2024</t>
  </si>
  <si>
    <t>Kinh phí đã sử dụng đến thời điểm đề nghị cấp bổ sung</t>
  </si>
  <si>
    <t>Kinh phí tiết kiệm, cắt giảm 5% tại Quyết định số 2460/QĐ-UBND ngày 15/8/2024 của UBND huyện</t>
  </si>
  <si>
    <t>Kinh phí được giao đầu năm 2024</t>
  </si>
  <si>
    <t>BIỂU THUYẾT MINH KINH PHÍ CẤP BỔ SUNG CHO CÁC CƠ QUAN, ĐƠN VỊ NĂM 2024</t>
  </si>
  <si>
    <t>Văn phòng HĐND - UBND huyện</t>
  </si>
  <si>
    <t>Kinh phí bổ sung hoạt động của Thường trực HĐND-UBND huyện</t>
  </si>
  <si>
    <t>Phòng Văn hóa và Thông tin</t>
  </si>
  <si>
    <t>Kinh phí tư vấn lập hồ sơ mời thầu, đánh giá hồ sơ dự thầu, thẩm định hồ sơ mời thầu, thẩm định kết quả lựa chọn nhà thầu, thẩm định giá cho gói thầu: Mua sắm trang thiết bị tại các thôn vùng đồng bào dân tộc thiểu số và miền núi thực hiện Dự án 6 thuộc Chương trình Mục tiêu quốc gia phát triển kinh tế - xã hội vùng đồng bào dân tộc thiểu số và miền núi năm 2024 (lần 2)</t>
  </si>
  <si>
    <t>Trung tâm Y tế huyện Na Rì</t>
  </si>
  <si>
    <t>Ban Chỉ huy Quân sự huyện Na Rì</t>
  </si>
  <si>
    <t>Kho bạc Nhà nước Na Rì</t>
  </si>
  <si>
    <t>Kinh phí hỗ trợ công tác quyết toán ngân sách năm 2024</t>
  </si>
  <si>
    <t>Chi tiết theo Biểu số 09</t>
  </si>
  <si>
    <t>Biểu số 08a</t>
  </si>
  <si>
    <t>Kinh phí giao đầu năm; Chi tiết theo biểu 08a</t>
  </si>
  <si>
    <t>(Kèm theo Tờ trình số         /TTr-UBND ngày       /12/2024 của UBND huyện Na Rì)</t>
  </si>
  <si>
    <t>Nghị quyết số 84/NQ-HĐND ngày 10/12/2024 của HĐND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</si>
</sst>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67">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 #,##0_-;\-* #,##0_-;_-* &quot;-&quot;_-;_-@_-"/>
    <numFmt numFmtId="167" formatCode="_-* #,##0.00_-;\-* #,##0.00_-;_-* &quot;-&quot;??_-;_-@_-"/>
    <numFmt numFmtId="168" formatCode="_-* #,##0_-;\-* #,##0_-;_-* &quot;-&quot;??_-;_-@_-"/>
    <numFmt numFmtId="169" formatCode="_(* #,##0_);_(* \(#,##0\);_(* &quot;-&quot;??_);_(@_)"/>
    <numFmt numFmtId="170" formatCode="_-* #,##0.000_-;\-* #,##0.000_-;_-* &quot;-&quot;??_-;_-@_-"/>
    <numFmt numFmtId="171" formatCode="#,##0.000"/>
    <numFmt numFmtId="172" formatCode="0.0"/>
    <numFmt numFmtId="173" formatCode="_-* #,##0\ _₫_-;\-* #,##0\ _₫_-;_-* &quot;-&quot;??\ _₫_-;_-@_-"/>
    <numFmt numFmtId="174" formatCode="_-* #,##0.000000_-;\-* #,##0.000000_-;_-* &quot;-&quot;??_-;_-@_-"/>
    <numFmt numFmtId="175" formatCode="_-* #,##0.000\ _₫_-;\-* #,##0.000\ _₫_-;_-* &quot;-&quot;??\ _₫_-;_-@_-"/>
    <numFmt numFmtId="176" formatCode="_-* #,##0.0\ _₫_-;\-* #,##0.0\ _₫_-;_-* &quot;-&quot;?\ _₫_-;_-@_-"/>
    <numFmt numFmtId="177" formatCode="0.000"/>
    <numFmt numFmtId="178" formatCode="_(* #,##0.0000_);_(* \(#,##0.0000\);_(* &quot;-&quot;??_);_(@_)"/>
    <numFmt numFmtId="179" formatCode="_-* #,##0.00\ _€_-;\-* #,##0.00\ _€_-;_-* &quot;-&quot;??\ _€_-;_-@_-"/>
    <numFmt numFmtId="180" formatCode="_-&quot;€&quot;* #,##0_-;\-&quot;€&quot;* #,##0_-;_-&quot;€&quot;* &quot;-&quot;_-;_-@_-"/>
    <numFmt numFmtId="181" formatCode="&quot;\&quot;#,##0.00;[Red]&quot;\&quot;&quot;\&quot;&quot;\&quot;&quot;\&quot;&quot;\&quot;&quot;\&quot;\-#,##0.00"/>
    <numFmt numFmtId="182" formatCode="&quot;\&quot;#,##0;[Red]&quot;\&quot;&quot;\&quot;\-#,##0"/>
    <numFmt numFmtId="183" formatCode="_-* #,##0\ &quot;€&quot;_-;\-* #,##0\ &quot;€&quot;_-;_-* &quot;-&quot;\ &quot;€&quot;_-;_-@_-"/>
    <numFmt numFmtId="184" formatCode="_-* #,##0\ _F_-;\-* #,##0\ _F_-;_-* &quot;-&quot;\ _F_-;_-@_-"/>
    <numFmt numFmtId="185" formatCode="_ &quot;\&quot;* #,##0_ ;_ &quot;\&quot;* \-#,##0_ ;_ &quot;\&quot;* &quot;-&quot;_ ;_ @_ "/>
    <numFmt numFmtId="186" formatCode="_ &quot;\&quot;* #,##0.00_ ;_ &quot;\&quot;* \-#,##0.00_ ;_ &quot;\&quot;* &quot;-&quot;??_ ;_ @_ "/>
    <numFmt numFmtId="187" formatCode="_ * #,##0_ ;_ * \-#,##0_ ;_ * &quot;-&quot;_ ;_ @_ "/>
    <numFmt numFmtId="188" formatCode="_ * #,##0.00_ ;_ * \-#,##0.00_ ;_ * &quot;-&quot;??_ ;_ @_ "/>
    <numFmt numFmtId="189" formatCode="#,##0.0_);\(#,##0.0\)"/>
    <numFmt numFmtId="190" formatCode="0.0%;[Red]\(0.0%\)"/>
    <numFmt numFmtId="191" formatCode="_ * #,##0.00_)&quot;£&quot;_ ;_ * \(#,##0.00\)&quot;£&quot;_ ;_ * &quot;-&quot;??_)&quot;£&quot;_ ;_ @_ "/>
    <numFmt numFmtId="192" formatCode="_-&quot;$&quot;* #,##0.00_-;\-&quot;$&quot;* #,##0.00_-;_-&quot;$&quot;* &quot;-&quot;??_-;_-@_-"/>
    <numFmt numFmtId="193" formatCode="0.0%;\(0.0%\)"/>
    <numFmt numFmtId="194" formatCode="0.000_)"/>
    <numFmt numFmtId="195" formatCode="&quot;C&quot;#,##0.00_);\(&quot;C&quot;#,##0.00\)"/>
    <numFmt numFmtId="196" formatCode="_ &quot;\&quot;* #,##0.00_ ;_ &quot;\&quot;* &quot;\&quot;&quot;\&quot;&quot;\&quot;&quot;\&quot;&quot;\&quot;&quot;\&quot;&quot;\&quot;&quot;\&quot;&quot;\&quot;\-#,##0.00_ ;_ &quot;\&quot;* &quot;-&quot;??_ ;_ @_ "/>
    <numFmt numFmtId="197" formatCode="&quot;C&quot;#,##0_);\(&quot;C&quot;#,##0\)"/>
    <numFmt numFmtId="198" formatCode="&quot;$&quot;\ \ \ \ #,##0_);\(&quot;$&quot;\ \ \ #,##0\)"/>
    <numFmt numFmtId="199" formatCode="&quot;$&quot;\ \ \ \ \ #,##0_);\(&quot;$&quot;\ \ \ \ \ #,##0\)"/>
    <numFmt numFmtId="200" formatCode="&quot;C&quot;#,##0_);[Red]\(&quot;C&quot;#,##0\)"/>
    <numFmt numFmtId="201" formatCode="#,###;\-#,###;&quot;&quot;;_(@_)"/>
    <numFmt numFmtId="202" formatCode="#,##0_ ;[Red]\-#,##0\ "/>
    <numFmt numFmtId="203" formatCode="#,##0\ &quot;$&quot;_);[Red]\(#,##0\ &quot;$&quot;\)"/>
    <numFmt numFmtId="204" formatCode="&quot;$&quot;###,0&quot;.&quot;00_);[Red]\(&quot;$&quot;###,0&quot;.&quot;00\)"/>
    <numFmt numFmtId="205" formatCode="&quot;\&quot;#,##0;[Red]\-&quot;\&quot;#,##0"/>
    <numFmt numFmtId="206" formatCode="&quot;\&quot;#,##0.00;\-&quot;\&quot;#,##0.00"/>
    <numFmt numFmtId="207" formatCode="#,##0.000_);\(#,##0.000\)"/>
    <numFmt numFmtId="208" formatCode="#,##0.00\ &quot;F&quot;;[Red]\-#,##0.00\ &quot;F&quot;"/>
    <numFmt numFmtId="209" formatCode="#,##0\ &quot;F&quot;;\-#,##0\ &quot;F&quot;"/>
    <numFmt numFmtId="210" formatCode="#,##0\ &quot;F&quot;;[Red]\-#,##0\ &quot;F&quot;"/>
    <numFmt numFmtId="211" formatCode="_-* #,##0\ &quot;F&quot;_-;\-* #,##0\ &quot;F&quot;_-;_-* &quot;-&quot;\ &quot;F&quot;_-;_-@_-"/>
    <numFmt numFmtId="212" formatCode="#,##0.00\ &quot;F&quot;;\-#,##0.00\ &quot;F&quot;"/>
    <numFmt numFmtId="213" formatCode="&quot;\&quot;#,##0.00;[Red]&quot;\&quot;\-#,##0.00"/>
    <numFmt numFmtId="214" formatCode="&quot;\&quot;#,##0;[Red]&quot;\&quot;\-#,##0"/>
    <numFmt numFmtId="215" formatCode="_-&quot;$&quot;* #,##0_-;\-&quot;$&quot;* #,##0_-;_-&quot;$&quot;* &quot;-&quot;_-;_-@_-"/>
    <numFmt numFmtId="216" formatCode="_-* #,##0.00\ _K_M_-;\-* #,##0.00\ _K_M_-;_-* &quot;-&quot;??\ _K_M_-;_-@_-"/>
    <numFmt numFmtId="217" formatCode="#,##0.0"/>
    <numFmt numFmtId="218" formatCode="m/d/yyyy;@"/>
    <numFmt numFmtId="219" formatCode="#,##0_ ;\-#,##0\ "/>
    <numFmt numFmtId="220" formatCode="_-* #,##0.0_-;\-* #,##0.0_-;_-* &quot;-&quot;??_-;_-@_-"/>
    <numFmt numFmtId="221" formatCode="#,##0.0000000000"/>
    <numFmt numFmtId="222" formatCode="#,##0.00000000000"/>
    <numFmt numFmtId="223" formatCode="#,##0;[Red]#,##0"/>
    <numFmt numFmtId="224" formatCode="_(* #,##0.0_);_(* \(#,##0.0\);_(* &quot;-&quot;??_);_(@_)"/>
  </numFmts>
  <fonts count="166">
    <font>
      <sz val="11"/>
      <color theme="1"/>
      <name val="Arial"/>
      <family val="2"/>
      <charset val="163"/>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b/>
      <sz val="12"/>
      <color theme="1"/>
      <name val="Times New Roman"/>
      <family val="1"/>
    </font>
    <font>
      <sz val="12"/>
      <color theme="1"/>
      <name val="Times New Roman"/>
      <family val="1"/>
    </font>
    <font>
      <b/>
      <i/>
      <sz val="12"/>
      <color theme="1"/>
      <name val="Times New Roman"/>
      <family val="1"/>
    </font>
    <font>
      <i/>
      <sz val="12"/>
      <color theme="1"/>
      <name val="Times New Roman"/>
      <family val="1"/>
    </font>
    <font>
      <sz val="11"/>
      <color theme="1"/>
      <name val="Times New Roman"/>
      <family val="1"/>
    </font>
    <font>
      <sz val="14"/>
      <color theme="1"/>
      <name val="Times New Roman"/>
      <family val="1"/>
    </font>
    <font>
      <sz val="12"/>
      <name val="Times New Roman"/>
      <family val="1"/>
    </font>
    <font>
      <b/>
      <sz val="12"/>
      <name val="Times New Roman"/>
      <family val="1"/>
    </font>
    <font>
      <sz val="10"/>
      <name val="Arial"/>
      <family val="2"/>
    </font>
    <font>
      <sz val="11"/>
      <color theme="1"/>
      <name val="Arial"/>
      <family val="2"/>
      <charset val="163"/>
      <scheme val="minor"/>
    </font>
    <font>
      <b/>
      <i/>
      <sz val="12"/>
      <name val="Times New Roman"/>
      <family val="1"/>
    </font>
    <font>
      <sz val="14"/>
      <name val="Times New Roman"/>
      <family val="1"/>
    </font>
    <font>
      <b/>
      <sz val="13"/>
      <name val="Times New Roman"/>
      <family val="1"/>
    </font>
    <font>
      <b/>
      <sz val="14"/>
      <name val="Times New Roman"/>
      <family val="1"/>
    </font>
    <font>
      <sz val="11"/>
      <color theme="1"/>
      <name val="Arial"/>
      <family val="2"/>
      <scheme val="minor"/>
    </font>
    <font>
      <sz val="10"/>
      <name val="Times New Roman"/>
      <family val="1"/>
    </font>
    <font>
      <u/>
      <sz val="11"/>
      <color theme="10"/>
      <name val="Arial"/>
      <family val="2"/>
      <scheme val="minor"/>
    </font>
    <font>
      <sz val="9"/>
      <color indexed="81"/>
      <name val="Tahoma"/>
      <family val="2"/>
    </font>
    <font>
      <b/>
      <sz val="9"/>
      <color indexed="81"/>
      <name val="Tahoma"/>
      <family val="2"/>
    </font>
    <font>
      <sz val="12"/>
      <color theme="1"/>
      <name val="Times New Roman"/>
      <family val="2"/>
    </font>
    <font>
      <sz val="12"/>
      <color theme="1"/>
      <name val="Arial"/>
      <family val="1"/>
      <scheme val="minor"/>
    </font>
    <font>
      <sz val="12"/>
      <name val=".VnTime"/>
      <family val="2"/>
    </font>
    <font>
      <sz val="12"/>
      <name val=".VnTime"/>
      <family val="2"/>
    </font>
    <font>
      <sz val="11"/>
      <color theme="1"/>
      <name val="Times New Roman"/>
      <family val="2"/>
      <charset val="163"/>
    </font>
    <font>
      <i/>
      <sz val="12"/>
      <name val="Times New Roman"/>
      <family val="1"/>
    </font>
    <font>
      <sz val="12"/>
      <color theme="1"/>
      <name val="Times New Roman"/>
      <family val="2"/>
      <charset val="163"/>
    </font>
    <font>
      <b/>
      <sz val="12"/>
      <name val="Times New Roman"/>
      <family val="2"/>
    </font>
    <font>
      <i/>
      <sz val="12"/>
      <name val="Times New Roman"/>
      <family val="2"/>
    </font>
    <font>
      <sz val="12"/>
      <name val="Times New Roman"/>
      <family val="2"/>
    </font>
    <font>
      <b/>
      <sz val="14"/>
      <name val="Times New Roman"/>
      <family val="2"/>
    </font>
    <font>
      <sz val="10"/>
      <name val="Times New Roman"/>
      <family val="2"/>
    </font>
    <font>
      <b/>
      <i/>
      <sz val="13"/>
      <name val="Times New Roman"/>
      <family val="1"/>
    </font>
    <font>
      <sz val="12"/>
      <color theme="1"/>
      <name val=".VnTime"/>
      <family val="2"/>
    </font>
    <font>
      <sz val="11"/>
      <color rgb="FF000000"/>
      <name val="Arial"/>
      <family val="2"/>
      <scheme val="minor"/>
    </font>
    <font>
      <sz val="10"/>
      <name val="Arial"/>
      <family val="2"/>
      <charset val="163"/>
    </font>
    <font>
      <sz val="12"/>
      <color rgb="FF000000"/>
      <name val="Times New Roman"/>
      <family val="1"/>
    </font>
    <font>
      <sz val="12"/>
      <name val="Arial"/>
      <family val="2"/>
      <charset val="163"/>
      <scheme val="minor"/>
    </font>
    <font>
      <i/>
      <sz val="14"/>
      <name val="Times New Roman"/>
      <family val="1"/>
    </font>
    <font>
      <sz val="13"/>
      <name val=".VnTime"/>
      <family val="2"/>
    </font>
    <font>
      <sz val="12"/>
      <name val=".VnArial Narrow"/>
      <family val="2"/>
    </font>
    <font>
      <sz val="12"/>
      <color indexed="8"/>
      <name val="Times New Roman"/>
      <family val="2"/>
    </font>
    <font>
      <sz val="8"/>
      <name val="Times New Roman"/>
      <family val="1"/>
    </font>
    <font>
      <sz val="10"/>
      <name val=".VnTime"/>
      <family val="2"/>
    </font>
    <font>
      <sz val="11"/>
      <color indexed="8"/>
      <name val="Calibri"/>
      <family val="2"/>
    </font>
    <font>
      <b/>
      <sz val="10"/>
      <name val=".VnTime"/>
      <family val="2"/>
    </font>
    <font>
      <sz val="12"/>
      <name val="VNI-Times"/>
    </font>
    <font>
      <sz val="10"/>
      <name val="?? ??"/>
      <family val="1"/>
      <charset val="136"/>
    </font>
    <font>
      <sz val="14"/>
      <name val="??"/>
      <family val="3"/>
      <charset val="129"/>
    </font>
    <font>
      <sz val="12"/>
      <name val="????"/>
      <family val="1"/>
      <charset val="136"/>
    </font>
    <font>
      <sz val="12"/>
      <name val="Courier"/>
      <family val="3"/>
    </font>
    <font>
      <sz val="12"/>
      <name val="|??¢¥¢¬¨Ï"/>
      <family val="1"/>
      <charset val="129"/>
    </font>
    <font>
      <sz val="10"/>
      <name val="VNI-Times"/>
    </font>
    <font>
      <sz val="10"/>
      <name val="MS Sans Serif"/>
      <family val="2"/>
    </font>
    <font>
      <sz val="10"/>
      <color indexed="8"/>
      <name val="Arial"/>
      <family val="2"/>
    </font>
    <font>
      <sz val="11"/>
      <name val="VNI-Aptima"/>
    </font>
    <font>
      <sz val="12"/>
      <name val="???"/>
    </font>
    <font>
      <sz val="14"/>
      <name val="VnTime"/>
    </font>
    <font>
      <sz val="12"/>
      <name val="¹ÙÅÁÃ¼"/>
      <family val="1"/>
    </font>
    <font>
      <i/>
      <sz val="12"/>
      <color indexed="8"/>
      <name val=".VnBook-AntiquaH"/>
      <family val="2"/>
    </font>
    <font>
      <b/>
      <sz val="12"/>
      <color indexed="8"/>
      <name val=".VnBook-Antiqua"/>
      <family val="2"/>
    </font>
    <font>
      <i/>
      <sz val="12"/>
      <color indexed="8"/>
      <name val=".VnBook-Antiqua"/>
      <family val="2"/>
    </font>
    <font>
      <sz val="12"/>
      <name val="±¼¸²Ã¼"/>
      <family val="3"/>
      <charset val="129"/>
    </font>
    <font>
      <sz val="12"/>
      <name val="¹UAAA¼"/>
      <family val="3"/>
      <charset val="129"/>
    </font>
    <font>
      <sz val="11"/>
      <name val="±¼¸²Ã¼"/>
      <family val="3"/>
      <charset val="129"/>
    </font>
    <font>
      <sz val="12"/>
      <name val="Tms Rmn"/>
    </font>
    <font>
      <sz val="11"/>
      <name val="µ¸¿ò"/>
      <charset val="129"/>
    </font>
    <font>
      <sz val="12"/>
      <name val="µ¸¿òÃ¼"/>
      <family val="3"/>
      <charset val="129"/>
    </font>
    <font>
      <sz val="10"/>
      <name val="±¼¸²A¼"/>
      <family val="3"/>
      <charset val="129"/>
    </font>
    <font>
      <sz val="10"/>
      <name val="Helv"/>
    </font>
    <font>
      <b/>
      <sz val="10"/>
      <name val="Helv"/>
    </font>
    <font>
      <sz val="10"/>
      <name val=".VnArial"/>
      <family val="2"/>
    </font>
    <font>
      <sz val="11"/>
      <name val="Tms Rmn"/>
    </font>
    <font>
      <sz val="10"/>
      <name val="MS Serif"/>
      <family val="1"/>
    </font>
    <font>
      <sz val="10"/>
      <name val="Arial CE"/>
      <charset val="238"/>
    </font>
    <font>
      <sz val="10"/>
      <color indexed="16"/>
      <name val="MS Serif"/>
      <family val="1"/>
    </font>
    <font>
      <sz val="10"/>
      <color indexed="8"/>
      <name val="Arial"/>
      <family val="2"/>
      <charset val="1"/>
    </font>
    <font>
      <sz val="8"/>
      <name val="Arial"/>
      <family val="2"/>
      <charset val="163"/>
    </font>
    <font>
      <b/>
      <sz val="12"/>
      <color indexed="9"/>
      <name val="Tms Rmn"/>
    </font>
    <font>
      <b/>
      <sz val="12"/>
      <name val="Helv"/>
    </font>
    <font>
      <b/>
      <sz val="12"/>
      <name val="Arial"/>
      <family val="2"/>
    </font>
    <font>
      <b/>
      <sz val="18"/>
      <name val="Arial"/>
      <family val="2"/>
    </font>
    <font>
      <b/>
      <sz val="8"/>
      <name val="MS Sans Serif"/>
      <family val="2"/>
    </font>
    <font>
      <b/>
      <sz val="14"/>
      <name val=".VnTimeH"/>
      <family val="2"/>
    </font>
    <font>
      <b/>
      <sz val="11"/>
      <name val="Helv"/>
    </font>
    <font>
      <sz val="12"/>
      <name val="Arial"/>
      <family val="2"/>
    </font>
    <font>
      <sz val="7"/>
      <name val="Small Fonts"/>
      <family val="2"/>
    </font>
    <font>
      <sz val="13"/>
      <name val="Times New Roman"/>
      <family val="1"/>
    </font>
    <font>
      <b/>
      <sz val="11"/>
      <name val="Arial"/>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8"/>
      <name val="MS Sans Serif"/>
      <family val="2"/>
    </font>
    <font>
      <sz val="8"/>
      <name val="Tms Rmn"/>
    </font>
    <font>
      <b/>
      <sz val="8"/>
      <color indexed="8"/>
      <name val="Helv"/>
    </font>
    <font>
      <b/>
      <sz val="13"/>
      <color indexed="8"/>
      <name val=".VnTimeH"/>
      <family val="2"/>
    </font>
    <font>
      <sz val="14"/>
      <name val="VnTime"/>
      <family val="2"/>
    </font>
    <font>
      <b/>
      <sz val="8"/>
      <name val="VN Helvetica"/>
    </font>
    <font>
      <b/>
      <sz val="12"/>
      <name val=".VnTime"/>
      <family val="2"/>
    </font>
    <font>
      <b/>
      <sz val="10"/>
      <name val="VN AvantGBook"/>
    </font>
    <font>
      <b/>
      <sz val="16"/>
      <name val=".VnTime"/>
      <family val="2"/>
    </font>
    <font>
      <sz val="9"/>
      <name val=".VnTime"/>
      <family val="2"/>
    </font>
    <font>
      <sz val="14"/>
      <name val=".VnArial"/>
      <family val="2"/>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b/>
      <sz val="13"/>
      <color rgb="FFFF0000"/>
      <name val="Times New Roman"/>
      <family val="1"/>
    </font>
    <font>
      <b/>
      <sz val="14"/>
      <color theme="1"/>
      <name val="Times New Roman"/>
      <family val="1"/>
    </font>
    <font>
      <sz val="10"/>
      <name val="Arial"/>
      <family val="2"/>
    </font>
    <font>
      <sz val="13"/>
      <color theme="1"/>
      <name val="Times New Roman"/>
      <family val="1"/>
    </font>
    <font>
      <b/>
      <sz val="13"/>
      <color theme="1"/>
      <name val="Times New Roman"/>
      <family val="1"/>
    </font>
    <font>
      <sz val="11.5"/>
      <color theme="1"/>
      <name val="Times New Roman"/>
      <family val="1"/>
    </font>
    <font>
      <sz val="14"/>
      <color theme="1"/>
      <name val="Times New Roman"/>
      <family val="2"/>
    </font>
    <font>
      <b/>
      <i/>
      <sz val="13"/>
      <color theme="1"/>
      <name val="Times New Roman"/>
      <family val="1"/>
    </font>
    <font>
      <i/>
      <sz val="13"/>
      <color theme="1"/>
      <name val="Times New Roman"/>
      <family val="1"/>
    </font>
    <font>
      <b/>
      <sz val="11.5"/>
      <color theme="1"/>
      <name val="Times New Roman"/>
      <family val="1"/>
    </font>
    <font>
      <i/>
      <sz val="10"/>
      <color theme="1"/>
      <name val="Times New Roman"/>
      <family val="1"/>
    </font>
    <font>
      <b/>
      <i/>
      <sz val="11.5"/>
      <color theme="1"/>
      <name val="Times New Roman"/>
      <family val="1"/>
    </font>
    <font>
      <i/>
      <sz val="11.5"/>
      <color theme="1"/>
      <name val="Times New Roman"/>
      <family val="1"/>
    </font>
    <font>
      <sz val="10"/>
      <name val="Arial"/>
    </font>
    <font>
      <sz val="14"/>
      <color theme="1"/>
      <name val="Times New Roman"/>
      <family val="2"/>
      <charset val="163"/>
    </font>
    <font>
      <i/>
      <sz val="14"/>
      <color theme="1"/>
      <name val="Times New Roman"/>
      <family val="1"/>
    </font>
    <font>
      <b/>
      <i/>
      <sz val="14"/>
      <color theme="1"/>
      <name val="Times New Roman"/>
      <family val="1"/>
    </font>
    <font>
      <sz val="13"/>
      <color theme="1"/>
      <name val="Times New Roman"/>
      <family val="2"/>
    </font>
    <font>
      <i/>
      <sz val="10"/>
      <name val="Times New Roman"/>
      <family val="1"/>
    </font>
    <font>
      <b/>
      <sz val="11"/>
      <name val="Times New Roman"/>
      <family val="1"/>
    </font>
    <font>
      <sz val="11"/>
      <name val="Times New Roman"/>
      <family val="1"/>
    </font>
    <font>
      <b/>
      <sz val="10"/>
      <name val="Times New Roman"/>
      <family val="1"/>
    </font>
    <font>
      <sz val="9"/>
      <name val="Times New Roman"/>
      <family val="1"/>
    </font>
    <font>
      <sz val="12"/>
      <name val="Times New Roman"/>
    </font>
    <font>
      <b/>
      <i/>
      <sz val="11"/>
      <name val="Times New Roman"/>
      <family val="1"/>
    </font>
    <font>
      <i/>
      <sz val="11"/>
      <color theme="1"/>
      <name val="Times New Roman"/>
      <family val="1"/>
    </font>
    <font>
      <b/>
      <sz val="10"/>
      <color theme="1"/>
      <name val="Times New Roman"/>
      <family val="1"/>
    </font>
    <font>
      <i/>
      <sz val="11"/>
      <name val="Times New Roman"/>
      <family val="1"/>
    </font>
    <font>
      <b/>
      <sz val="11"/>
      <color theme="1"/>
      <name val="Times New Roman"/>
      <family val="1"/>
    </font>
    <font>
      <i/>
      <sz val="13"/>
      <name val="Times New Roman"/>
      <family val="1"/>
    </font>
    <font>
      <sz val="10"/>
      <color indexed="8"/>
      <name val="Times New Roman"/>
      <family val="1"/>
    </font>
    <font>
      <sz val="10"/>
      <color theme="1"/>
      <name val="Times New Roman"/>
      <family val="1"/>
    </font>
    <font>
      <sz val="10"/>
      <color rgb="FF0070C0"/>
      <name val="Times New Roman"/>
      <family val="1"/>
    </font>
    <font>
      <b/>
      <sz val="10"/>
      <color indexed="8"/>
      <name val="Times New Roman"/>
      <family val="1"/>
    </font>
    <font>
      <sz val="8"/>
      <color indexed="8"/>
      <name val="Times New Roman"/>
      <family val="1"/>
    </font>
    <font>
      <i/>
      <sz val="8"/>
      <color indexed="8"/>
      <name val="Times New Roman"/>
      <family val="1"/>
    </font>
    <font>
      <b/>
      <sz val="9"/>
      <color indexed="8"/>
      <name val="Times New Roman"/>
      <family val="1"/>
    </font>
    <font>
      <i/>
      <sz val="10"/>
      <color indexed="8"/>
      <name val="Times New Roman"/>
      <family val="1"/>
    </font>
    <font>
      <i/>
      <sz val="12"/>
      <color indexed="8"/>
      <name val="Times New Roman"/>
      <family val="1"/>
    </font>
    <font>
      <b/>
      <sz val="13"/>
      <color indexed="8"/>
      <name val="Times New Roman"/>
      <family val="1"/>
    </font>
    <font>
      <b/>
      <i/>
      <sz val="10"/>
      <color theme="1"/>
      <name val="Times New Roman"/>
      <family val="1"/>
    </font>
  </fonts>
  <fills count="2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40"/>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rgb="FFFFFF00"/>
        <bgColor indexed="64"/>
      </patternFill>
    </fill>
    <fill>
      <patternFill patternType="solid">
        <fgColor theme="9" tint="0.59999389629810485"/>
        <bgColor indexed="64"/>
      </patternFill>
    </fill>
    <fill>
      <patternFill patternType="solid">
        <fgColor theme="7"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style="thin">
        <color indexed="64"/>
      </right>
      <top style="hair">
        <color indexed="64"/>
      </top>
      <bottom style="hair">
        <color indexed="64"/>
      </bottom>
      <diagonal/>
    </border>
  </borders>
  <cellStyleXfs count="522">
    <xf numFmtId="0" fontId="0" fillId="0" borderId="0"/>
    <xf numFmtId="0" fontId="17" fillId="0" borderId="0"/>
    <xf numFmtId="167" fontId="18" fillId="0" borderId="0" applyFont="0" applyFill="0" applyBorder="0" applyAlignment="0" applyProtection="0"/>
    <xf numFmtId="0" fontId="23" fillId="0" borderId="0"/>
    <xf numFmtId="167" fontId="23" fillId="0" borderId="0" applyFont="0" applyFill="0" applyBorder="0" applyAlignment="0" applyProtection="0"/>
    <xf numFmtId="166" fontId="23" fillId="0" borderId="0" applyFont="0" applyFill="0" applyBorder="0" applyAlignment="0" applyProtection="0"/>
    <xf numFmtId="0" fontId="17" fillId="0" borderId="0"/>
    <xf numFmtId="167" fontId="23" fillId="0" borderId="0" applyFont="0" applyFill="0" applyBorder="0" applyAlignment="0" applyProtection="0"/>
    <xf numFmtId="0" fontId="17" fillId="0" borderId="0"/>
    <xf numFmtId="0" fontId="18" fillId="0" borderId="0"/>
    <xf numFmtId="9" fontId="23" fillId="0" borderId="0" applyFont="0" applyFill="0" applyBorder="0" applyAlignment="0" applyProtection="0"/>
    <xf numFmtId="0" fontId="25" fillId="0" borderId="0" applyNumberFormat="0" applyFill="0" applyBorder="0" applyAlignment="0" applyProtection="0"/>
    <xf numFmtId="0" fontId="23" fillId="0" borderId="0"/>
    <xf numFmtId="166" fontId="23" fillId="0" borderId="0" applyFont="0" applyFill="0" applyBorder="0" applyAlignment="0" applyProtection="0"/>
    <xf numFmtId="0" fontId="23" fillId="0" borderId="0"/>
    <xf numFmtId="167" fontId="23" fillId="0" borderId="0" applyFont="0" applyFill="0" applyBorder="0" applyAlignment="0" applyProtection="0"/>
    <xf numFmtId="0" fontId="23" fillId="0" borderId="0"/>
    <xf numFmtId="166" fontId="23" fillId="0" borderId="0" applyFont="0" applyFill="0" applyBorder="0" applyAlignment="0" applyProtection="0"/>
    <xf numFmtId="0" fontId="28" fillId="0" borderId="0"/>
    <xf numFmtId="0" fontId="29" fillId="0" borderId="0"/>
    <xf numFmtId="0" fontId="29" fillId="0" borderId="0"/>
    <xf numFmtId="167" fontId="29" fillId="0" borderId="0" applyFont="0" applyFill="0" applyBorder="0" applyAlignment="0" applyProtection="0"/>
    <xf numFmtId="0" fontId="29" fillId="0" borderId="0"/>
    <xf numFmtId="0" fontId="29" fillId="0" borderId="0"/>
    <xf numFmtId="0" fontId="29" fillId="0" borderId="0"/>
    <xf numFmtId="0" fontId="30" fillId="0" borderId="0"/>
    <xf numFmtId="43" fontId="31" fillId="0" borderId="0" applyFont="0" applyFill="0" applyBorder="0" applyAlignment="0" applyProtection="0"/>
    <xf numFmtId="0" fontId="31" fillId="0" borderId="0"/>
    <xf numFmtId="43" fontId="17" fillId="0" borderId="0" applyFont="0" applyFill="0" applyBorder="0" applyAlignment="0" applyProtection="0"/>
    <xf numFmtId="0" fontId="17" fillId="0" borderId="0"/>
    <xf numFmtId="0" fontId="20" fillId="0" borderId="0"/>
    <xf numFmtId="0" fontId="31" fillId="0" borderId="0"/>
    <xf numFmtId="43" fontId="31" fillId="0" borderId="0" applyFont="0" applyFill="0" applyBorder="0" applyAlignment="0" applyProtection="0"/>
    <xf numFmtId="0" fontId="31" fillId="0" borderId="0"/>
    <xf numFmtId="165" fontId="32" fillId="0" borderId="0" applyFont="0" applyFill="0" applyBorder="0" applyAlignment="0" applyProtection="0"/>
    <xf numFmtId="43" fontId="17" fillId="0" borderId="0" applyFont="0" applyFill="0" applyBorder="0" applyAlignment="0" applyProtection="0"/>
    <xf numFmtId="0" fontId="32" fillId="0" borderId="0"/>
    <xf numFmtId="165" fontId="32" fillId="0" borderId="0" applyFont="0" applyFill="0" applyBorder="0" applyAlignment="0" applyProtection="0"/>
    <xf numFmtId="165" fontId="32" fillId="0" borderId="0" applyFont="0" applyFill="0" applyBorder="0" applyAlignment="0" applyProtection="0"/>
    <xf numFmtId="0" fontId="34" fillId="0" borderId="0"/>
    <xf numFmtId="43" fontId="34" fillId="0" borderId="0" applyFont="0" applyFill="0" applyBorder="0" applyAlignment="0" applyProtection="0"/>
    <xf numFmtId="9" fontId="34" fillId="0" borderId="0" applyFont="0" applyFill="0" applyBorder="0" applyAlignment="0" applyProtection="0"/>
    <xf numFmtId="9" fontId="28" fillId="0" borderId="0" applyFont="0" applyFill="0" applyBorder="0" applyAlignment="0" applyProtection="0"/>
    <xf numFmtId="165" fontId="28" fillId="0" borderId="0" applyFont="0" applyFill="0" applyBorder="0" applyAlignment="0" applyProtection="0"/>
    <xf numFmtId="0" fontId="28" fillId="0" borderId="0"/>
    <xf numFmtId="0" fontId="30" fillId="0" borderId="0"/>
    <xf numFmtId="0" fontId="41" fillId="0" borderId="0"/>
    <xf numFmtId="0" fontId="30" fillId="0" borderId="0"/>
    <xf numFmtId="43" fontId="23" fillId="0" borderId="0" applyFont="0" applyFill="0" applyBorder="0" applyAlignment="0" applyProtection="0"/>
    <xf numFmtId="0" fontId="15" fillId="0" borderId="0"/>
    <xf numFmtId="0" fontId="15" fillId="0" borderId="0"/>
    <xf numFmtId="0" fontId="15" fillId="0" borderId="0"/>
    <xf numFmtId="0" fontId="42" fillId="0" borderId="0"/>
    <xf numFmtId="167" fontId="42" fillId="0" borderId="0" applyFont="0" applyFill="0" applyBorder="0" applyAlignment="0" applyProtection="0"/>
    <xf numFmtId="43" fontId="30" fillId="0" borderId="0" applyFont="0" applyFill="0" applyBorder="0" applyAlignment="0" applyProtection="0"/>
    <xf numFmtId="43" fontId="28" fillId="0" borderId="0" applyFont="0" applyFill="0" applyBorder="0" applyAlignment="0" applyProtection="0"/>
    <xf numFmtId="170" fontId="29" fillId="0" borderId="0" applyFont="0" applyFill="0" applyBorder="0" applyAlignment="0" applyProtection="0"/>
    <xf numFmtId="41" fontId="28" fillId="0" borderId="0" applyFont="0" applyFill="0" applyBorder="0" applyAlignment="0" applyProtection="0"/>
    <xf numFmtId="0" fontId="30" fillId="0" borderId="0"/>
    <xf numFmtId="174" fontId="30"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0" fontId="17" fillId="0" borderId="0"/>
    <xf numFmtId="0" fontId="15"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7" fillId="0" borderId="0"/>
    <xf numFmtId="0" fontId="43" fillId="0" borderId="0"/>
    <xf numFmtId="0" fontId="17" fillId="0" borderId="0"/>
    <xf numFmtId="0" fontId="15" fillId="0" borderId="0"/>
    <xf numFmtId="0" fontId="30" fillId="0" borderId="0"/>
    <xf numFmtId="165" fontId="18" fillId="0" borderId="0" applyFont="0" applyFill="0" applyBorder="0" applyAlignment="0" applyProtection="0"/>
    <xf numFmtId="0" fontId="17" fillId="0" borderId="0"/>
    <xf numFmtId="165" fontId="34" fillId="0" borderId="0" applyFont="0" applyFill="0" applyBorder="0" applyAlignment="0" applyProtection="0"/>
    <xf numFmtId="0" fontId="17" fillId="0" borderId="0"/>
    <xf numFmtId="0" fontId="23" fillId="0" borderId="0"/>
    <xf numFmtId="43" fontId="30" fillId="0" borderId="0" applyFont="0" applyFill="0" applyBorder="0" applyAlignment="0" applyProtection="0"/>
    <xf numFmtId="43" fontId="18" fillId="0" borderId="0" applyFont="0" applyFill="0" applyBorder="0" applyAlignment="0" applyProtection="0"/>
    <xf numFmtId="0" fontId="30" fillId="0" borderId="0"/>
    <xf numFmtId="0" fontId="20" fillId="0" borderId="0"/>
    <xf numFmtId="0" fontId="48" fillId="0" borderId="0"/>
    <xf numFmtId="43" fontId="18" fillId="0" borderId="0" applyFont="0" applyFill="0" applyBorder="0" applyAlignment="0" applyProtection="0"/>
    <xf numFmtId="0" fontId="30" fillId="0" borderId="0"/>
    <xf numFmtId="0" fontId="30" fillId="0" borderId="0"/>
    <xf numFmtId="43" fontId="30" fillId="0" borderId="0" applyFont="0" applyFill="0" applyBorder="0" applyAlignment="0" applyProtection="0"/>
    <xf numFmtId="0" fontId="17" fillId="0" borderId="0"/>
    <xf numFmtId="0" fontId="15" fillId="0" borderId="0"/>
    <xf numFmtId="0" fontId="49" fillId="0" borderId="0"/>
    <xf numFmtId="179" fontId="43" fillId="0" borderId="0" applyFont="0" applyFill="0" applyBorder="0" applyAlignment="0" applyProtection="0"/>
    <xf numFmtId="43" fontId="30" fillId="0" borderId="0" applyFont="0" applyFill="0" applyBorder="0" applyAlignment="0" applyProtection="0"/>
    <xf numFmtId="43" fontId="17"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43" fontId="30" fillId="0" borderId="0" applyFont="0" applyFill="0" applyBorder="0" applyAlignment="0" applyProtection="0"/>
    <xf numFmtId="43" fontId="43" fillId="0" borderId="0" applyFont="0" applyFill="0" applyBorder="0" applyAlignment="0" applyProtection="0"/>
    <xf numFmtId="0" fontId="43" fillId="0" borderId="0"/>
    <xf numFmtId="0" fontId="20" fillId="0" borderId="0"/>
    <xf numFmtId="0" fontId="20" fillId="0" borderId="0"/>
    <xf numFmtId="0" fontId="17" fillId="0" borderId="0"/>
    <xf numFmtId="0" fontId="17" fillId="0" borderId="0"/>
    <xf numFmtId="0" fontId="17" fillId="0" borderId="0"/>
    <xf numFmtId="0" fontId="48" fillId="0" borderId="0"/>
    <xf numFmtId="0" fontId="23" fillId="0" borderId="0"/>
    <xf numFmtId="0" fontId="30" fillId="0" borderId="0"/>
    <xf numFmtId="0" fontId="48" fillId="0" borderId="0"/>
    <xf numFmtId="0" fontId="48" fillId="0" borderId="0"/>
    <xf numFmtId="41" fontId="17" fillId="0" borderId="0" applyFont="0" applyFill="0" applyBorder="0" applyAlignment="0" applyProtection="0"/>
    <xf numFmtId="0" fontId="43" fillId="0" borderId="0"/>
    <xf numFmtId="43" fontId="17" fillId="0" borderId="0" applyFont="0" applyFill="0" applyBorder="0" applyAlignment="0" applyProtection="0"/>
    <xf numFmtId="0" fontId="17" fillId="0" borderId="0"/>
    <xf numFmtId="43" fontId="52" fillId="0" borderId="0" applyFont="0" applyFill="0" applyBorder="0" applyAlignment="0" applyProtection="0"/>
    <xf numFmtId="167" fontId="17" fillId="0" borderId="0" applyFont="0" applyFill="0" applyBorder="0" applyAlignment="0" applyProtection="0"/>
    <xf numFmtId="43" fontId="30"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8" fillId="0" borderId="0"/>
    <xf numFmtId="0" fontId="48" fillId="0" borderId="0"/>
    <xf numFmtId="0" fontId="48" fillId="0" borderId="0"/>
    <xf numFmtId="180" fontId="54" fillId="0" borderId="0" applyFont="0" applyFill="0" applyBorder="0" applyAlignment="0" applyProtection="0"/>
    <xf numFmtId="181" fontId="17" fillId="0" borderId="0" applyFont="0" applyFill="0" applyBorder="0" applyAlignment="0" applyProtection="0"/>
    <xf numFmtId="0" fontId="55" fillId="0" borderId="0" applyFont="0" applyFill="0" applyBorder="0" applyAlignment="0" applyProtection="0"/>
    <xf numFmtId="182" fontId="17"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40" fontId="56" fillId="0" borderId="0" applyFont="0" applyFill="0" applyBorder="0" applyAlignment="0" applyProtection="0"/>
    <xf numFmtId="38" fontId="56" fillId="0" borderId="0" applyFont="0" applyFill="0" applyBorder="0" applyAlignment="0" applyProtection="0"/>
    <xf numFmtId="166" fontId="57" fillId="0" borderId="0" applyFont="0" applyFill="0" applyBorder="0" applyAlignment="0" applyProtection="0"/>
    <xf numFmtId="167" fontId="57" fillId="0" borderId="0" applyFont="0" applyFill="0" applyBorder="0" applyAlignment="0" applyProtection="0"/>
    <xf numFmtId="6" fontId="58" fillId="0" borderId="0" applyFont="0" applyFill="0" applyBorder="0" applyAlignment="0" applyProtection="0"/>
    <xf numFmtId="0" fontId="15" fillId="0" borderId="0">
      <alignment vertical="center"/>
    </xf>
    <xf numFmtId="0" fontId="17" fillId="0" borderId="0" applyFont="0" applyFill="0" applyBorder="0" applyAlignment="0" applyProtection="0"/>
    <xf numFmtId="0" fontId="17" fillId="0" borderId="0" applyFont="0" applyFill="0" applyBorder="0" applyAlignment="0" applyProtection="0"/>
    <xf numFmtId="0" fontId="59" fillId="0" borderId="0"/>
    <xf numFmtId="0" fontId="17" fillId="0" borderId="0" applyNumberFormat="0" applyFill="0" applyBorder="0" applyAlignment="0" applyProtection="0"/>
    <xf numFmtId="183" fontId="60" fillId="0" borderId="0" applyFont="0" applyFill="0" applyBorder="0" applyAlignment="0" applyProtection="0"/>
    <xf numFmtId="183" fontId="60" fillId="0" borderId="0" applyFont="0" applyFill="0" applyBorder="0" applyAlignment="0" applyProtection="0"/>
    <xf numFmtId="0" fontId="61" fillId="0" borderId="0"/>
    <xf numFmtId="184" fontId="30" fillId="0" borderId="0" applyFont="0" applyFill="0" applyBorder="0" applyAlignment="0" applyProtection="0"/>
    <xf numFmtId="0" fontId="62" fillId="0" borderId="0">
      <alignment vertical="top"/>
    </xf>
    <xf numFmtId="0" fontId="62" fillId="0" borderId="0">
      <alignment vertical="top"/>
    </xf>
    <xf numFmtId="183" fontId="60" fillId="0" borderId="0" applyFont="0" applyFill="0" applyBorder="0" applyAlignment="0" applyProtection="0"/>
    <xf numFmtId="180" fontId="54" fillId="0" borderId="0" applyFont="0" applyFill="0" applyBorder="0" applyAlignment="0" applyProtection="0"/>
    <xf numFmtId="167" fontId="54" fillId="0" borderId="0" applyFont="0" applyFill="0" applyBorder="0" applyAlignment="0" applyProtection="0"/>
    <xf numFmtId="0" fontId="60" fillId="0" borderId="0" applyFont="0" applyFill="0" applyBorder="0" applyAlignment="0" applyProtection="0"/>
    <xf numFmtId="166" fontId="54" fillId="0" borderId="0" applyFont="0" applyFill="0" applyBorder="0" applyAlignment="0" applyProtection="0"/>
    <xf numFmtId="183" fontId="60" fillId="0" borderId="0" applyFont="0" applyFill="0" applyBorder="0" applyAlignment="0" applyProtection="0"/>
    <xf numFmtId="0" fontId="60" fillId="0" borderId="0" applyFont="0" applyFill="0" applyBorder="0" applyAlignment="0" applyProtection="0"/>
    <xf numFmtId="167" fontId="54" fillId="0" borderId="0" applyFont="0" applyFill="0" applyBorder="0" applyAlignment="0" applyProtection="0"/>
    <xf numFmtId="184" fontId="60" fillId="0" borderId="0" applyFont="0" applyFill="0" applyBorder="0" applyAlignment="0" applyProtection="0"/>
    <xf numFmtId="166" fontId="54" fillId="0" borderId="0" applyFont="0" applyFill="0" applyBorder="0" applyAlignment="0" applyProtection="0"/>
    <xf numFmtId="167" fontId="54" fillId="0" borderId="0" applyFont="0" applyFill="0" applyBorder="0" applyAlignment="0" applyProtection="0"/>
    <xf numFmtId="184" fontId="60" fillId="0" borderId="0" applyFont="0" applyFill="0" applyBorder="0" applyAlignment="0" applyProtection="0"/>
    <xf numFmtId="0" fontId="60" fillId="0" borderId="0" applyFont="0" applyFill="0" applyBorder="0" applyAlignment="0" applyProtection="0"/>
    <xf numFmtId="166" fontId="54" fillId="0" borderId="0" applyFont="0" applyFill="0" applyBorder="0" applyAlignment="0" applyProtection="0"/>
    <xf numFmtId="180" fontId="54" fillId="0" borderId="0" applyFont="0" applyFill="0" applyBorder="0" applyAlignment="0" applyProtection="0"/>
    <xf numFmtId="0" fontId="63" fillId="0" borderId="0"/>
    <xf numFmtId="166" fontId="54" fillId="0" borderId="0" applyFont="0" applyFill="0" applyBorder="0" applyAlignment="0" applyProtection="0"/>
    <xf numFmtId="184" fontId="60" fillId="0" borderId="0" applyFont="0" applyFill="0" applyBorder="0" applyAlignment="0" applyProtection="0"/>
    <xf numFmtId="0" fontId="60" fillId="0" borderId="0" applyFont="0" applyFill="0" applyBorder="0" applyAlignment="0" applyProtection="0"/>
    <xf numFmtId="180" fontId="54" fillId="0" borderId="0" applyFont="0" applyFill="0" applyBorder="0" applyAlignment="0" applyProtection="0"/>
    <xf numFmtId="167" fontId="54" fillId="0" borderId="0" applyFont="0" applyFill="0" applyBorder="0" applyAlignment="0" applyProtection="0"/>
    <xf numFmtId="185" fontId="64" fillId="0" borderId="0" applyFont="0" applyFill="0" applyBorder="0" applyAlignment="0" applyProtection="0"/>
    <xf numFmtId="1" fontId="65" fillId="0" borderId="1" applyBorder="0" applyAlignment="0">
      <alignment horizontal="center"/>
    </xf>
    <xf numFmtId="185" fontId="64" fillId="0" borderId="0" applyFont="0" applyFill="0" applyBorder="0" applyAlignment="0" applyProtection="0"/>
    <xf numFmtId="185" fontId="64" fillId="0" borderId="0" applyFont="0" applyFill="0" applyBorder="0" applyAlignment="0" applyProtection="0"/>
    <xf numFmtId="185" fontId="64" fillId="0" borderId="0" applyFont="0" applyFill="0" applyBorder="0" applyAlignment="0" applyProtection="0"/>
    <xf numFmtId="185" fontId="64" fillId="0" borderId="0" applyFont="0" applyFill="0" applyBorder="0" applyAlignment="0" applyProtection="0"/>
    <xf numFmtId="9" fontId="66" fillId="0" borderId="0" applyFont="0" applyFill="0" applyBorder="0" applyAlignment="0" applyProtection="0"/>
    <xf numFmtId="0" fontId="67" fillId="4" borderId="0"/>
    <xf numFmtId="0" fontId="30" fillId="0" borderId="0"/>
    <xf numFmtId="0" fontId="68" fillId="4" borderId="0"/>
    <xf numFmtId="0" fontId="69" fillId="0" borderId="0">
      <alignment wrapText="1"/>
    </xf>
    <xf numFmtId="185" fontId="70" fillId="0" borderId="0" applyFont="0" applyFill="0" applyBorder="0" applyAlignment="0" applyProtection="0"/>
    <xf numFmtId="0" fontId="71" fillId="0" borderId="0" applyFont="0" applyFill="0" applyBorder="0" applyAlignment="0" applyProtection="0"/>
    <xf numFmtId="185" fontId="72" fillId="0" borderId="0" applyFont="0" applyFill="0" applyBorder="0" applyAlignment="0" applyProtection="0"/>
    <xf numFmtId="186" fontId="70" fillId="0" borderId="0" applyFont="0" applyFill="0" applyBorder="0" applyAlignment="0" applyProtection="0"/>
    <xf numFmtId="0" fontId="71" fillId="0" borderId="0" applyFont="0" applyFill="0" applyBorder="0" applyAlignment="0" applyProtection="0"/>
    <xf numFmtId="186" fontId="72" fillId="0" borderId="0" applyFont="0" applyFill="0" applyBorder="0" applyAlignment="0" applyProtection="0"/>
    <xf numFmtId="0" fontId="50" fillId="0" borderId="0">
      <alignment horizontal="center" wrapText="1"/>
      <protection locked="0"/>
    </xf>
    <xf numFmtId="187" fontId="70" fillId="0" borderId="0" applyFont="0" applyFill="0" applyBorder="0" applyAlignment="0" applyProtection="0"/>
    <xf numFmtId="0" fontId="71" fillId="0" borderId="0" applyFont="0" applyFill="0" applyBorder="0" applyAlignment="0" applyProtection="0"/>
    <xf numFmtId="187" fontId="72" fillId="0" borderId="0" applyFont="0" applyFill="0" applyBorder="0" applyAlignment="0" applyProtection="0"/>
    <xf numFmtId="188" fontId="70" fillId="0" borderId="0" applyFont="0" applyFill="0" applyBorder="0" applyAlignment="0" applyProtection="0"/>
    <xf numFmtId="0" fontId="71" fillId="0" borderId="0" applyFont="0" applyFill="0" applyBorder="0" applyAlignment="0" applyProtection="0"/>
    <xf numFmtId="188" fontId="72" fillId="0" borderId="0" applyFont="0" applyFill="0" applyBorder="0" applyAlignment="0" applyProtection="0"/>
    <xf numFmtId="180" fontId="54" fillId="0" borderId="0" applyFont="0" applyFill="0" applyBorder="0" applyAlignment="0" applyProtection="0"/>
    <xf numFmtId="0" fontId="73" fillId="0" borderId="0" applyNumberFormat="0" applyFill="0" applyBorder="0" applyAlignment="0" applyProtection="0"/>
    <xf numFmtId="0" fontId="71" fillId="0" borderId="0"/>
    <xf numFmtId="0" fontId="74" fillId="0" borderId="0"/>
    <xf numFmtId="0" fontId="71" fillId="0" borderId="0"/>
    <xf numFmtId="0" fontId="75" fillId="0" borderId="0"/>
    <xf numFmtId="0" fontId="76" fillId="0" borderId="0"/>
    <xf numFmtId="177" fontId="43" fillId="0" borderId="0" applyFill="0" applyBorder="0" applyAlignment="0"/>
    <xf numFmtId="189" fontId="77" fillId="0" borderId="0" applyFill="0" applyBorder="0" applyAlignment="0"/>
    <xf numFmtId="178" fontId="77" fillId="0" borderId="0" applyFill="0" applyBorder="0" applyAlignment="0"/>
    <xf numFmtId="190" fontId="77" fillId="0" borderId="0" applyFill="0" applyBorder="0" applyAlignment="0"/>
    <xf numFmtId="191" fontId="43" fillId="0" borderId="0" applyFill="0" applyBorder="0" applyAlignment="0"/>
    <xf numFmtId="192" fontId="77" fillId="0" borderId="0" applyFill="0" applyBorder="0" applyAlignment="0"/>
    <xf numFmtId="193" fontId="77" fillId="0" borderId="0" applyFill="0" applyBorder="0" applyAlignment="0"/>
    <xf numFmtId="189" fontId="77" fillId="0" borderId="0" applyFill="0" applyBorder="0" applyAlignment="0"/>
    <xf numFmtId="0" fontId="78" fillId="0" borderId="0"/>
    <xf numFmtId="169" fontId="79" fillId="0" borderId="0" applyFont="0" applyFill="0" applyBorder="0" applyAlignment="0" applyProtection="0"/>
    <xf numFmtId="194" fontId="80" fillId="0" borderId="0"/>
    <xf numFmtId="194" fontId="80" fillId="0" borderId="0"/>
    <xf numFmtId="194" fontId="80" fillId="0" borderId="0"/>
    <xf numFmtId="194" fontId="80" fillId="0" borderId="0"/>
    <xf numFmtId="194" fontId="80" fillId="0" borderId="0"/>
    <xf numFmtId="194" fontId="80" fillId="0" borderId="0"/>
    <xf numFmtId="194" fontId="80" fillId="0" borderId="0"/>
    <xf numFmtId="194" fontId="80" fillId="0" borderId="0"/>
    <xf numFmtId="192" fontId="77"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17"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167" fontId="48" fillId="0" borderId="0" applyFont="0" applyFill="0" applyBorder="0" applyAlignment="0" applyProtection="0"/>
    <xf numFmtId="43" fontId="52" fillId="0" borderId="0" applyFont="0" applyFill="0" applyBorder="0" applyAlignment="0" applyProtection="0"/>
    <xf numFmtId="165" fontId="48" fillId="0" borderId="0" applyFont="0" applyFill="0" applyBorder="0" applyAlignment="0" applyProtection="0"/>
    <xf numFmtId="165" fontId="48" fillId="0" borderId="0" applyFont="0" applyFill="0" applyBorder="0" applyAlignment="0" applyProtection="0"/>
    <xf numFmtId="43" fontId="30"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95" fontId="61" fillId="0" borderId="0"/>
    <xf numFmtId="3" fontId="17" fillId="0" borderId="0" applyFont="0" applyFill="0" applyBorder="0" applyAlignment="0" applyProtection="0"/>
    <xf numFmtId="0" fontId="81" fillId="0" borderId="0" applyNumberFormat="0" applyAlignment="0">
      <alignment horizontal="left"/>
    </xf>
    <xf numFmtId="189" fontId="77" fillId="0" borderId="0" applyFont="0" applyFill="0" applyBorder="0" applyAlignment="0" applyProtection="0"/>
    <xf numFmtId="196" fontId="54" fillId="0" borderId="0" applyFont="0" applyFill="0" applyBorder="0" applyAlignment="0" applyProtection="0"/>
    <xf numFmtId="197" fontId="61" fillId="0" borderId="0"/>
    <xf numFmtId="0" fontId="17" fillId="0" borderId="0" applyFont="0" applyFill="0" applyBorder="0" applyAlignment="0" applyProtection="0"/>
    <xf numFmtId="14" fontId="62" fillId="0" borderId="0" applyFill="0" applyBorder="0" applyAlignment="0"/>
    <xf numFmtId="198" fontId="61" fillId="0" borderId="0" applyFont="0" applyFill="0" applyBorder="0" applyAlignment="0" applyProtection="0"/>
    <xf numFmtId="199" fontId="61" fillId="0" borderId="0" applyFont="0" applyFill="0" applyBorder="0" applyAlignment="0" applyProtection="0"/>
    <xf numFmtId="200" fontId="61" fillId="0" borderId="0"/>
    <xf numFmtId="166" fontId="82" fillId="0" borderId="0" applyFont="0" applyFill="0" applyBorder="0" applyAlignment="0" applyProtection="0"/>
    <xf numFmtId="167" fontId="82" fillId="0" borderId="0" applyFont="0" applyFill="0" applyBorder="0" applyAlignment="0" applyProtection="0"/>
    <xf numFmtId="166" fontId="82" fillId="0" borderId="0" applyFont="0" applyFill="0" applyBorder="0" applyAlignment="0" applyProtection="0"/>
    <xf numFmtId="41" fontId="82" fillId="0" borderId="0" applyFont="0" applyFill="0" applyBorder="0" applyAlignment="0" applyProtection="0"/>
    <xf numFmtId="166" fontId="82" fillId="0" borderId="0" applyFont="0" applyFill="0" applyBorder="0" applyAlignment="0" applyProtection="0"/>
    <xf numFmtId="166" fontId="82" fillId="0" borderId="0" applyFont="0" applyFill="0" applyBorder="0" applyAlignment="0" applyProtection="0"/>
    <xf numFmtId="41" fontId="82" fillId="0" borderId="0" applyFont="0" applyFill="0" applyBorder="0" applyAlignment="0" applyProtection="0"/>
    <xf numFmtId="41" fontId="82" fillId="0" borderId="0" applyFont="0" applyFill="0" applyBorder="0" applyAlignment="0" applyProtection="0"/>
    <xf numFmtId="41" fontId="82" fillId="0" borderId="0" applyFont="0" applyFill="0" applyBorder="0" applyAlignment="0" applyProtection="0"/>
    <xf numFmtId="166" fontId="82" fillId="0" borderId="0" applyFont="0" applyFill="0" applyBorder="0" applyAlignment="0" applyProtection="0"/>
    <xf numFmtId="166" fontId="82" fillId="0" borderId="0" applyFont="0" applyFill="0" applyBorder="0" applyAlignment="0" applyProtection="0"/>
    <xf numFmtId="166" fontId="82" fillId="0" borderId="0" applyFont="0" applyFill="0" applyBorder="0" applyAlignment="0" applyProtection="0"/>
    <xf numFmtId="41" fontId="82" fillId="0" borderId="0" applyFont="0" applyFill="0" applyBorder="0" applyAlignment="0" applyProtection="0"/>
    <xf numFmtId="41" fontId="82" fillId="0" borderId="0" applyFont="0" applyFill="0" applyBorder="0" applyAlignment="0" applyProtection="0"/>
    <xf numFmtId="164" fontId="82" fillId="0" borderId="0" applyFont="0" applyFill="0" applyBorder="0" applyAlignment="0" applyProtection="0"/>
    <xf numFmtId="164" fontId="82" fillId="0" borderId="0" applyFont="0" applyFill="0" applyBorder="0" applyAlignment="0" applyProtection="0"/>
    <xf numFmtId="41" fontId="82" fillId="0" borderId="0" applyFont="0" applyFill="0" applyBorder="0" applyAlignment="0" applyProtection="0"/>
    <xf numFmtId="167" fontId="82" fillId="0" borderId="0" applyFont="0" applyFill="0" applyBorder="0" applyAlignment="0" applyProtection="0"/>
    <xf numFmtId="43"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167"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165" fontId="82" fillId="0" borderId="0" applyFont="0" applyFill="0" applyBorder="0" applyAlignment="0" applyProtection="0"/>
    <xf numFmtId="165" fontId="82" fillId="0" borderId="0" applyFont="0" applyFill="0" applyBorder="0" applyAlignment="0" applyProtection="0"/>
    <xf numFmtId="43" fontId="82" fillId="0" borderId="0" applyFont="0" applyFill="0" applyBorder="0" applyAlignment="0" applyProtection="0"/>
    <xf numFmtId="192" fontId="77" fillId="0" borderId="0" applyFill="0" applyBorder="0" applyAlignment="0"/>
    <xf numFmtId="189" fontId="77" fillId="0" borderId="0" applyFill="0" applyBorder="0" applyAlignment="0"/>
    <xf numFmtId="192" fontId="77" fillId="0" borderId="0" applyFill="0" applyBorder="0" applyAlignment="0"/>
    <xf numFmtId="193" fontId="77" fillId="0" borderId="0" applyFill="0" applyBorder="0" applyAlignment="0"/>
    <xf numFmtId="189" fontId="77" fillId="0" borderId="0" applyFill="0" applyBorder="0" applyAlignment="0"/>
    <xf numFmtId="0" fontId="83" fillId="0" borderId="0" applyNumberFormat="0" applyAlignment="0">
      <alignment horizontal="left"/>
    </xf>
    <xf numFmtId="0" fontId="84" fillId="0" borderId="0"/>
    <xf numFmtId="2" fontId="17" fillId="0" borderId="0" applyFont="0" applyFill="0" applyBorder="0" applyAlignment="0" applyProtection="0"/>
    <xf numFmtId="38" fontId="85" fillId="3" borderId="0" applyNumberFormat="0" applyBorder="0" applyAlignment="0" applyProtection="0"/>
    <xf numFmtId="201" fontId="47" fillId="0" borderId="0" applyFont="0" applyFill="0" applyBorder="0" applyAlignment="0" applyProtection="0"/>
    <xf numFmtId="0" fontId="86" fillId="5" borderId="0"/>
    <xf numFmtId="0" fontId="87" fillId="0" borderId="0">
      <alignment horizontal="left"/>
    </xf>
    <xf numFmtId="0" fontId="88" fillId="0" borderId="21" applyNumberFormat="0" applyAlignment="0" applyProtection="0">
      <alignment horizontal="left" vertical="center"/>
    </xf>
    <xf numFmtId="0" fontId="88" fillId="0" borderId="7">
      <alignment horizontal="left" vertical="center"/>
    </xf>
    <xf numFmtId="0" fontId="89" fillId="0" borderId="0" applyProtection="0"/>
    <xf numFmtId="0" fontId="88" fillId="0" borderId="0" applyProtection="0"/>
    <xf numFmtId="0" fontId="90" fillId="0" borderId="22">
      <alignment horizontal="center"/>
    </xf>
    <xf numFmtId="0" fontId="90" fillId="0" borderId="0">
      <alignment horizontal="center"/>
    </xf>
    <xf numFmtId="5" fontId="53" fillId="6" borderId="1" applyNumberFormat="0" applyAlignment="0">
      <alignment horizontal="left" vertical="top"/>
    </xf>
    <xf numFmtId="49" fontId="91" fillId="0" borderId="1">
      <alignment vertical="center"/>
    </xf>
    <xf numFmtId="184" fontId="60" fillId="0" borderId="0" applyFont="0" applyFill="0" applyBorder="0" applyAlignment="0" applyProtection="0"/>
    <xf numFmtId="10" fontId="85" fillId="3" borderId="1" applyNumberFormat="0" applyBorder="0" applyAlignment="0" applyProtection="0"/>
    <xf numFmtId="0" fontId="30" fillId="0" borderId="0"/>
    <xf numFmtId="0" fontId="61" fillId="0" borderId="0"/>
    <xf numFmtId="192" fontId="77" fillId="0" borderId="0" applyFill="0" applyBorder="0" applyAlignment="0"/>
    <xf numFmtId="189" fontId="77" fillId="0" borderId="0" applyFill="0" applyBorder="0" applyAlignment="0"/>
    <xf numFmtId="192" fontId="77" fillId="0" borderId="0" applyFill="0" applyBorder="0" applyAlignment="0"/>
    <xf numFmtId="193" fontId="77" fillId="0" borderId="0" applyFill="0" applyBorder="0" applyAlignment="0"/>
    <xf numFmtId="189" fontId="77" fillId="0" borderId="0" applyFill="0" applyBorder="0" applyAlignment="0"/>
    <xf numFmtId="38" fontId="61" fillId="0" borderId="0" applyFont="0" applyFill="0" applyBorder="0" applyAlignment="0" applyProtection="0"/>
    <xf numFmtId="40" fontId="61" fillId="0" borderId="0" applyFont="0" applyFill="0" applyBorder="0" applyAlignment="0" applyProtection="0"/>
    <xf numFmtId="166" fontId="43" fillId="0" borderId="0" applyFont="0" applyFill="0" applyBorder="0" applyAlignment="0" applyProtection="0"/>
    <xf numFmtId="167" fontId="43" fillId="0" borderId="0" applyFont="0" applyFill="0" applyBorder="0" applyAlignment="0" applyProtection="0"/>
    <xf numFmtId="0" fontId="92" fillId="0" borderId="22"/>
    <xf numFmtId="202" fontId="51" fillId="0" borderId="15"/>
    <xf numFmtId="203" fontId="61" fillId="0" borderId="0" applyFont="0" applyFill="0" applyBorder="0" applyAlignment="0" applyProtection="0"/>
    <xf numFmtId="204" fontId="61" fillId="0" borderId="0" applyFont="0" applyFill="0" applyBorder="0" applyAlignment="0" applyProtection="0"/>
    <xf numFmtId="205" fontId="43" fillId="0" borderId="0" applyFont="0" applyFill="0" applyBorder="0" applyAlignment="0" applyProtection="0"/>
    <xf numFmtId="206" fontId="43" fillId="0" borderId="0" applyFont="0" applyFill="0" applyBorder="0" applyAlignment="0" applyProtection="0"/>
    <xf numFmtId="0" fontId="93" fillId="0" borderId="0" applyNumberFormat="0" applyFont="0" applyFill="0" applyAlignment="0"/>
    <xf numFmtId="0" fontId="24" fillId="0" borderId="0"/>
    <xf numFmtId="37" fontId="94" fillId="0" borderId="0"/>
    <xf numFmtId="0" fontId="95" fillId="0" borderId="0"/>
    <xf numFmtId="0" fontId="32" fillId="0" borderId="0"/>
    <xf numFmtId="0" fontId="32" fillId="0" borderId="0"/>
    <xf numFmtId="0" fontId="20" fillId="0" borderId="0"/>
    <xf numFmtId="0" fontId="48" fillId="0" borderId="0"/>
    <xf numFmtId="0" fontId="48" fillId="0" borderId="0"/>
    <xf numFmtId="0" fontId="48" fillId="0" borderId="0"/>
    <xf numFmtId="0" fontId="48" fillId="0" borderId="0"/>
    <xf numFmtId="0" fontId="32" fillId="0" borderId="0"/>
    <xf numFmtId="0" fontId="48" fillId="0" borderId="0"/>
    <xf numFmtId="0" fontId="48" fillId="0" borderId="0"/>
    <xf numFmtId="0" fontId="18" fillId="0" borderId="0"/>
    <xf numFmtId="0" fontId="18" fillId="0" borderId="0"/>
    <xf numFmtId="0" fontId="23" fillId="0" borderId="0"/>
    <xf numFmtId="0" fontId="30" fillId="0" borderId="0"/>
    <xf numFmtId="0" fontId="82" fillId="0" borderId="0"/>
    <xf numFmtId="0" fontId="96" fillId="0" borderId="0" applyNumberFormat="0" applyFill="0" applyBorder="0" applyAlignment="0" applyProtection="0"/>
    <xf numFmtId="0" fontId="96" fillId="0" borderId="0" applyNumberFormat="0" applyFill="0" applyBorder="0" applyAlignment="0" applyProtection="0"/>
    <xf numFmtId="14" fontId="50" fillId="0" borderId="0">
      <alignment horizontal="center" wrapText="1"/>
      <protection locked="0"/>
    </xf>
    <xf numFmtId="191" fontId="43" fillId="0" borderId="0" applyFont="0" applyFill="0" applyBorder="0" applyAlignment="0" applyProtection="0"/>
    <xf numFmtId="207" fontId="43" fillId="0" borderId="0" applyFont="0" applyFill="0" applyBorder="0" applyAlignment="0" applyProtection="0"/>
    <xf numFmtId="10" fontId="43" fillId="0" borderId="0" applyFont="0" applyFill="0" applyBorder="0" applyAlignment="0" applyProtection="0"/>
    <xf numFmtId="9" fontId="17" fillId="0" borderId="0" applyFont="0" applyFill="0" applyBorder="0" applyAlignment="0" applyProtection="0"/>
    <xf numFmtId="9" fontId="61" fillId="0" borderId="23" applyNumberFormat="0" applyBorder="0"/>
    <xf numFmtId="192" fontId="77" fillId="0" borderId="0" applyFill="0" applyBorder="0" applyAlignment="0"/>
    <xf numFmtId="189" fontId="77" fillId="0" borderId="0" applyFill="0" applyBorder="0" applyAlignment="0"/>
    <xf numFmtId="192" fontId="77" fillId="0" borderId="0" applyFill="0" applyBorder="0" applyAlignment="0"/>
    <xf numFmtId="193" fontId="77" fillId="0" borderId="0" applyFill="0" applyBorder="0" applyAlignment="0"/>
    <xf numFmtId="189" fontId="77" fillId="0" borderId="0" applyFill="0" applyBorder="0" applyAlignment="0"/>
    <xf numFmtId="0" fontId="97" fillId="0" borderId="0"/>
    <xf numFmtId="0" fontId="61" fillId="0" borderId="0" applyNumberFormat="0" applyFont="0" applyFill="0" applyBorder="0" applyAlignment="0" applyProtection="0">
      <alignment horizontal="left"/>
    </xf>
    <xf numFmtId="0" fontId="98" fillId="0" borderId="22">
      <alignment horizontal="center"/>
    </xf>
    <xf numFmtId="0" fontId="99" fillId="7" borderId="0" applyNumberFormat="0" applyFont="0" applyBorder="0" applyAlignment="0">
      <alignment horizontal="center"/>
    </xf>
    <xf numFmtId="14" fontId="100" fillId="0" borderId="0" applyNumberFormat="0" applyFill="0" applyBorder="0" applyAlignment="0" applyProtection="0">
      <alignment horizontal="left"/>
    </xf>
    <xf numFmtId="184" fontId="60" fillId="0" borderId="0" applyFont="0" applyFill="0" applyBorder="0" applyAlignment="0" applyProtection="0"/>
    <xf numFmtId="4" fontId="101" fillId="8" borderId="24" applyNumberFormat="0" applyProtection="0">
      <alignment vertical="center"/>
    </xf>
    <xf numFmtId="4" fontId="102" fillId="8" borderId="24" applyNumberFormat="0" applyProtection="0">
      <alignment vertical="center"/>
    </xf>
    <xf numFmtId="4" fontId="103" fillId="8" borderId="24" applyNumberFormat="0" applyProtection="0">
      <alignment horizontal="left" vertical="center" indent="1"/>
    </xf>
    <xf numFmtId="4" fontId="103" fillId="9" borderId="0" applyNumberFormat="0" applyProtection="0">
      <alignment horizontal="left" vertical="center" indent="1"/>
    </xf>
    <xf numFmtId="4" fontId="103" fillId="10" borderId="24" applyNumberFormat="0" applyProtection="0">
      <alignment horizontal="right" vertical="center"/>
    </xf>
    <xf numFmtId="4" fontId="103" fillId="11" borderId="24" applyNumberFormat="0" applyProtection="0">
      <alignment horizontal="right" vertical="center"/>
    </xf>
    <xf numFmtId="4" fontId="103" fillId="12" borderId="24" applyNumberFormat="0" applyProtection="0">
      <alignment horizontal="right" vertical="center"/>
    </xf>
    <xf numFmtId="4" fontId="103" fillId="13" borderId="24" applyNumberFormat="0" applyProtection="0">
      <alignment horizontal="right" vertical="center"/>
    </xf>
    <xf numFmtId="4" fontId="103" fillId="14" borderId="24" applyNumberFormat="0" applyProtection="0">
      <alignment horizontal="right" vertical="center"/>
    </xf>
    <xf numFmtId="4" fontId="103" fillId="15" borderId="24" applyNumberFormat="0" applyProtection="0">
      <alignment horizontal="right" vertical="center"/>
    </xf>
    <xf numFmtId="4" fontId="103" fillId="16" borderId="24" applyNumberFormat="0" applyProtection="0">
      <alignment horizontal="right" vertical="center"/>
    </xf>
    <xf numFmtId="4" fontId="103" fillId="17" borderId="24" applyNumberFormat="0" applyProtection="0">
      <alignment horizontal="right" vertical="center"/>
    </xf>
    <xf numFmtId="4" fontId="103" fillId="18" borderId="24" applyNumberFormat="0" applyProtection="0">
      <alignment horizontal="right" vertical="center"/>
    </xf>
    <xf numFmtId="4" fontId="101" fillId="19" borderId="25" applyNumberFormat="0" applyProtection="0">
      <alignment horizontal="left" vertical="center" indent="1"/>
    </xf>
    <xf numFmtId="4" fontId="101" fillId="20" borderId="0" applyNumberFormat="0" applyProtection="0">
      <alignment horizontal="left" vertical="center" indent="1"/>
    </xf>
    <xf numFmtId="4" fontId="101" fillId="9" borderId="0" applyNumberFormat="0" applyProtection="0">
      <alignment horizontal="left" vertical="center" indent="1"/>
    </xf>
    <xf numFmtId="4" fontId="103" fillId="20" borderId="24" applyNumberFormat="0" applyProtection="0">
      <alignment horizontal="right" vertical="center"/>
    </xf>
    <xf numFmtId="4" fontId="62" fillId="20" borderId="0" applyNumberFormat="0" applyProtection="0">
      <alignment horizontal="left" vertical="center" indent="1"/>
    </xf>
    <xf numFmtId="4" fontId="62" fillId="9" borderId="0" applyNumberFormat="0" applyProtection="0">
      <alignment horizontal="left" vertical="center" indent="1"/>
    </xf>
    <xf numFmtId="4" fontId="103" fillId="21" borderId="24" applyNumberFormat="0" applyProtection="0">
      <alignment vertical="center"/>
    </xf>
    <xf numFmtId="4" fontId="104" fillId="21" borderId="24" applyNumberFormat="0" applyProtection="0">
      <alignment vertical="center"/>
    </xf>
    <xf numFmtId="4" fontId="101" fillId="20" borderId="26" applyNumberFormat="0" applyProtection="0">
      <alignment horizontal="left" vertical="center" indent="1"/>
    </xf>
    <xf numFmtId="4" fontId="103" fillId="21" borderId="24" applyNumberFormat="0" applyProtection="0">
      <alignment horizontal="right" vertical="center"/>
    </xf>
    <xf numFmtId="4" fontId="104" fillId="21" borderId="24" applyNumberFormat="0" applyProtection="0">
      <alignment horizontal="right" vertical="center"/>
    </xf>
    <xf numFmtId="4" fontId="101" fillId="20" borderId="24" applyNumberFormat="0" applyProtection="0">
      <alignment horizontal="left" vertical="center" indent="1"/>
    </xf>
    <xf numFmtId="4" fontId="105" fillId="6" borderId="26" applyNumberFormat="0" applyProtection="0">
      <alignment horizontal="left" vertical="center" indent="1"/>
    </xf>
    <xf numFmtId="4" fontId="106" fillId="21" borderId="24" applyNumberFormat="0" applyProtection="0">
      <alignment horizontal="right" vertical="center"/>
    </xf>
    <xf numFmtId="0" fontId="99" fillId="1" borderId="7" applyNumberFormat="0" applyFont="0" applyAlignment="0">
      <alignment horizontal="center"/>
    </xf>
    <xf numFmtId="0" fontId="107" fillId="0" borderId="0" applyNumberFormat="0" applyFill="0" applyBorder="0" applyAlignment="0">
      <alignment horizontal="center"/>
    </xf>
    <xf numFmtId="0" fontId="108" fillId="0" borderId="27" applyNumberFormat="0" applyFill="0" applyBorder="0" applyAlignment="0" applyProtection="0"/>
    <xf numFmtId="183"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83" fontId="60" fillId="0" borderId="0" applyFont="0" applyFill="0" applyBorder="0" applyAlignment="0" applyProtection="0"/>
    <xf numFmtId="183" fontId="60" fillId="0" borderId="0" applyFont="0" applyFill="0" applyBorder="0" applyAlignment="0" applyProtection="0"/>
    <xf numFmtId="0" fontId="92" fillId="0" borderId="0"/>
    <xf numFmtId="40" fontId="109" fillId="0" borderId="0" applyBorder="0">
      <alignment horizontal="right"/>
    </xf>
    <xf numFmtId="208" fontId="47" fillId="0" borderId="2">
      <alignment horizontal="right" vertical="center"/>
    </xf>
    <xf numFmtId="208" fontId="47" fillId="0" borderId="2">
      <alignment horizontal="right" vertical="center"/>
    </xf>
    <xf numFmtId="208" fontId="47" fillId="0" borderId="2">
      <alignment horizontal="right" vertical="center"/>
    </xf>
    <xf numFmtId="49" fontId="62" fillId="0" borderId="0" applyFill="0" applyBorder="0" applyAlignment="0"/>
    <xf numFmtId="209" fontId="43" fillId="0" borderId="0" applyFill="0" applyBorder="0" applyAlignment="0"/>
    <xf numFmtId="210" fontId="43" fillId="0" borderId="0" applyFill="0" applyBorder="0" applyAlignment="0"/>
    <xf numFmtId="211" fontId="47" fillId="0" borderId="2">
      <alignment horizontal="center"/>
    </xf>
    <xf numFmtId="0" fontId="96" fillId="0" borderId="0" applyNumberFormat="0" applyFill="0" applyBorder="0" applyAlignment="0" applyProtection="0"/>
    <xf numFmtId="3" fontId="110" fillId="0" borderId="18" applyNumberFormat="0" applyBorder="0" applyAlignment="0"/>
    <xf numFmtId="210" fontId="47" fillId="0" borderId="0"/>
    <xf numFmtId="212" fontId="47" fillId="0" borderId="1"/>
    <xf numFmtId="3" fontId="47" fillId="0" borderId="0" applyNumberFormat="0" applyBorder="0" applyAlignment="0" applyProtection="0">
      <alignment horizontal="centerContinuous"/>
      <protection locked="0"/>
    </xf>
    <xf numFmtId="3" fontId="111" fillId="0" borderId="0">
      <protection locked="0"/>
    </xf>
    <xf numFmtId="5" fontId="112" fillId="22" borderId="4">
      <alignment vertical="top"/>
    </xf>
    <xf numFmtId="0" fontId="113" fillId="23" borderId="1">
      <alignment horizontal="left" vertical="center"/>
    </xf>
    <xf numFmtId="6" fontId="114" fillId="24" borderId="4"/>
    <xf numFmtId="5" fontId="53" fillId="0" borderId="4">
      <alignment horizontal="left" vertical="top"/>
    </xf>
    <xf numFmtId="0" fontId="115" fillId="25" borderId="0">
      <alignment horizontal="left" vertical="center"/>
    </xf>
    <xf numFmtId="5" fontId="51" fillId="0" borderId="6">
      <alignment horizontal="left" vertical="top"/>
    </xf>
    <xf numFmtId="0" fontId="116" fillId="0" borderId="6">
      <alignment horizontal="left" vertical="center"/>
    </xf>
    <xf numFmtId="42" fontId="82" fillId="0" borderId="0" applyFont="0" applyFill="0" applyBorder="0" applyAlignment="0" applyProtection="0"/>
    <xf numFmtId="44" fontId="82" fillId="0" borderId="0" applyFont="0" applyFill="0" applyBorder="0" applyAlignment="0" applyProtection="0"/>
    <xf numFmtId="0" fontId="117" fillId="0" borderId="0" applyNumberFormat="0" applyFill="0" applyBorder="0" applyAlignment="0" applyProtection="0"/>
    <xf numFmtId="0" fontId="118" fillId="0" borderId="0" applyFont="0" applyFill="0" applyBorder="0" applyAlignment="0" applyProtection="0"/>
    <xf numFmtId="0" fontId="118" fillId="0" borderId="0" applyFont="0" applyFill="0" applyBorder="0" applyAlignment="0" applyProtection="0"/>
    <xf numFmtId="0" fontId="15" fillId="0" borderId="0">
      <alignment vertical="center"/>
    </xf>
    <xf numFmtId="40" fontId="119" fillId="0" borderId="0" applyFont="0" applyFill="0" applyBorder="0" applyAlignment="0" applyProtection="0"/>
    <xf numFmtId="38" fontId="119" fillId="0" borderId="0" applyFont="0" applyFill="0" applyBorder="0" applyAlignment="0" applyProtection="0"/>
    <xf numFmtId="0" fontId="119" fillId="0" borderId="0" applyFont="0" applyFill="0" applyBorder="0" applyAlignment="0" applyProtection="0"/>
    <xf numFmtId="0" fontId="119" fillId="0" borderId="0" applyFont="0" applyFill="0" applyBorder="0" applyAlignment="0" applyProtection="0"/>
    <xf numFmtId="9" fontId="120" fillId="0" borderId="0" applyFont="0" applyFill="0" applyBorder="0" applyAlignment="0" applyProtection="0"/>
    <xf numFmtId="0" fontId="121" fillId="0" borderId="0"/>
    <xf numFmtId="182" fontId="17" fillId="0" borderId="0" applyFont="0" applyFill="0" applyBorder="0" applyAlignment="0" applyProtection="0"/>
    <xf numFmtId="181" fontId="17" fillId="0" borderId="0" applyFont="0" applyFill="0" applyBorder="0" applyAlignment="0" applyProtection="0"/>
    <xf numFmtId="213" fontId="122" fillId="0" borderId="0" applyFont="0" applyFill="0" applyBorder="0" applyAlignment="0" applyProtection="0"/>
    <xf numFmtId="214" fontId="122" fillId="0" borderId="0" applyFont="0" applyFill="0" applyBorder="0" applyAlignment="0" applyProtection="0"/>
    <xf numFmtId="0" fontId="123" fillId="0" borderId="0"/>
    <xf numFmtId="0" fontId="93" fillId="0" borderId="0"/>
    <xf numFmtId="166" fontId="124" fillId="0" borderId="0" applyFont="0" applyFill="0" applyBorder="0" applyAlignment="0" applyProtection="0"/>
    <xf numFmtId="167" fontId="124" fillId="0" borderId="0" applyFont="0" applyFill="0" applyBorder="0" applyAlignment="0" applyProtection="0"/>
    <xf numFmtId="0" fontId="24" fillId="0" borderId="0"/>
    <xf numFmtId="215" fontId="124" fillId="0" borderId="0" applyFont="0" applyFill="0" applyBorder="0" applyAlignment="0" applyProtection="0"/>
    <xf numFmtId="6" fontId="58" fillId="0" borderId="0" applyFont="0" applyFill="0" applyBorder="0" applyAlignment="0" applyProtection="0"/>
    <xf numFmtId="192" fontId="124" fillId="0" borderId="0" applyFont="0" applyFill="0" applyBorder="0" applyAlignment="0" applyProtection="0"/>
    <xf numFmtId="216" fontId="23" fillId="0" borderId="0" applyFont="0" applyFill="0" applyBorder="0" applyAlignment="0" applyProtection="0"/>
    <xf numFmtId="0" fontId="23" fillId="0" borderId="0"/>
    <xf numFmtId="167" fontId="23" fillId="0" borderId="0" applyFont="0" applyFill="0" applyBorder="0" applyAlignment="0" applyProtection="0"/>
    <xf numFmtId="0" fontId="127" fillId="0" borderId="0"/>
    <xf numFmtId="0" fontId="8" fillId="0" borderId="0"/>
    <xf numFmtId="0" fontId="23" fillId="0" borderId="0"/>
    <xf numFmtId="0" fontId="17" fillId="0" borderId="0"/>
    <xf numFmtId="0" fontId="30" fillId="0" borderId="0"/>
    <xf numFmtId="43" fontId="17" fillId="0" borderId="0" applyFont="0" applyFill="0" applyBorder="0" applyAlignment="0" applyProtection="0"/>
    <xf numFmtId="43" fontId="7" fillId="0" borderId="0" applyFont="0" applyFill="0" applyBorder="0" applyAlignment="0" applyProtection="0"/>
    <xf numFmtId="43" fontId="131" fillId="0" borderId="0" applyFont="0" applyFill="0" applyBorder="0" applyAlignment="0" applyProtection="0"/>
    <xf numFmtId="43" fontId="17" fillId="0" borderId="0" applyFont="0" applyFill="0" applyBorder="0" applyAlignment="0" applyProtection="0"/>
    <xf numFmtId="0" fontId="18" fillId="0" borderId="0"/>
    <xf numFmtId="0" fontId="48" fillId="0" borderId="0"/>
    <xf numFmtId="0" fontId="23" fillId="0" borderId="0"/>
    <xf numFmtId="0" fontId="7" fillId="0" borderId="0"/>
    <xf numFmtId="0" fontId="30" fillId="0" borderId="0"/>
    <xf numFmtId="0" fontId="131" fillId="0" borderId="0"/>
    <xf numFmtId="43" fontId="17" fillId="0" borderId="0" applyFont="0" applyFill="0" applyBorder="0" applyAlignment="0" applyProtection="0"/>
    <xf numFmtId="0" fontId="7" fillId="0" borderId="0"/>
    <xf numFmtId="0" fontId="32" fillId="0" borderId="0"/>
    <xf numFmtId="43" fontId="17" fillId="0" borderId="0" applyFont="0" applyFill="0" applyBorder="0" applyAlignment="0" applyProtection="0"/>
    <xf numFmtId="0" fontId="17" fillId="0" borderId="0"/>
    <xf numFmtId="9" fontId="4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0" fontId="17" fillId="0" borderId="0"/>
    <xf numFmtId="0" fontId="17" fillId="0" borderId="0"/>
    <xf numFmtId="0" fontId="6" fillId="0" borderId="0"/>
    <xf numFmtId="0" fontId="30" fillId="0" borderId="0"/>
    <xf numFmtId="9" fontId="6" fillId="0" borderId="0" applyFont="0" applyFill="0" applyBorder="0" applyAlignment="0" applyProtection="0"/>
    <xf numFmtId="165"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138" fillId="0" borderId="0"/>
    <xf numFmtId="0" fontId="6" fillId="0" borderId="0"/>
    <xf numFmtId="0" fontId="139" fillId="0" borderId="0"/>
    <xf numFmtId="0" fontId="4" fillId="0" borderId="0"/>
    <xf numFmtId="43" fontId="4" fillId="0" borderId="0" applyFont="0" applyFill="0" applyBorder="0" applyAlignment="0" applyProtection="0"/>
    <xf numFmtId="166" fontId="18" fillId="0" borderId="0" applyFont="0" applyFill="0" applyBorder="0" applyAlignment="0" applyProtection="0"/>
    <xf numFmtId="188" fontId="17" fillId="0" borderId="0" applyFont="0" applyFill="0" applyBorder="0" applyAlignment="0" applyProtection="0"/>
    <xf numFmtId="165" fontId="3" fillId="0" borderId="0" applyFont="0" applyFill="0" applyBorder="0" applyAlignment="0" applyProtection="0"/>
    <xf numFmtId="0" fontId="148" fillId="0" borderId="0"/>
    <xf numFmtId="0" fontId="3" fillId="0" borderId="0"/>
    <xf numFmtId="0" fontId="3" fillId="0" borderId="0"/>
    <xf numFmtId="0" fontId="30" fillId="0" borderId="0"/>
    <xf numFmtId="0" fontId="17" fillId="0" borderId="0"/>
    <xf numFmtId="0" fontId="1" fillId="0" borderId="0"/>
    <xf numFmtId="0" fontId="1" fillId="0" borderId="0"/>
  </cellStyleXfs>
  <cellXfs count="907">
    <xf numFmtId="0" fontId="0" fillId="0" borderId="0" xfId="0"/>
    <xf numFmtId="0" fontId="28" fillId="0" borderId="0" xfId="18" applyAlignment="1">
      <alignment vertical="center" wrapText="1"/>
    </xf>
    <xf numFmtId="3" fontId="28" fillId="0" borderId="0" xfId="18" applyNumberFormat="1" applyAlignment="1">
      <alignment vertical="center" wrapText="1"/>
    </xf>
    <xf numFmtId="0" fontId="28" fillId="0" borderId="0" xfId="18" applyAlignment="1">
      <alignment horizontal="center" vertical="center" wrapText="1"/>
    </xf>
    <xf numFmtId="0" fontId="9" fillId="0" borderId="1" xfId="18" applyFont="1" applyBorder="1" applyAlignment="1">
      <alignment horizontal="center" vertical="center" wrapText="1"/>
    </xf>
    <xf numFmtId="3" fontId="9" fillId="0" borderId="1" xfId="18" applyNumberFormat="1" applyFont="1" applyBorder="1" applyAlignment="1">
      <alignment horizontal="center" vertical="center" wrapText="1"/>
    </xf>
    <xf numFmtId="0" fontId="14" fillId="0" borderId="0" xfId="18" applyFont="1" applyAlignment="1">
      <alignment vertical="center" wrapText="1"/>
    </xf>
    <xf numFmtId="0" fontId="14" fillId="0" borderId="0" xfId="18" applyFont="1" applyAlignment="1">
      <alignment horizontal="center" vertical="center" wrapText="1"/>
    </xf>
    <xf numFmtId="3" fontId="9" fillId="0" borderId="0" xfId="18" applyNumberFormat="1" applyFont="1" applyAlignment="1">
      <alignment horizontal="center" vertical="center" wrapText="1"/>
    </xf>
    <xf numFmtId="0" fontId="9" fillId="0" borderId="1" xfId="39" applyFont="1" applyBorder="1" applyAlignment="1">
      <alignment horizontal="center" vertical="center" wrapText="1"/>
    </xf>
    <xf numFmtId="0" fontId="34" fillId="0" borderId="0" xfId="39" applyAlignment="1">
      <alignment horizontal="center" vertical="center"/>
    </xf>
    <xf numFmtId="0" fontId="35" fillId="0" borderId="0" xfId="39" applyFont="1" applyAlignment="1">
      <alignment vertical="center"/>
    </xf>
    <xf numFmtId="0" fontId="37" fillId="0" borderId="0" xfId="39" applyFont="1" applyAlignment="1">
      <alignment vertical="center"/>
    </xf>
    <xf numFmtId="3" fontId="37" fillId="0" borderId="0" xfId="39" applyNumberFormat="1" applyFont="1" applyAlignment="1">
      <alignment vertical="center"/>
    </xf>
    <xf numFmtId="0" fontId="37" fillId="0" borderId="0" xfId="39" applyFont="1" applyAlignment="1">
      <alignment horizontal="center" vertical="center" wrapText="1"/>
    </xf>
    <xf numFmtId="0" fontId="39" fillId="0" borderId="1" xfId="39" applyFont="1" applyBorder="1" applyAlignment="1">
      <alignment horizontal="center" vertical="center" wrapText="1"/>
    </xf>
    <xf numFmtId="0" fontId="39" fillId="2" borderId="1" xfId="39" applyFont="1" applyFill="1" applyBorder="1" applyAlignment="1">
      <alignment horizontal="center" vertical="center" wrapText="1"/>
    </xf>
    <xf numFmtId="0" fontId="39" fillId="0" borderId="0" xfId="39" applyFont="1" applyAlignment="1">
      <alignment vertical="center"/>
    </xf>
    <xf numFmtId="0" fontId="35" fillId="0" borderId="1" xfId="39" applyFont="1" applyBorder="1" applyAlignment="1">
      <alignment horizontal="center" vertical="center"/>
    </xf>
    <xf numFmtId="169" fontId="35" fillId="2" borderId="1" xfId="40" applyNumberFormat="1" applyFont="1" applyFill="1" applyBorder="1" applyAlignment="1">
      <alignment vertical="center" wrapText="1"/>
    </xf>
    <xf numFmtId="0" fontId="35" fillId="0" borderId="1" xfId="39" applyFont="1" applyBorder="1" applyAlignment="1">
      <alignment horizontal="left" vertical="center"/>
    </xf>
    <xf numFmtId="3" fontId="35" fillId="0" borderId="0" xfId="39" applyNumberFormat="1" applyFont="1" applyAlignment="1">
      <alignment vertical="center"/>
    </xf>
    <xf numFmtId="0" fontId="20" fillId="2" borderId="17" xfId="39" applyFont="1" applyFill="1" applyBorder="1" applyAlignment="1">
      <alignment horizontal="center" vertical="center" wrapText="1"/>
    </xf>
    <xf numFmtId="0" fontId="14" fillId="0" borderId="17" xfId="39" applyFont="1" applyBorder="1" applyAlignment="1">
      <alignment horizontal="left" vertical="center"/>
    </xf>
    <xf numFmtId="169" fontId="20" fillId="2" borderId="17" xfId="40" applyNumberFormat="1" applyFont="1" applyFill="1" applyBorder="1" applyAlignment="1">
      <alignment vertical="center" wrapText="1"/>
    </xf>
    <xf numFmtId="169" fontId="22" fillId="2" borderId="1" xfId="40" applyNumberFormat="1" applyFont="1" applyFill="1" applyBorder="1" applyAlignment="1">
      <alignment vertical="center" wrapText="1"/>
    </xf>
    <xf numFmtId="0" fontId="20" fillId="2" borderId="1" xfId="39" applyFont="1" applyFill="1" applyBorder="1" applyAlignment="1">
      <alignment horizontal="center" vertical="center" wrapText="1"/>
    </xf>
    <xf numFmtId="0" fontId="14" fillId="2" borderId="1" xfId="39" applyFont="1" applyFill="1" applyBorder="1" applyAlignment="1">
      <alignment horizontal="justify" vertical="center" wrapText="1"/>
    </xf>
    <xf numFmtId="169" fontId="20" fillId="2" borderId="1" xfId="40" applyNumberFormat="1" applyFont="1" applyFill="1" applyBorder="1" applyAlignment="1">
      <alignment vertical="center" wrapText="1"/>
    </xf>
    <xf numFmtId="0" fontId="21" fillId="2" borderId="1" xfId="39" applyFont="1" applyFill="1" applyBorder="1" applyAlignment="1">
      <alignment horizontal="center" vertical="center" wrapText="1"/>
    </xf>
    <xf numFmtId="0" fontId="22" fillId="0" borderId="1" xfId="39" applyFont="1" applyBorder="1" applyAlignment="1">
      <alignment horizontal="center" vertical="center"/>
    </xf>
    <xf numFmtId="0" fontId="22" fillId="0" borderId="0" xfId="39" applyFont="1" applyAlignment="1">
      <alignment vertical="center"/>
    </xf>
    <xf numFmtId="0" fontId="20" fillId="0" borderId="0" xfId="39" applyFont="1" applyAlignment="1">
      <alignment vertical="center"/>
    </xf>
    <xf numFmtId="0" fontId="22" fillId="0" borderId="1" xfId="39" applyFont="1" applyBorder="1" applyAlignment="1">
      <alignment horizontal="left" vertical="center"/>
    </xf>
    <xf numFmtId="3" fontId="22" fillId="0" borderId="0" xfId="39" applyNumberFormat="1" applyFont="1" applyAlignment="1">
      <alignment vertical="center"/>
    </xf>
    <xf numFmtId="167" fontId="16" fillId="0" borderId="1" xfId="2" applyFont="1" applyFill="1" applyBorder="1" applyAlignment="1">
      <alignment horizontal="right" vertical="center" wrapText="1"/>
    </xf>
    <xf numFmtId="0" fontId="10" fillId="0" borderId="16" xfId="18" applyFont="1" applyBorder="1" applyAlignment="1">
      <alignment horizontal="left" vertical="center" wrapText="1"/>
    </xf>
    <xf numFmtId="0" fontId="34" fillId="0" borderId="0" xfId="39"/>
    <xf numFmtId="0" fontId="16" fillId="2" borderId="1" xfId="82" applyFont="1" applyFill="1" applyBorder="1" applyAlignment="1">
      <alignment horizontal="center" vertical="center" wrapText="1"/>
    </xf>
    <xf numFmtId="0" fontId="33" fillId="2" borderId="1" xfId="82" applyFont="1" applyFill="1" applyBorder="1" applyAlignment="1">
      <alignment horizontal="center" vertical="center" wrapText="1"/>
    </xf>
    <xf numFmtId="43" fontId="34" fillId="0" borderId="0" xfId="39" applyNumberFormat="1"/>
    <xf numFmtId="0" fontId="11" fillId="0" borderId="16" xfId="39" applyFont="1" applyBorder="1" applyAlignment="1">
      <alignment horizontal="center" vertical="center" wrapText="1"/>
    </xf>
    <xf numFmtId="0" fontId="10" fillId="0" borderId="0" xfId="39" applyFont="1"/>
    <xf numFmtId="43" fontId="10" fillId="0" borderId="0" xfId="39" applyNumberFormat="1" applyFont="1"/>
    <xf numFmtId="0" fontId="15" fillId="2" borderId="16" xfId="82" applyFont="1" applyFill="1" applyBorder="1" applyAlignment="1">
      <alignment horizontal="center" vertical="center" wrapText="1"/>
    </xf>
    <xf numFmtId="0" fontId="15" fillId="2" borderId="16" xfId="84" applyFont="1" applyFill="1" applyBorder="1" applyAlignment="1">
      <alignment horizontal="left" vertical="center" wrapText="1"/>
    </xf>
    <xf numFmtId="0" fontId="15" fillId="2" borderId="16" xfId="67" applyFill="1" applyBorder="1" applyAlignment="1">
      <alignment horizontal="left" vertical="center" wrapText="1"/>
    </xf>
    <xf numFmtId="0" fontId="15" fillId="2" borderId="17" xfId="82" applyFont="1" applyFill="1" applyBorder="1" applyAlignment="1">
      <alignment horizontal="center" vertical="center" wrapText="1"/>
    </xf>
    <xf numFmtId="0" fontId="13" fillId="0" borderId="0" xfId="39" applyFont="1"/>
    <xf numFmtId="0" fontId="13" fillId="0" borderId="0" xfId="39" quotePrefix="1" applyFont="1"/>
    <xf numFmtId="165" fontId="34" fillId="0" borderId="0" xfId="39" applyNumberFormat="1"/>
    <xf numFmtId="0" fontId="34" fillId="0" borderId="0" xfId="39" applyAlignment="1">
      <alignment horizontal="left" vertical="center" wrapText="1"/>
    </xf>
    <xf numFmtId="0" fontId="34" fillId="0" borderId="0" xfId="39" applyAlignment="1">
      <alignment horizontal="center" vertical="center" wrapText="1"/>
    </xf>
    <xf numFmtId="0" fontId="11" fillId="0" borderId="0" xfId="39" applyFont="1" applyAlignment="1">
      <alignment horizontal="center" vertical="center" wrapText="1"/>
    </xf>
    <xf numFmtId="0" fontId="9" fillId="0" borderId="1" xfId="39" applyFont="1" applyBorder="1" applyAlignment="1">
      <alignment horizontal="center" vertical="center"/>
    </xf>
    <xf numFmtId="0" fontId="9" fillId="0" borderId="5" xfId="39" applyFont="1" applyBorder="1" applyAlignment="1">
      <alignment horizontal="center" vertical="center" wrapText="1"/>
    </xf>
    <xf numFmtId="0" fontId="9" fillId="0" borderId="16" xfId="39" applyFont="1" applyBorder="1" applyAlignment="1">
      <alignment horizontal="left" vertical="center" wrapText="1"/>
    </xf>
    <xf numFmtId="4" fontId="9" fillId="0" borderId="16" xfId="39" applyNumberFormat="1" applyFont="1" applyBorder="1" applyAlignment="1">
      <alignment horizontal="right" vertical="center" wrapText="1"/>
    </xf>
    <xf numFmtId="0" fontId="9" fillId="0" borderId="16" xfId="39" applyFont="1" applyBorder="1" applyAlignment="1">
      <alignment horizontal="right" vertical="center" wrapText="1"/>
    </xf>
    <xf numFmtId="0" fontId="11" fillId="0" borderId="16" xfId="39" applyFont="1" applyBorder="1" applyAlignment="1">
      <alignment horizontal="left" vertical="center" wrapText="1"/>
    </xf>
    <xf numFmtId="4" fontId="11" fillId="0" borderId="16" xfId="39" applyNumberFormat="1" applyFont="1" applyBorder="1" applyAlignment="1">
      <alignment horizontal="right" vertical="center" wrapText="1"/>
    </xf>
    <xf numFmtId="0" fontId="11" fillId="0" borderId="16" xfId="39" applyFont="1" applyBorder="1" applyAlignment="1">
      <alignment horizontal="right" vertical="center" wrapText="1"/>
    </xf>
    <xf numFmtId="4" fontId="11" fillId="0" borderId="16" xfId="85" applyNumberFormat="1" applyFont="1" applyFill="1" applyBorder="1" applyAlignment="1">
      <alignment horizontal="right" vertical="center" wrapText="1"/>
    </xf>
    <xf numFmtId="0" fontId="11" fillId="0" borderId="0" xfId="39" applyFont="1"/>
    <xf numFmtId="0" fontId="10" fillId="0" borderId="16" xfId="39" applyFont="1" applyBorder="1" applyAlignment="1">
      <alignment horizontal="left" vertical="center" wrapText="1"/>
    </xf>
    <xf numFmtId="4" fontId="10" fillId="0" borderId="16" xfId="39" applyNumberFormat="1" applyFont="1" applyBorder="1" applyAlignment="1">
      <alignment horizontal="right" vertical="center" wrapText="1"/>
    </xf>
    <xf numFmtId="4" fontId="10" fillId="0" borderId="16" xfId="85" applyNumberFormat="1" applyFont="1" applyFill="1" applyBorder="1" applyAlignment="1">
      <alignment horizontal="right" vertical="center" wrapText="1"/>
    </xf>
    <xf numFmtId="0" fontId="10" fillId="0" borderId="16" xfId="39" applyFont="1" applyBorder="1" applyAlignment="1">
      <alignment horizontal="center" vertical="center" wrapText="1"/>
    </xf>
    <xf numFmtId="0" fontId="9" fillId="0" borderId="16" xfId="39" applyFont="1" applyBorder="1" applyAlignment="1">
      <alignment horizontal="center" vertical="center" wrapText="1"/>
    </xf>
    <xf numFmtId="0" fontId="9" fillId="0" borderId="0" xfId="39" applyFont="1"/>
    <xf numFmtId="0" fontId="34" fillId="0" borderId="16" xfId="39" applyBorder="1" applyAlignment="1">
      <alignment horizontal="left" vertical="center" wrapText="1"/>
    </xf>
    <xf numFmtId="4" fontId="34" fillId="0" borderId="16" xfId="39" applyNumberFormat="1" applyBorder="1" applyAlignment="1">
      <alignment horizontal="right" vertical="center" wrapText="1"/>
    </xf>
    <xf numFmtId="0" fontId="34" fillId="0" borderId="16" xfId="39" applyBorder="1" applyAlignment="1">
      <alignment horizontal="center" vertical="center" wrapText="1"/>
    </xf>
    <xf numFmtId="0" fontId="15" fillId="0" borderId="16" xfId="84" applyFont="1" applyBorder="1" applyAlignment="1">
      <alignment horizontal="left" vertical="center" wrapText="1"/>
    </xf>
    <xf numFmtId="0" fontId="15" fillId="0" borderId="16" xfId="86" applyFont="1" applyBorder="1" applyAlignment="1">
      <alignment horizontal="left" vertical="center"/>
    </xf>
    <xf numFmtId="4" fontId="9" fillId="0" borderId="16" xfId="85" applyNumberFormat="1" applyFont="1" applyFill="1" applyBorder="1" applyAlignment="1">
      <alignment horizontal="right" vertical="center" wrapText="1"/>
    </xf>
    <xf numFmtId="4" fontId="16" fillId="0" borderId="16" xfId="39" applyNumberFormat="1" applyFont="1" applyBorder="1" applyAlignment="1">
      <alignment horizontal="right" vertical="center" wrapText="1"/>
    </xf>
    <xf numFmtId="0" fontId="16" fillId="0" borderId="16" xfId="39" applyFont="1" applyBorder="1" applyAlignment="1">
      <alignment horizontal="right" vertical="center" wrapText="1"/>
    </xf>
    <xf numFmtId="3" fontId="16" fillId="0" borderId="16" xfId="85" applyNumberFormat="1" applyFont="1" applyFill="1" applyBorder="1" applyAlignment="1">
      <alignment horizontal="right" vertical="center" wrapText="1"/>
    </xf>
    <xf numFmtId="3" fontId="16" fillId="0" borderId="16" xfId="39" applyNumberFormat="1" applyFont="1" applyBorder="1" applyAlignment="1">
      <alignment horizontal="right" vertical="center" wrapText="1"/>
    </xf>
    <xf numFmtId="0" fontId="16" fillId="0" borderId="16" xfId="39" applyFont="1" applyBorder="1" applyAlignment="1">
      <alignment horizontal="center" vertical="center" wrapText="1"/>
    </xf>
    <xf numFmtId="49" fontId="16" fillId="0" borderId="16" xfId="39" applyNumberFormat="1" applyFont="1" applyBorder="1" applyAlignment="1">
      <alignment horizontal="center" vertical="center"/>
    </xf>
    <xf numFmtId="0" fontId="16" fillId="0" borderId="16" xfId="39" applyFont="1" applyBorder="1" applyAlignment="1">
      <alignment horizontal="left" vertical="center" wrapText="1"/>
    </xf>
    <xf numFmtId="49" fontId="19" fillId="0" borderId="16" xfId="39" applyNumberFormat="1" applyFont="1" applyBorder="1" applyAlignment="1">
      <alignment horizontal="center" vertical="center"/>
    </xf>
    <xf numFmtId="0" fontId="19" fillId="0" borderId="16" xfId="39" applyFont="1" applyBorder="1" applyAlignment="1">
      <alignment horizontal="left" vertical="center" wrapText="1"/>
    </xf>
    <xf numFmtId="4" fontId="19" fillId="0" borderId="16" xfId="39" applyNumberFormat="1" applyFont="1" applyBorder="1" applyAlignment="1">
      <alignment horizontal="right" vertical="center" wrapText="1"/>
    </xf>
    <xf numFmtId="0" fontId="19" fillId="0" borderId="16" xfId="39" applyFont="1" applyBorder="1" applyAlignment="1">
      <alignment horizontal="right" vertical="center" wrapText="1"/>
    </xf>
    <xf numFmtId="3" fontId="19" fillId="0" borderId="16" xfId="85" applyNumberFormat="1" applyFont="1" applyFill="1" applyBorder="1" applyAlignment="1">
      <alignment horizontal="right" vertical="center" wrapText="1"/>
    </xf>
    <xf numFmtId="3" fontId="19" fillId="0" borderId="16" xfId="39" applyNumberFormat="1" applyFont="1" applyBorder="1" applyAlignment="1">
      <alignment horizontal="right" vertical="center" wrapText="1"/>
    </xf>
    <xf numFmtId="3" fontId="19" fillId="0" borderId="16" xfId="39" applyNumberFormat="1" applyFont="1" applyBorder="1" applyAlignment="1">
      <alignment horizontal="center" vertical="center" wrapText="1"/>
    </xf>
    <xf numFmtId="49" fontId="15" fillId="0" borderId="16" xfId="39" applyNumberFormat="1" applyFont="1" applyBorder="1" applyAlignment="1">
      <alignment horizontal="center" vertical="center"/>
    </xf>
    <xf numFmtId="0" fontId="10" fillId="0" borderId="16" xfId="87" applyFont="1" applyBorder="1" applyAlignment="1">
      <alignment horizontal="left" vertical="center" wrapText="1"/>
    </xf>
    <xf numFmtId="4" fontId="15" fillId="0" borderId="16" xfId="39" applyNumberFormat="1" applyFont="1" applyBorder="1" applyAlignment="1">
      <alignment horizontal="right" vertical="center" wrapText="1"/>
    </xf>
    <xf numFmtId="3" fontId="15" fillId="0" borderId="16" xfId="39" applyNumberFormat="1" applyFont="1" applyBorder="1" applyAlignment="1">
      <alignment horizontal="right" vertical="center" wrapText="1"/>
    </xf>
    <xf numFmtId="3" fontId="15" fillId="0" borderId="16" xfId="85" applyNumberFormat="1" applyFont="1" applyFill="1" applyBorder="1" applyAlignment="1">
      <alignment horizontal="right" vertical="center" wrapText="1"/>
    </xf>
    <xf numFmtId="0" fontId="19" fillId="0" borderId="16" xfId="39" applyFont="1" applyBorder="1" applyAlignment="1">
      <alignment horizontal="center" vertical="center" wrapText="1"/>
    </xf>
    <xf numFmtId="173" fontId="19" fillId="0" borderId="16" xfId="85" applyNumberFormat="1" applyFont="1" applyBorder="1" applyAlignment="1">
      <alignment horizontal="right" vertical="center" wrapText="1"/>
    </xf>
    <xf numFmtId="4" fontId="10" fillId="0" borderId="16" xfId="85" applyNumberFormat="1" applyFont="1" applyFill="1" applyBorder="1" applyAlignment="1">
      <alignment horizontal="right" vertical="center"/>
    </xf>
    <xf numFmtId="173" fontId="15" fillId="0" borderId="16" xfId="85" applyNumberFormat="1" applyFont="1" applyBorder="1" applyAlignment="1">
      <alignment horizontal="right" vertical="center" wrapText="1"/>
    </xf>
    <xf numFmtId="0" fontId="15" fillId="0" borderId="16" xfId="39" applyFont="1" applyBorder="1" applyAlignment="1">
      <alignment horizontal="center" vertical="center" wrapText="1"/>
    </xf>
    <xf numFmtId="0" fontId="15" fillId="0" borderId="16" xfId="87" applyFont="1" applyBorder="1" applyAlignment="1">
      <alignment horizontal="left" vertical="center" wrapText="1"/>
    </xf>
    <xf numFmtId="4" fontId="15" fillId="0" borderId="16" xfId="85" applyNumberFormat="1" applyFont="1" applyFill="1" applyBorder="1" applyAlignment="1">
      <alignment horizontal="right" vertical="center"/>
    </xf>
    <xf numFmtId="4" fontId="16" fillId="0" borderId="16" xfId="85" applyNumberFormat="1" applyFont="1" applyFill="1" applyBorder="1" applyAlignment="1">
      <alignment horizontal="right" vertical="center" wrapText="1"/>
    </xf>
    <xf numFmtId="4" fontId="19" fillId="0" borderId="16" xfId="85" applyNumberFormat="1" applyFont="1" applyFill="1" applyBorder="1" applyAlignment="1">
      <alignment horizontal="right" vertical="center" wrapText="1"/>
    </xf>
    <xf numFmtId="0" fontId="15" fillId="0" borderId="16" xfId="82" applyFont="1" applyBorder="1" applyAlignment="1">
      <alignment horizontal="left" vertical="center" wrapText="1"/>
    </xf>
    <xf numFmtId="4" fontId="15" fillId="0" borderId="16" xfId="39" applyNumberFormat="1" applyFont="1" applyBorder="1" applyAlignment="1">
      <alignment horizontal="right"/>
    </xf>
    <xf numFmtId="0" fontId="15" fillId="0" borderId="16" xfId="39" applyFont="1" applyBorder="1"/>
    <xf numFmtId="4" fontId="9" fillId="0" borderId="5" xfId="39" applyNumberFormat="1" applyFont="1" applyBorder="1" applyAlignment="1">
      <alignment horizontal="right" vertical="center" wrapText="1"/>
    </xf>
    <xf numFmtId="0" fontId="9" fillId="0" borderId="0" xfId="39" applyFont="1" applyAlignment="1">
      <alignment horizontal="center" vertical="center" wrapText="1"/>
    </xf>
    <xf numFmtId="0" fontId="11" fillId="0" borderId="0" xfId="39" applyFont="1" applyAlignment="1">
      <alignment horizontal="right"/>
    </xf>
    <xf numFmtId="0" fontId="12" fillId="0" borderId="0" xfId="39" applyFont="1" applyAlignment="1">
      <alignment horizontal="right"/>
    </xf>
    <xf numFmtId="3" fontId="9" fillId="0" borderId="1" xfId="18" applyNumberFormat="1" applyFont="1" applyBorder="1" applyAlignment="1">
      <alignment horizontal="right" vertical="center" wrapText="1"/>
    </xf>
    <xf numFmtId="0" fontId="10" fillId="0" borderId="18" xfId="39" applyFont="1" applyBorder="1" applyAlignment="1">
      <alignment horizontal="left" vertical="center" wrapText="1"/>
    </xf>
    <xf numFmtId="0" fontId="15" fillId="2" borderId="18" xfId="82" applyFont="1" applyFill="1" applyBorder="1" applyAlignment="1">
      <alignment horizontal="center" vertical="center" wrapText="1"/>
    </xf>
    <xf numFmtId="3" fontId="16" fillId="0" borderId="1" xfId="83" applyNumberFormat="1" applyFont="1" applyFill="1" applyBorder="1" applyAlignment="1">
      <alignment horizontal="right" vertical="center" wrapText="1"/>
    </xf>
    <xf numFmtId="3" fontId="16" fillId="0" borderId="1" xfId="83" applyNumberFormat="1" applyFont="1" applyFill="1" applyBorder="1" applyAlignment="1">
      <alignment vertical="center" wrapText="1"/>
    </xf>
    <xf numFmtId="3" fontId="16" fillId="0" borderId="1" xfId="82" applyNumberFormat="1" applyFont="1" applyBorder="1" applyAlignment="1">
      <alignment vertical="center" wrapText="1"/>
    </xf>
    <xf numFmtId="3" fontId="15" fillId="0" borderId="18" xfId="84" applyNumberFormat="1" applyFont="1" applyBorder="1" applyAlignment="1">
      <alignment horizontal="right" vertical="center" wrapText="1"/>
    </xf>
    <xf numFmtId="3" fontId="15" fillId="0" borderId="18" xfId="39" applyNumberFormat="1" applyFont="1" applyBorder="1" applyAlignment="1">
      <alignment vertical="center" wrapText="1"/>
    </xf>
    <xf numFmtId="3" fontId="15" fillId="0" borderId="16" xfId="67" applyNumberFormat="1" applyBorder="1" applyAlignment="1">
      <alignment horizontal="right" vertical="center" wrapText="1"/>
    </xf>
    <xf numFmtId="3" fontId="15" fillId="0" borderId="16" xfId="84" applyNumberFormat="1" applyFont="1" applyBorder="1" applyAlignment="1">
      <alignment vertical="center" wrapText="1"/>
    </xf>
    <xf numFmtId="3" fontId="15" fillId="0" borderId="16" xfId="67" applyNumberFormat="1" applyBorder="1" applyAlignment="1">
      <alignment vertical="center" wrapText="1"/>
    </xf>
    <xf numFmtId="164" fontId="34" fillId="0" borderId="0" xfId="39" applyNumberFormat="1"/>
    <xf numFmtId="0" fontId="15" fillId="2" borderId="17" xfId="67" applyFill="1" applyBorder="1" applyAlignment="1">
      <alignment horizontal="left" vertical="center" wrapText="1"/>
    </xf>
    <xf numFmtId="3" fontId="15" fillId="0" borderId="17" xfId="67" applyNumberFormat="1" applyBorder="1" applyAlignment="1">
      <alignment horizontal="right" vertical="center" wrapText="1"/>
    </xf>
    <xf numFmtId="3" fontId="15" fillId="0" borderId="17" xfId="67" applyNumberFormat="1" applyBorder="1" applyAlignment="1">
      <alignment vertical="center" wrapText="1"/>
    </xf>
    <xf numFmtId="167" fontId="19" fillId="0" borderId="16" xfId="2" applyFont="1" applyFill="1" applyBorder="1" applyAlignment="1">
      <alignment horizontal="right" vertical="center" wrapText="1"/>
    </xf>
    <xf numFmtId="167" fontId="15" fillId="0" borderId="16" xfId="2" applyFont="1" applyFill="1" applyBorder="1" applyAlignment="1">
      <alignment horizontal="right" vertical="center" wrapText="1"/>
    </xf>
    <xf numFmtId="0" fontId="11" fillId="0" borderId="0" xfId="39" applyFont="1" applyAlignment="1">
      <alignment horizontal="right" vertical="center" wrapText="1"/>
    </xf>
    <xf numFmtId="173" fontId="16" fillId="0" borderId="16" xfId="85" applyNumberFormat="1" applyFont="1" applyFill="1" applyBorder="1" applyAlignment="1">
      <alignment horizontal="right" vertical="center" wrapText="1"/>
    </xf>
    <xf numFmtId="0" fontId="15" fillId="0" borderId="17" xfId="86" applyFont="1" applyBorder="1" applyAlignment="1">
      <alignment horizontal="left" vertical="center"/>
    </xf>
    <xf numFmtId="4" fontId="10" fillId="0" borderId="17" xfId="39" applyNumberFormat="1" applyFont="1" applyBorder="1" applyAlignment="1">
      <alignment horizontal="right" vertical="center" wrapText="1"/>
    </xf>
    <xf numFmtId="0" fontId="9" fillId="0" borderId="17" xfId="39" applyFont="1" applyBorder="1" applyAlignment="1">
      <alignment horizontal="left" vertical="center" wrapText="1"/>
    </xf>
    <xf numFmtId="4" fontId="9" fillId="0" borderId="17" xfId="39" applyNumberFormat="1" applyFont="1" applyBorder="1" applyAlignment="1">
      <alignment horizontal="right" vertical="center" wrapText="1"/>
    </xf>
    <xf numFmtId="0" fontId="9" fillId="0" borderId="17" xfId="39" applyFont="1" applyBorder="1" applyAlignment="1">
      <alignment horizontal="center" vertical="center" wrapText="1"/>
    </xf>
    <xf numFmtId="0" fontId="34" fillId="0" borderId="17" xfId="39" applyBorder="1" applyAlignment="1">
      <alignment horizontal="left" vertical="center" wrapText="1"/>
    </xf>
    <xf numFmtId="49" fontId="15" fillId="0" borderId="17" xfId="39" applyNumberFormat="1" applyFont="1" applyBorder="1" applyAlignment="1">
      <alignment horizontal="center" vertical="center"/>
    </xf>
    <xf numFmtId="0" fontId="15" fillId="0" borderId="17" xfId="87" applyFont="1" applyBorder="1" applyAlignment="1">
      <alignment horizontal="left" vertical="center" wrapText="1"/>
    </xf>
    <xf numFmtId="4" fontId="15" fillId="0" borderId="17" xfId="85" applyNumberFormat="1" applyFont="1" applyFill="1" applyBorder="1" applyAlignment="1">
      <alignment horizontal="right" vertical="center"/>
    </xf>
    <xf numFmtId="3" fontId="15" fillId="0" borderId="17" xfId="85" applyNumberFormat="1" applyFont="1" applyFill="1" applyBorder="1" applyAlignment="1">
      <alignment horizontal="right" vertical="center" wrapText="1"/>
    </xf>
    <xf numFmtId="3" fontId="15" fillId="0" borderId="17" xfId="39" applyNumberFormat="1" applyFont="1" applyBorder="1" applyAlignment="1">
      <alignment horizontal="right" vertical="center" wrapText="1"/>
    </xf>
    <xf numFmtId="4" fontId="16" fillId="0" borderId="18" xfId="39" applyNumberFormat="1" applyFont="1" applyBorder="1" applyAlignment="1">
      <alignment horizontal="right" vertical="center" wrapText="1"/>
    </xf>
    <xf numFmtId="0" fontId="16" fillId="0" borderId="18" xfId="39" applyFont="1" applyBorder="1" applyAlignment="1">
      <alignment horizontal="right" vertical="center" wrapText="1"/>
    </xf>
    <xf numFmtId="3" fontId="16" fillId="0" borderId="18" xfId="85" applyNumberFormat="1" applyFont="1" applyFill="1" applyBorder="1" applyAlignment="1">
      <alignment horizontal="right" vertical="center" wrapText="1"/>
    </xf>
    <xf numFmtId="4" fontId="16" fillId="0" borderId="18" xfId="85" applyNumberFormat="1" applyFont="1" applyFill="1" applyBorder="1" applyAlignment="1">
      <alignment horizontal="right" vertical="center" wrapText="1"/>
    </xf>
    <xf numFmtId="173" fontId="16" fillId="0" borderId="18" xfId="85" applyNumberFormat="1" applyFont="1" applyFill="1" applyBorder="1" applyAlignment="1">
      <alignment horizontal="right" vertical="center" wrapText="1"/>
    </xf>
    <xf numFmtId="167" fontId="16" fillId="0" borderId="18" xfId="2" applyFont="1" applyFill="1" applyBorder="1" applyAlignment="1">
      <alignment horizontal="right" vertical="center" wrapText="1"/>
    </xf>
    <xf numFmtId="0" fontId="15" fillId="0" borderId="0" xfId="39" applyFont="1"/>
    <xf numFmtId="0" fontId="15" fillId="0" borderId="0" xfId="39" applyFont="1" applyAlignment="1">
      <alignment horizontal="left" vertical="center" wrapText="1"/>
    </xf>
    <xf numFmtId="0" fontId="15" fillId="0" borderId="0" xfId="39" applyFont="1" applyAlignment="1">
      <alignment horizontal="center" vertical="center" wrapText="1"/>
    </xf>
    <xf numFmtId="0" fontId="40" fillId="0" borderId="0" xfId="39" applyFont="1" applyAlignment="1">
      <alignment horizontal="right" vertical="center" wrapText="1"/>
    </xf>
    <xf numFmtId="4" fontId="15" fillId="0" borderId="0" xfId="39" applyNumberFormat="1" applyFont="1" applyAlignment="1">
      <alignment horizontal="center" vertical="center" wrapText="1"/>
    </xf>
    <xf numFmtId="3" fontId="15" fillId="0" borderId="0" xfId="39" applyNumberFormat="1" applyFont="1" applyAlignment="1">
      <alignment horizontal="center" vertical="center" wrapText="1"/>
    </xf>
    <xf numFmtId="171" fontId="46" fillId="0" borderId="0" xfId="39" applyNumberFormat="1" applyFont="1" applyAlignment="1">
      <alignment horizontal="center" vertical="center" wrapText="1"/>
    </xf>
    <xf numFmtId="0" fontId="46" fillId="0" borderId="0" xfId="39" applyFont="1" applyAlignment="1">
      <alignment horizontal="right" vertical="center"/>
    </xf>
    <xf numFmtId="0" fontId="16" fillId="0" borderId="1" xfId="39" applyFont="1" applyBorder="1" applyAlignment="1">
      <alignment horizontal="center" vertical="center" wrapText="1"/>
    </xf>
    <xf numFmtId="0" fontId="16" fillId="0" borderId="4" xfId="39" applyFont="1" applyBorder="1" applyAlignment="1">
      <alignment horizontal="center" vertical="center" wrapText="1"/>
    </xf>
    <xf numFmtId="0" fontId="16" fillId="0" borderId="4" xfId="39" applyFont="1" applyBorder="1" applyAlignment="1">
      <alignment horizontal="center" vertical="center"/>
    </xf>
    <xf numFmtId="4" fontId="16" fillId="0" borderId="4" xfId="39" applyNumberFormat="1" applyFont="1" applyBorder="1" applyAlignment="1">
      <alignment horizontal="right" vertical="center" wrapText="1"/>
    </xf>
    <xf numFmtId="0" fontId="16" fillId="0" borderId="4" xfId="39" applyFont="1" applyBorder="1" applyAlignment="1">
      <alignment horizontal="right" vertical="center" wrapText="1"/>
    </xf>
    <xf numFmtId="3" fontId="16" fillId="0" borderId="4" xfId="39" applyNumberFormat="1" applyFont="1" applyBorder="1" applyAlignment="1">
      <alignment horizontal="right" vertical="center" wrapText="1"/>
    </xf>
    <xf numFmtId="3" fontId="15" fillId="0" borderId="0" xfId="39" applyNumberFormat="1" applyFont="1"/>
    <xf numFmtId="49" fontId="16" fillId="0" borderId="15" xfId="39" applyNumberFormat="1" applyFont="1" applyBorder="1" applyAlignment="1">
      <alignment horizontal="center" vertical="center"/>
    </xf>
    <xf numFmtId="0" fontId="16" fillId="0" borderId="15" xfId="39" applyFont="1" applyBorder="1" applyAlignment="1">
      <alignment horizontal="left" vertical="center" wrapText="1"/>
    </xf>
    <xf numFmtId="4" fontId="16" fillId="0" borderId="15" xfId="39" applyNumberFormat="1" applyFont="1" applyBorder="1" applyAlignment="1">
      <alignment horizontal="right" vertical="center" wrapText="1"/>
    </xf>
    <xf numFmtId="0" fontId="16" fillId="0" borderId="15" xfId="39" applyFont="1" applyBorder="1" applyAlignment="1">
      <alignment horizontal="right" vertical="center" wrapText="1"/>
    </xf>
    <xf numFmtId="3" fontId="16" fillId="0" borderId="15" xfId="39" applyNumberFormat="1" applyFont="1" applyBorder="1" applyAlignment="1">
      <alignment horizontal="right" vertical="center" wrapText="1"/>
    </xf>
    <xf numFmtId="167" fontId="16" fillId="0" borderId="15" xfId="2" applyFont="1" applyFill="1" applyBorder="1" applyAlignment="1">
      <alignment horizontal="right" vertical="center" wrapText="1"/>
    </xf>
    <xf numFmtId="0" fontId="16" fillId="0" borderId="15" xfId="39" applyFont="1" applyBorder="1" applyAlignment="1">
      <alignment horizontal="center" vertical="center" wrapText="1"/>
    </xf>
    <xf numFmtId="0" fontId="15" fillId="0" borderId="16" xfId="39" applyFont="1" applyBorder="1" applyAlignment="1">
      <alignment vertical="center" wrapText="1"/>
    </xf>
    <xf numFmtId="49" fontId="19" fillId="0" borderId="16" xfId="39" quotePrefix="1" applyNumberFormat="1" applyFont="1" applyBorder="1" applyAlignment="1">
      <alignment horizontal="center" vertical="center"/>
    </xf>
    <xf numFmtId="0" fontId="19" fillId="0" borderId="0" xfId="39" applyFont="1"/>
    <xf numFmtId="49" fontId="15" fillId="0" borderId="16" xfId="39" quotePrefix="1" applyNumberFormat="1" applyFont="1" applyBorder="1" applyAlignment="1">
      <alignment horizontal="center" vertical="center"/>
    </xf>
    <xf numFmtId="0" fontId="15" fillId="0" borderId="16" xfId="39" applyFont="1" applyBorder="1" applyAlignment="1">
      <alignment horizontal="left" vertical="center" wrapText="1"/>
    </xf>
    <xf numFmtId="4" fontId="15" fillId="0" borderId="16" xfId="85" applyNumberFormat="1" applyFont="1" applyFill="1" applyBorder="1" applyAlignment="1">
      <alignment horizontal="right" vertical="center" wrapText="1"/>
    </xf>
    <xf numFmtId="0" fontId="15" fillId="0" borderId="16" xfId="39" applyFont="1" applyBorder="1" applyAlignment="1">
      <alignment horizontal="right" vertical="center" wrapText="1"/>
    </xf>
    <xf numFmtId="9" fontId="15" fillId="0" borderId="16" xfId="39" applyNumberFormat="1" applyFont="1" applyBorder="1" applyAlignment="1">
      <alignment horizontal="right" vertical="center" wrapText="1"/>
    </xf>
    <xf numFmtId="168" fontId="15" fillId="0" borderId="16" xfId="2" applyNumberFormat="1" applyFont="1" applyBorder="1" applyAlignment="1">
      <alignment horizontal="right" vertical="center" wrapText="1"/>
    </xf>
    <xf numFmtId="173" fontId="19" fillId="0" borderId="16" xfId="85" applyNumberFormat="1" applyFont="1" applyFill="1" applyBorder="1" applyAlignment="1">
      <alignment horizontal="right" vertical="center" wrapText="1"/>
    </xf>
    <xf numFmtId="49" fontId="19" fillId="0" borderId="17" xfId="39" quotePrefix="1" applyNumberFormat="1" applyFont="1" applyBorder="1" applyAlignment="1">
      <alignment horizontal="center" vertical="center"/>
    </xf>
    <xf numFmtId="0" fontId="19" fillId="0" borderId="17" xfId="39" applyFont="1" applyBorder="1" applyAlignment="1">
      <alignment horizontal="left" vertical="center" wrapText="1"/>
    </xf>
    <xf numFmtId="4" fontId="19" fillId="0" borderId="17" xfId="39" applyNumberFormat="1" applyFont="1" applyBorder="1" applyAlignment="1">
      <alignment horizontal="right" vertical="center" wrapText="1"/>
    </xf>
    <xf numFmtId="0" fontId="19" fillId="0" borderId="17" xfId="39" applyFont="1" applyBorder="1" applyAlignment="1">
      <alignment horizontal="right" vertical="center" wrapText="1"/>
    </xf>
    <xf numFmtId="3" fontId="19" fillId="0" borderId="17" xfId="39" applyNumberFormat="1" applyFont="1" applyBorder="1" applyAlignment="1">
      <alignment horizontal="right" vertical="center" wrapText="1"/>
    </xf>
    <xf numFmtId="49" fontId="16" fillId="0" borderId="18" xfId="39" applyNumberFormat="1" applyFont="1" applyBorder="1" applyAlignment="1">
      <alignment horizontal="center" vertical="center"/>
    </xf>
    <xf numFmtId="0" fontId="16" fillId="0" borderId="18" xfId="39" applyFont="1" applyBorder="1" applyAlignment="1">
      <alignment horizontal="left" vertical="center" wrapText="1"/>
    </xf>
    <xf numFmtId="3" fontId="16" fillId="0" borderId="18" xfId="39" applyNumberFormat="1" applyFont="1" applyBorder="1" applyAlignment="1">
      <alignment horizontal="right" vertical="center" wrapText="1"/>
    </xf>
    <xf numFmtId="0" fontId="16" fillId="0" borderId="18" xfId="39" applyFont="1" applyBorder="1" applyAlignment="1">
      <alignment horizontal="center" vertical="center" wrapText="1"/>
    </xf>
    <xf numFmtId="0" fontId="16" fillId="0" borderId="0" xfId="39" applyFont="1"/>
    <xf numFmtId="3" fontId="19" fillId="0" borderId="19" xfId="39" applyNumberFormat="1" applyFont="1" applyBorder="1" applyAlignment="1">
      <alignment horizontal="right" vertical="center" wrapText="1"/>
    </xf>
    <xf numFmtId="3" fontId="15" fillId="0" borderId="18" xfId="39" applyNumberFormat="1" applyFont="1" applyBorder="1" applyAlignment="1">
      <alignment horizontal="right" vertical="center" wrapText="1"/>
    </xf>
    <xf numFmtId="9" fontId="19" fillId="0" borderId="16" xfId="39" applyNumberFormat="1" applyFont="1" applyBorder="1" applyAlignment="1">
      <alignment horizontal="right" vertical="center" wrapText="1"/>
    </xf>
    <xf numFmtId="165" fontId="16" fillId="0" borderId="16" xfId="39" applyNumberFormat="1" applyFont="1" applyBorder="1" applyAlignment="1">
      <alignment horizontal="center" vertical="center" wrapText="1"/>
    </xf>
    <xf numFmtId="4" fontId="15" fillId="0" borderId="17" xfId="39" applyNumberFormat="1" applyFont="1" applyBorder="1" applyAlignment="1">
      <alignment horizontal="right" vertical="center" wrapText="1"/>
    </xf>
    <xf numFmtId="9" fontId="15" fillId="0" borderId="17" xfId="39" applyNumberFormat="1" applyFont="1" applyBorder="1" applyAlignment="1">
      <alignment horizontal="right" vertical="center" wrapText="1"/>
    </xf>
    <xf numFmtId="0" fontId="16" fillId="0" borderId="0" xfId="39" applyFont="1" applyAlignment="1">
      <alignment horizontal="center" vertical="center"/>
    </xf>
    <xf numFmtId="0" fontId="33" fillId="0" borderId="0" xfId="39" applyFont="1"/>
    <xf numFmtId="3" fontId="33" fillId="0" borderId="16" xfId="39" applyNumberFormat="1" applyFont="1" applyBorder="1" applyAlignment="1">
      <alignment horizontal="right" vertical="center" wrapText="1"/>
    </xf>
    <xf numFmtId="9" fontId="33" fillId="0" borderId="16" xfId="39" applyNumberFormat="1" applyFont="1" applyBorder="1" applyAlignment="1">
      <alignment horizontal="right" vertical="center" wrapText="1"/>
    </xf>
    <xf numFmtId="176" fontId="15" fillId="0" borderId="16" xfId="39" applyNumberFormat="1" applyFont="1" applyBorder="1" applyAlignment="1">
      <alignment horizontal="center" vertical="center" wrapText="1"/>
    </xf>
    <xf numFmtId="175" fontId="16" fillId="0" borderId="16" xfId="85" applyNumberFormat="1" applyFont="1" applyFill="1" applyBorder="1" applyAlignment="1">
      <alignment horizontal="right" vertical="center" wrapText="1"/>
    </xf>
    <xf numFmtId="49" fontId="16" fillId="0" borderId="17" xfId="39" applyNumberFormat="1" applyFont="1" applyBorder="1" applyAlignment="1">
      <alignment horizontal="center" vertical="center"/>
    </xf>
    <xf numFmtId="0" fontId="16" fillId="0" borderId="17" xfId="39" applyFont="1" applyBorder="1" applyAlignment="1">
      <alignment horizontal="left" vertical="center" wrapText="1"/>
    </xf>
    <xf numFmtId="4" fontId="16" fillId="0" borderId="17" xfId="39" applyNumberFormat="1" applyFont="1" applyBorder="1" applyAlignment="1">
      <alignment horizontal="right" vertical="center" wrapText="1"/>
    </xf>
    <xf numFmtId="0" fontId="16" fillId="0" borderId="17" xfId="39" applyFont="1" applyBorder="1" applyAlignment="1">
      <alignment horizontal="right" vertical="center" wrapText="1"/>
    </xf>
    <xf numFmtId="3" fontId="16" fillId="0" borderId="17" xfId="39" applyNumberFormat="1" applyFont="1" applyBorder="1" applyAlignment="1">
      <alignment horizontal="right" vertical="center" wrapText="1"/>
    </xf>
    <xf numFmtId="0" fontId="16" fillId="0" borderId="17" xfId="39" applyFont="1" applyBorder="1" applyAlignment="1">
      <alignment horizontal="center" vertical="center" wrapText="1"/>
    </xf>
    <xf numFmtId="3" fontId="16" fillId="0" borderId="16" xfId="39" applyNumberFormat="1" applyFont="1" applyBorder="1" applyAlignment="1">
      <alignment horizontal="center" vertical="center" wrapText="1"/>
    </xf>
    <xf numFmtId="3" fontId="15" fillId="0" borderId="16" xfId="39" applyNumberFormat="1" applyFont="1" applyBorder="1" applyAlignment="1">
      <alignment horizontal="center" vertical="center" wrapText="1"/>
    </xf>
    <xf numFmtId="171" fontId="16" fillId="0" borderId="16" xfId="39" applyNumberFormat="1" applyFont="1" applyBorder="1" applyAlignment="1">
      <alignment horizontal="right" vertical="center" wrapText="1"/>
    </xf>
    <xf numFmtId="3" fontId="15" fillId="0" borderId="16" xfId="39" applyNumberFormat="1" applyFont="1" applyBorder="1" applyAlignment="1">
      <alignment horizontal="left" vertical="center" wrapText="1"/>
    </xf>
    <xf numFmtId="167" fontId="19" fillId="0" borderId="16" xfId="2" applyFont="1" applyBorder="1" applyAlignment="1">
      <alignment horizontal="right" vertical="center" wrapText="1"/>
    </xf>
    <xf numFmtId="0" fontId="15" fillId="0" borderId="17" xfId="39" applyFont="1" applyBorder="1" applyAlignment="1">
      <alignment horizontal="left" vertical="center" wrapText="1"/>
    </xf>
    <xf numFmtId="4" fontId="16" fillId="0" borderId="0" xfId="39" applyNumberFormat="1" applyFont="1"/>
    <xf numFmtId="0" fontId="16" fillId="0" borderId="18" xfId="39" applyFont="1" applyBorder="1" applyAlignment="1">
      <alignment horizontal="right"/>
    </xf>
    <xf numFmtId="3" fontId="16" fillId="0" borderId="18" xfId="39" applyNumberFormat="1" applyFont="1" applyBorder="1" applyAlignment="1">
      <alignment horizontal="right"/>
    </xf>
    <xf numFmtId="0" fontId="16" fillId="0" borderId="18" xfId="39" applyFont="1" applyBorder="1"/>
    <xf numFmtId="167" fontId="16" fillId="0" borderId="16" xfId="2" applyFont="1" applyBorder="1" applyAlignment="1">
      <alignment horizontal="right" vertical="center" wrapText="1"/>
    </xf>
    <xf numFmtId="167" fontId="15" fillId="0" borderId="16" xfId="2" applyFont="1" applyBorder="1" applyAlignment="1">
      <alignment horizontal="right" vertical="center" wrapText="1"/>
    </xf>
    <xf numFmtId="3" fontId="15" fillId="0" borderId="6" xfId="39" applyNumberFormat="1" applyFont="1" applyBorder="1" applyAlignment="1">
      <alignment vertical="center" wrapText="1"/>
    </xf>
    <xf numFmtId="165" fontId="16" fillId="0" borderId="18" xfId="39" applyNumberFormat="1" applyFont="1" applyBorder="1" applyAlignment="1">
      <alignment horizontal="center" vertical="center" wrapText="1"/>
    </xf>
    <xf numFmtId="169" fontId="19" fillId="0" borderId="16" xfId="39" applyNumberFormat="1" applyFont="1" applyBorder="1" applyAlignment="1">
      <alignment horizontal="center" vertical="center" wrapText="1"/>
    </xf>
    <xf numFmtId="169" fontId="15" fillId="0" borderId="16" xfId="39" applyNumberFormat="1" applyFont="1" applyBorder="1" applyAlignment="1">
      <alignment horizontal="center" vertical="center" wrapText="1"/>
    </xf>
    <xf numFmtId="173" fontId="15" fillId="0" borderId="16" xfId="85" applyNumberFormat="1" applyFont="1" applyFill="1" applyBorder="1" applyAlignment="1">
      <alignment horizontal="right" vertical="center" wrapText="1"/>
    </xf>
    <xf numFmtId="172" fontId="16" fillId="0" borderId="16" xfId="39" applyNumberFormat="1" applyFont="1" applyBorder="1" applyAlignment="1">
      <alignment horizontal="right" vertical="center" wrapText="1"/>
    </xf>
    <xf numFmtId="169" fontId="16" fillId="0" borderId="16" xfId="39" applyNumberFormat="1" applyFont="1" applyBorder="1" applyAlignment="1">
      <alignment horizontal="center" vertical="center" wrapText="1"/>
    </xf>
    <xf numFmtId="3" fontId="16" fillId="0" borderId="1" xfId="39" applyNumberFormat="1" applyFont="1" applyBorder="1" applyAlignment="1">
      <alignment vertical="center"/>
    </xf>
    <xf numFmtId="3" fontId="16" fillId="0" borderId="1" xfId="39" applyNumberFormat="1" applyFont="1" applyBorder="1" applyAlignment="1">
      <alignment horizontal="left" vertical="center" wrapText="1"/>
    </xf>
    <xf numFmtId="3" fontId="16" fillId="0" borderId="1" xfId="39" applyNumberFormat="1" applyFont="1" applyBorder="1" applyAlignment="1">
      <alignment horizontal="center" vertical="center" wrapText="1"/>
    </xf>
    <xf numFmtId="3" fontId="16" fillId="0" borderId="1" xfId="39" applyNumberFormat="1" applyFont="1" applyBorder="1" applyAlignment="1">
      <alignment horizontal="right" vertical="center" wrapText="1"/>
    </xf>
    <xf numFmtId="3" fontId="15" fillId="0" borderId="0" xfId="39" applyNumberFormat="1" applyFont="1" applyAlignment="1">
      <alignment horizontal="left" vertical="center" wrapText="1"/>
    </xf>
    <xf numFmtId="0" fontId="9" fillId="0" borderId="15" xfId="39" applyFont="1" applyBorder="1" applyAlignment="1">
      <alignment horizontal="center" vertical="center"/>
    </xf>
    <xf numFmtId="0" fontId="9" fillId="0" borderId="15" xfId="39" applyFont="1" applyBorder="1" applyAlignment="1">
      <alignment horizontal="left" vertical="center" wrapText="1"/>
    </xf>
    <xf numFmtId="4" fontId="9" fillId="0" borderId="15" xfId="39" applyNumberFormat="1" applyFont="1" applyBorder="1" applyAlignment="1">
      <alignment horizontal="right" vertical="center" wrapText="1"/>
    </xf>
    <xf numFmtId="0" fontId="9" fillId="0" borderId="15" xfId="39" applyFont="1" applyBorder="1" applyAlignment="1">
      <alignment horizontal="right" vertical="center" wrapText="1"/>
    </xf>
    <xf numFmtId="0" fontId="9" fillId="0" borderId="15" xfId="39" applyFont="1" applyBorder="1" applyAlignment="1">
      <alignment horizontal="center" vertical="center" wrapText="1"/>
    </xf>
    <xf numFmtId="0" fontId="9" fillId="0" borderId="16" xfId="39" applyFont="1" applyBorder="1" applyAlignment="1">
      <alignment horizontal="center" vertical="center"/>
    </xf>
    <xf numFmtId="0" fontId="11" fillId="0" borderId="16" xfId="39" applyFont="1" applyBorder="1" applyAlignment="1">
      <alignment horizontal="center" vertical="center"/>
    </xf>
    <xf numFmtId="0" fontId="34" fillId="0" borderId="16" xfId="39" applyBorder="1" applyAlignment="1">
      <alignment horizontal="center" vertical="center"/>
    </xf>
    <xf numFmtId="4" fontId="13" fillId="0" borderId="16" xfId="85" applyNumberFormat="1" applyFont="1" applyFill="1" applyBorder="1" applyAlignment="1">
      <alignment horizontal="right" vertical="center" wrapText="1"/>
    </xf>
    <xf numFmtId="0" fontId="10" fillId="0" borderId="16" xfId="0" applyFont="1" applyBorder="1" applyAlignment="1">
      <alignment horizontal="center" vertical="center" wrapText="1"/>
    </xf>
    <xf numFmtId="0" fontId="9" fillId="0" borderId="16" xfId="0" applyFont="1" applyBorder="1" applyAlignment="1">
      <alignment horizontal="center" vertical="center" wrapText="1"/>
    </xf>
    <xf numFmtId="0" fontId="11" fillId="0" borderId="16" xfId="0" applyFont="1" applyBorder="1" applyAlignment="1">
      <alignment horizontal="center" vertical="center" wrapText="1"/>
    </xf>
    <xf numFmtId="0" fontId="10" fillId="0" borderId="16" xfId="39" applyFont="1" applyBorder="1" applyAlignment="1">
      <alignment horizontal="center" vertical="center"/>
    </xf>
    <xf numFmtId="0" fontId="13" fillId="0" borderId="16" xfId="0" applyFont="1" applyBorder="1" applyAlignment="1">
      <alignment horizontal="center" vertical="center" wrapText="1"/>
    </xf>
    <xf numFmtId="0" fontId="44" fillId="0" borderId="16" xfId="87" applyFont="1" applyBorder="1" applyAlignment="1">
      <alignment horizontal="center" vertical="center"/>
    </xf>
    <xf numFmtId="0" fontId="10" fillId="0" borderId="16" xfId="87" applyFont="1" applyBorder="1" applyAlignment="1">
      <alignment horizontal="center" vertical="center"/>
    </xf>
    <xf numFmtId="0" fontId="15" fillId="0" borderId="16" xfId="87" applyFont="1" applyBorder="1" applyAlignment="1">
      <alignment horizontal="center" vertical="center"/>
    </xf>
    <xf numFmtId="0" fontId="9" fillId="0" borderId="16" xfId="39" applyFont="1" applyBorder="1" applyAlignment="1">
      <alignment horizontal="center"/>
    </xf>
    <xf numFmtId="0" fontId="11" fillId="0" borderId="16" xfId="39" applyFont="1" applyBorder="1" applyAlignment="1">
      <alignment horizontal="center"/>
    </xf>
    <xf numFmtId="0" fontId="10" fillId="0" borderId="16" xfId="39" applyFont="1" applyBorder="1" applyAlignment="1">
      <alignment horizontal="center"/>
    </xf>
    <xf numFmtId="4" fontId="15" fillId="0" borderId="16" xfId="88" applyNumberFormat="1" applyFont="1" applyFill="1" applyBorder="1" applyAlignment="1">
      <alignment horizontal="right" vertical="center" wrapText="1"/>
    </xf>
    <xf numFmtId="4" fontId="15" fillId="0" borderId="16" xfId="88" applyNumberFormat="1" applyFont="1" applyFill="1" applyBorder="1" applyAlignment="1">
      <alignment horizontal="right" vertical="center"/>
    </xf>
    <xf numFmtId="4" fontId="45" fillId="0" borderId="16" xfId="39" applyNumberFormat="1" applyFont="1" applyBorder="1" applyAlignment="1">
      <alignment horizontal="right"/>
    </xf>
    <xf numFmtId="0" fontId="15" fillId="0" borderId="16" xfId="39" applyFont="1" applyBorder="1" applyAlignment="1">
      <alignment horizontal="left"/>
    </xf>
    <xf numFmtId="0" fontId="10" fillId="0" borderId="17" xfId="39" applyFont="1" applyBorder="1" applyAlignment="1">
      <alignment horizontal="center"/>
    </xf>
    <xf numFmtId="0" fontId="15" fillId="0" borderId="17" xfId="82" applyFont="1" applyBorder="1" applyAlignment="1">
      <alignment horizontal="left" vertical="center" wrapText="1"/>
    </xf>
    <xf numFmtId="4" fontId="10" fillId="2" borderId="17" xfId="39" applyNumberFormat="1" applyFont="1" applyFill="1" applyBorder="1" applyAlignment="1">
      <alignment horizontal="right" vertical="center" wrapText="1"/>
    </xf>
    <xf numFmtId="0" fontId="34" fillId="0" borderId="17" xfId="39" applyBorder="1" applyAlignment="1">
      <alignment horizontal="center" vertical="center" wrapText="1"/>
    </xf>
    <xf numFmtId="0" fontId="13" fillId="0" borderId="17" xfId="0" applyFont="1" applyBorder="1" applyAlignment="1">
      <alignment horizontal="center" vertical="center" wrapText="1"/>
    </xf>
    <xf numFmtId="0" fontId="9" fillId="0" borderId="18" xfId="39" applyFont="1" applyBorder="1" applyAlignment="1">
      <alignment horizontal="center" vertical="center"/>
    </xf>
    <xf numFmtId="0" fontId="9" fillId="0" borderId="18" xfId="39" applyFont="1" applyBorder="1" applyAlignment="1">
      <alignment horizontal="left" vertical="center" wrapText="1"/>
    </xf>
    <xf numFmtId="4" fontId="9" fillId="0" borderId="18" xfId="39" applyNumberFormat="1" applyFont="1" applyBorder="1" applyAlignment="1">
      <alignment horizontal="right" vertical="center" wrapText="1"/>
    </xf>
    <xf numFmtId="0" fontId="9" fillId="0" borderId="18" xfId="39" applyFont="1" applyBorder="1" applyAlignment="1">
      <alignment horizontal="center" vertical="center" wrapText="1"/>
    </xf>
    <xf numFmtId="0" fontId="9" fillId="0" borderId="18" xfId="0" applyFont="1" applyBorder="1" applyAlignment="1">
      <alignment horizontal="center" vertical="center" wrapText="1"/>
    </xf>
    <xf numFmtId="0" fontId="9" fillId="0" borderId="17" xfId="39" applyFont="1" applyBorder="1" applyAlignment="1">
      <alignment horizontal="center" vertical="center"/>
    </xf>
    <xf numFmtId="4" fontId="9" fillId="0" borderId="17" xfId="85" applyNumberFormat="1" applyFont="1" applyFill="1" applyBorder="1" applyAlignment="1">
      <alignment horizontal="right" vertical="center" wrapText="1"/>
    </xf>
    <xf numFmtId="0" fontId="10" fillId="0" borderId="17" xfId="0" applyFont="1" applyBorder="1" applyAlignment="1">
      <alignment horizontal="center" vertical="center" wrapText="1"/>
    </xf>
    <xf numFmtId="0" fontId="10" fillId="0" borderId="17" xfId="39" applyFont="1" applyBorder="1" applyAlignment="1">
      <alignment horizontal="center" vertical="center"/>
    </xf>
    <xf numFmtId="4" fontId="10" fillId="0" borderId="17" xfId="85" applyNumberFormat="1" applyFont="1" applyFill="1" applyBorder="1" applyAlignment="1">
      <alignment horizontal="right" vertical="center" wrapText="1"/>
    </xf>
    <xf numFmtId="0" fontId="10" fillId="0" borderId="17" xfId="39" applyFont="1" applyBorder="1" applyAlignment="1">
      <alignment horizontal="center" vertical="center" wrapText="1"/>
    </xf>
    <xf numFmtId="0" fontId="34" fillId="0" borderId="17" xfId="39" applyBorder="1" applyAlignment="1">
      <alignment horizontal="center" vertical="center"/>
    </xf>
    <xf numFmtId="4" fontId="34" fillId="0" borderId="17" xfId="39" applyNumberFormat="1" applyBorder="1" applyAlignment="1">
      <alignment horizontal="right" vertical="center" wrapText="1"/>
    </xf>
    <xf numFmtId="0" fontId="15" fillId="0" borderId="17" xfId="87" applyFont="1" applyBorder="1" applyAlignment="1">
      <alignment horizontal="center" vertical="center"/>
    </xf>
    <xf numFmtId="0" fontId="15" fillId="0" borderId="16" xfId="18" quotePrefix="1" applyFont="1" applyBorder="1" applyAlignment="1">
      <alignment horizontal="center" vertical="center" wrapText="1"/>
    </xf>
    <xf numFmtId="0" fontId="9" fillId="0" borderId="15" xfId="18" applyFont="1" applyBorder="1" applyAlignment="1">
      <alignment horizontal="center" vertical="center" wrapText="1"/>
    </xf>
    <xf numFmtId="0" fontId="9" fillId="0" borderId="16" xfId="18" applyFont="1" applyBorder="1" applyAlignment="1">
      <alignment horizontal="left" vertical="center" wrapText="1"/>
    </xf>
    <xf numFmtId="0" fontId="12" fillId="0" borderId="1" xfId="18" applyFont="1" applyBorder="1" applyAlignment="1">
      <alignment horizontal="center" vertical="center" wrapText="1"/>
    </xf>
    <xf numFmtId="3" fontId="12" fillId="0" borderId="1" xfId="18" applyNumberFormat="1" applyFont="1" applyBorder="1" applyAlignment="1">
      <alignment horizontal="center" vertical="center" wrapText="1"/>
    </xf>
    <xf numFmtId="0" fontId="9" fillId="0" borderId="15" xfId="18" applyFont="1" applyBorder="1" applyAlignment="1">
      <alignment horizontal="left" vertical="center" wrapText="1"/>
    </xf>
    <xf numFmtId="0" fontId="128" fillId="0" borderId="0" xfId="473" applyFont="1" applyAlignment="1">
      <alignment horizontal="center" vertical="center" wrapText="1"/>
    </xf>
    <xf numFmtId="0" fontId="129" fillId="0" borderId="0" xfId="473" applyFont="1" applyFill="1" applyAlignment="1">
      <alignment horizontal="center" vertical="center" wrapText="1"/>
    </xf>
    <xf numFmtId="0" fontId="129" fillId="0" borderId="16" xfId="472" applyFont="1" applyBorder="1" applyAlignment="1">
      <alignment horizontal="left" vertical="center" wrapText="1"/>
    </xf>
    <xf numFmtId="0" fontId="128" fillId="0" borderId="16" xfId="472" applyFont="1" applyBorder="1" applyAlignment="1">
      <alignment horizontal="left" vertical="center" wrapText="1"/>
    </xf>
    <xf numFmtId="3" fontId="9" fillId="0" borderId="15" xfId="18" applyNumberFormat="1" applyFont="1" applyBorder="1" applyAlignment="1">
      <alignment horizontal="right" vertical="center" wrapText="1"/>
    </xf>
    <xf numFmtId="0" fontId="9" fillId="0" borderId="16" xfId="18" applyFont="1" applyBorder="1" applyAlignment="1">
      <alignment horizontal="center" vertical="center" wrapText="1"/>
    </xf>
    <xf numFmtId="3" fontId="9" fillId="0" borderId="16" xfId="18" applyNumberFormat="1" applyFont="1" applyBorder="1" applyAlignment="1">
      <alignment horizontal="right" vertical="center" wrapText="1"/>
    </xf>
    <xf numFmtId="3" fontId="10" fillId="0" borderId="16" xfId="18" applyNumberFormat="1" applyFont="1" applyBorder="1" applyAlignment="1">
      <alignment horizontal="right" vertical="center" wrapText="1"/>
    </xf>
    <xf numFmtId="0" fontId="16" fillId="0" borderId="16" xfId="18" quotePrefix="1" applyFont="1" applyBorder="1" applyAlignment="1">
      <alignment horizontal="center" vertical="center" wrapText="1"/>
    </xf>
    <xf numFmtId="3" fontId="130" fillId="0" borderId="16" xfId="473" applyNumberFormat="1" applyFont="1" applyBorder="1" applyAlignment="1">
      <alignment horizontal="right" vertical="center" wrapText="1"/>
    </xf>
    <xf numFmtId="0" fontId="132" fillId="0" borderId="0" xfId="473" applyFont="1" applyFill="1" applyAlignment="1">
      <alignment horizontal="center" vertical="center" wrapText="1"/>
    </xf>
    <xf numFmtId="0" fontId="128" fillId="0" borderId="0" xfId="472" applyFont="1" applyAlignment="1">
      <alignment horizontal="center" vertical="center" wrapText="1"/>
    </xf>
    <xf numFmtId="3" fontId="134" fillId="0" borderId="1" xfId="473" applyNumberFormat="1" applyFont="1" applyBorder="1" applyAlignment="1">
      <alignment horizontal="center" vertical="center" wrapText="1"/>
    </xf>
    <xf numFmtId="0" fontId="135" fillId="0" borderId="1" xfId="473" applyFont="1" applyBorder="1" applyAlignment="1">
      <alignment horizontal="center" vertical="center" wrapText="1"/>
    </xf>
    <xf numFmtId="3" fontId="135" fillId="0" borderId="1" xfId="473" applyNumberFormat="1" applyFont="1" applyBorder="1" applyAlignment="1">
      <alignment horizontal="center" vertical="center" wrapText="1"/>
    </xf>
    <xf numFmtId="3" fontId="128" fillId="0" borderId="0" xfId="472" applyNumberFormat="1" applyFont="1" applyAlignment="1">
      <alignment horizontal="center" vertical="center" wrapText="1"/>
    </xf>
    <xf numFmtId="0" fontId="134" fillId="0" borderId="15" xfId="473" applyFont="1" applyBorder="1" applyAlignment="1">
      <alignment horizontal="center" vertical="center" wrapText="1"/>
    </xf>
    <xf numFmtId="2" fontId="134" fillId="0" borderId="15" xfId="473" applyNumberFormat="1" applyFont="1" applyBorder="1" applyAlignment="1">
      <alignment horizontal="center" vertical="center" wrapText="1"/>
    </xf>
    <xf numFmtId="3" fontId="134" fillId="0" borderId="15" xfId="473" applyNumberFormat="1" applyFont="1" applyBorder="1" applyAlignment="1">
      <alignment horizontal="right" vertical="center" wrapText="1"/>
    </xf>
    <xf numFmtId="0" fontId="130" fillId="0" borderId="15" xfId="473" applyFont="1" applyBorder="1" applyAlignment="1">
      <alignment horizontal="center" vertical="center" wrapText="1"/>
    </xf>
    <xf numFmtId="0" fontId="134" fillId="0" borderId="16" xfId="473" applyFont="1" applyBorder="1" applyAlignment="1">
      <alignment horizontal="center" vertical="center" wrapText="1"/>
    </xf>
    <xf numFmtId="0" fontId="134" fillId="0" borderId="16" xfId="473" applyFont="1" applyBorder="1" applyAlignment="1">
      <alignment horizontal="left" vertical="center" wrapText="1"/>
    </xf>
    <xf numFmtId="2" fontId="134" fillId="0" borderId="16" xfId="473" applyNumberFormat="1" applyFont="1" applyBorder="1" applyAlignment="1">
      <alignment horizontal="center" vertical="center" wrapText="1"/>
    </xf>
    <xf numFmtId="3" fontId="134" fillId="0" borderId="16" xfId="473" applyNumberFormat="1" applyFont="1" applyBorder="1" applyAlignment="1">
      <alignment horizontal="right" vertical="center" wrapText="1"/>
    </xf>
    <xf numFmtId="0" fontId="130" fillId="0" borderId="16" xfId="473" quotePrefix="1" applyFont="1" applyBorder="1" applyAlignment="1">
      <alignment horizontal="center" vertical="center" wrapText="1"/>
    </xf>
    <xf numFmtId="0" fontId="130" fillId="0" borderId="16" xfId="473" applyFont="1" applyBorder="1" applyAlignment="1">
      <alignment horizontal="left" vertical="center" wrapText="1"/>
    </xf>
    <xf numFmtId="2" fontId="130" fillId="0" borderId="16" xfId="473" applyNumberFormat="1" applyFont="1" applyBorder="1" applyAlignment="1">
      <alignment horizontal="center" vertical="center" wrapText="1"/>
    </xf>
    <xf numFmtId="0" fontId="134" fillId="0" borderId="16" xfId="473" quotePrefix="1" applyFont="1" applyBorder="1" applyAlignment="1">
      <alignment horizontal="center" vertical="center" wrapText="1"/>
    </xf>
    <xf numFmtId="0" fontId="10" fillId="2" borderId="0" xfId="16" applyFont="1" applyFill="1" applyAlignment="1">
      <alignment vertical="center" wrapText="1"/>
    </xf>
    <xf numFmtId="49" fontId="9" fillId="2" borderId="0" xfId="16" applyNumberFormat="1" applyFont="1" applyFill="1" applyAlignment="1">
      <alignment horizontal="center" vertical="center" wrapText="1"/>
    </xf>
    <xf numFmtId="0" fontId="140" fillId="2" borderId="0" xfId="16" applyFont="1" applyFill="1" applyAlignment="1">
      <alignment vertical="center" wrapText="1"/>
    </xf>
    <xf numFmtId="0" fontId="14" fillId="2" borderId="0" xfId="16" applyFont="1" applyFill="1" applyAlignment="1">
      <alignment vertical="center" wrapText="1"/>
    </xf>
    <xf numFmtId="0" fontId="141" fillId="2" borderId="0" xfId="16" applyFont="1" applyFill="1" applyAlignment="1">
      <alignment vertical="center" wrapText="1"/>
    </xf>
    <xf numFmtId="0" fontId="126" fillId="2" borderId="0" xfId="16" applyFont="1" applyFill="1" applyAlignment="1">
      <alignment horizontal="center" vertical="center" wrapText="1"/>
    </xf>
    <xf numFmtId="0" fontId="140" fillId="2" borderId="0" xfId="16" applyFont="1" applyFill="1" applyAlignment="1">
      <alignment horizontal="center" vertical="center" wrapText="1"/>
    </xf>
    <xf numFmtId="0" fontId="141" fillId="2" borderId="0" xfId="16" applyFont="1" applyFill="1" applyAlignment="1">
      <alignment horizontal="center" vertical="center" wrapText="1"/>
    </xf>
    <xf numFmtId="0" fontId="140" fillId="2" borderId="9" xfId="16" applyFont="1" applyFill="1" applyBorder="1" applyAlignment="1">
      <alignment horizontal="right" vertical="center" wrapText="1"/>
    </xf>
    <xf numFmtId="0" fontId="128" fillId="2" borderId="0" xfId="16" applyFont="1" applyFill="1" applyAlignment="1">
      <alignment vertical="center" wrapText="1"/>
    </xf>
    <xf numFmtId="0" fontId="5" fillId="0" borderId="16" xfId="18" applyFont="1" applyBorder="1" applyAlignment="1">
      <alignment vertical="center" wrapText="1"/>
    </xf>
    <xf numFmtId="0" fontId="9" fillId="0" borderId="16" xfId="18" applyFont="1" applyBorder="1" applyAlignment="1">
      <alignment vertical="center" wrapText="1"/>
    </xf>
    <xf numFmtId="0" fontId="5" fillId="0" borderId="16" xfId="18" quotePrefix="1" applyFont="1" applyBorder="1" applyAlignment="1">
      <alignment horizontal="center" vertical="center" wrapText="1"/>
    </xf>
    <xf numFmtId="0" fontId="137" fillId="0" borderId="16" xfId="473" applyFont="1" applyBorder="1" applyAlignment="1">
      <alignment horizontal="center" vertical="center" wrapText="1"/>
    </xf>
    <xf numFmtId="0" fontId="142" fillId="0" borderId="0" xfId="510" applyFont="1" applyAlignment="1">
      <alignment horizontal="center" vertical="center" wrapText="1"/>
    </xf>
    <xf numFmtId="0" fontId="129" fillId="0" borderId="1" xfId="510" applyFont="1" applyBorder="1" applyAlignment="1">
      <alignment horizontal="center" vertical="center" wrapText="1"/>
    </xf>
    <xf numFmtId="0" fontId="133" fillId="0" borderId="1" xfId="510" applyFont="1" applyBorder="1" applyAlignment="1">
      <alignment horizontal="center" vertical="center" wrapText="1"/>
    </xf>
    <xf numFmtId="0" fontId="129" fillId="0" borderId="0" xfId="510" applyFont="1" applyAlignment="1">
      <alignment vertical="center" wrapText="1"/>
    </xf>
    <xf numFmtId="0" fontId="129" fillId="0" borderId="15" xfId="510" applyFont="1" applyBorder="1" applyAlignment="1">
      <alignment horizontal="center" vertical="center" wrapText="1"/>
    </xf>
    <xf numFmtId="3" fontId="129" fillId="0" borderId="15" xfId="510" applyNumberFormat="1" applyFont="1" applyBorder="1" applyAlignment="1">
      <alignment vertical="center" wrapText="1"/>
    </xf>
    <xf numFmtId="0" fontId="129" fillId="0" borderId="16" xfId="510" applyFont="1" applyBorder="1" applyAlignment="1">
      <alignment horizontal="center" vertical="center" wrapText="1"/>
    </xf>
    <xf numFmtId="0" fontId="129" fillId="0" borderId="16" xfId="510" applyFont="1" applyBorder="1" applyAlignment="1">
      <alignment horizontal="left" vertical="center" wrapText="1"/>
    </xf>
    <xf numFmtId="3" fontId="129" fillId="0" borderId="16" xfId="510" applyNumberFormat="1" applyFont="1" applyBorder="1" applyAlignment="1">
      <alignment vertical="center" wrapText="1"/>
    </xf>
    <xf numFmtId="0" fontId="128" fillId="0" borderId="16" xfId="510" quotePrefix="1" applyFont="1" applyBorder="1" applyAlignment="1">
      <alignment horizontal="center" vertical="center" wrapText="1"/>
    </xf>
    <xf numFmtId="0" fontId="128" fillId="0" borderId="16" xfId="510" applyFont="1" applyBorder="1" applyAlignment="1">
      <alignment horizontal="left" vertical="center" wrapText="1"/>
    </xf>
    <xf numFmtId="0" fontId="128" fillId="0" borderId="16" xfId="510" applyFont="1" applyBorder="1" applyAlignment="1">
      <alignment horizontal="center" vertical="center" wrapText="1"/>
    </xf>
    <xf numFmtId="3" fontId="128" fillId="0" borderId="16" xfId="510" applyNumberFormat="1" applyFont="1" applyBorder="1" applyAlignment="1">
      <alignment vertical="center" wrapText="1"/>
    </xf>
    <xf numFmtId="0" fontId="129" fillId="0" borderId="16" xfId="510" quotePrefix="1" applyFont="1" applyBorder="1" applyAlignment="1">
      <alignment horizontal="center" vertical="center" wrapText="1"/>
    </xf>
    <xf numFmtId="0" fontId="128" fillId="0" borderId="17" xfId="510" quotePrefix="1" applyFont="1" applyBorder="1" applyAlignment="1">
      <alignment horizontal="center" vertical="center" wrapText="1"/>
    </xf>
    <xf numFmtId="0" fontId="128" fillId="0" borderId="17" xfId="510" applyFont="1" applyBorder="1" applyAlignment="1">
      <alignment horizontal="left" vertical="center" wrapText="1"/>
    </xf>
    <xf numFmtId="0" fontId="128" fillId="0" borderId="17" xfId="510" applyFont="1" applyBorder="1" applyAlignment="1">
      <alignment horizontal="center" vertical="center" wrapText="1"/>
    </xf>
    <xf numFmtId="3" fontId="128" fillId="0" borderId="17" xfId="510" applyNumberFormat="1" applyFont="1" applyBorder="1" applyAlignment="1">
      <alignment vertical="center" wrapText="1"/>
    </xf>
    <xf numFmtId="0" fontId="133" fillId="0" borderId="0" xfId="510" applyFont="1" applyAlignment="1">
      <alignment horizontal="center" vertical="center" wrapText="1"/>
    </xf>
    <xf numFmtId="0" fontId="132" fillId="2" borderId="0" xfId="16" applyFont="1" applyFill="1" applyAlignment="1">
      <alignment horizontal="center" vertical="center" wrapText="1"/>
    </xf>
    <xf numFmtId="0" fontId="21" fillId="2" borderId="16" xfId="509" applyFont="1" applyFill="1" applyBorder="1" applyAlignment="1">
      <alignment horizontal="left" vertical="center" wrapText="1"/>
    </xf>
    <xf numFmtId="3" fontId="129" fillId="0" borderId="15" xfId="511" applyNumberFormat="1" applyFont="1" applyBorder="1" applyAlignment="1">
      <alignment horizontal="center" vertical="center" wrapText="1"/>
    </xf>
    <xf numFmtId="3" fontId="129" fillId="0" borderId="16" xfId="510" applyNumberFormat="1" applyFont="1" applyBorder="1" applyAlignment="1">
      <alignment horizontal="center" vertical="center" wrapText="1"/>
    </xf>
    <xf numFmtId="3" fontId="128" fillId="0" borderId="16" xfId="511" applyNumberFormat="1" applyFont="1" applyBorder="1" applyAlignment="1">
      <alignment horizontal="center" vertical="center" wrapText="1"/>
    </xf>
    <xf numFmtId="3" fontId="129" fillId="0" borderId="16" xfId="511" applyNumberFormat="1" applyFont="1" applyBorder="1" applyAlignment="1">
      <alignment horizontal="center" vertical="center" wrapText="1"/>
    </xf>
    <xf numFmtId="3" fontId="128" fillId="0" borderId="17" xfId="511" applyNumberFormat="1" applyFont="1" applyBorder="1" applyAlignment="1">
      <alignment horizontal="center" vertical="center" wrapText="1"/>
    </xf>
    <xf numFmtId="0" fontId="4" fillId="0" borderId="16" xfId="18" applyFont="1" applyBorder="1" applyAlignment="1">
      <alignment vertical="center" wrapText="1"/>
    </xf>
    <xf numFmtId="0" fontId="4" fillId="0" borderId="16" xfId="18" quotePrefix="1" applyFont="1" applyBorder="1" applyAlignment="1">
      <alignment horizontal="center" vertical="center" wrapText="1"/>
    </xf>
    <xf numFmtId="0" fontId="10" fillId="0" borderId="16" xfId="18" applyFont="1" applyBorder="1" applyAlignment="1">
      <alignment horizontal="center" vertical="center" wrapText="1"/>
    </xf>
    <xf numFmtId="0" fontId="23" fillId="2" borderId="0" xfId="16" applyFill="1"/>
    <xf numFmtId="0" fontId="15" fillId="2" borderId="0" xfId="16" applyFont="1" applyFill="1" applyAlignment="1">
      <alignment vertical="center"/>
    </xf>
    <xf numFmtId="0" fontId="15" fillId="0" borderId="0" xfId="16" applyFont="1" applyFill="1" applyAlignment="1">
      <alignment vertical="center"/>
    </xf>
    <xf numFmtId="0" fontId="15" fillId="2" borderId="0" xfId="16" applyFont="1" applyFill="1" applyAlignment="1">
      <alignment vertical="center" wrapText="1"/>
    </xf>
    <xf numFmtId="0" fontId="15" fillId="2" borderId="0" xfId="16" applyFont="1" applyFill="1" applyAlignment="1">
      <alignment horizontal="center" vertical="center" wrapText="1"/>
    </xf>
    <xf numFmtId="49" fontId="16" fillId="2" borderId="0" xfId="16" applyNumberFormat="1" applyFont="1" applyFill="1" applyAlignment="1">
      <alignment horizontal="center" vertical="center"/>
    </xf>
    <xf numFmtId="3" fontId="23" fillId="2" borderId="0" xfId="16" applyNumberFormat="1" applyFill="1"/>
    <xf numFmtId="0" fontId="143" fillId="2" borderId="1" xfId="16" applyNumberFormat="1" applyFont="1" applyFill="1" applyBorder="1" applyAlignment="1" applyProtection="1">
      <alignment horizontal="center" vertical="center" wrapText="1"/>
    </xf>
    <xf numFmtId="0" fontId="143" fillId="2" borderId="1" xfId="16" applyNumberFormat="1" applyFont="1" applyFill="1" applyBorder="1" applyAlignment="1">
      <alignment horizontal="center" vertical="center" wrapText="1"/>
    </xf>
    <xf numFmtId="49" fontId="16" fillId="2" borderId="0" xfId="16" applyNumberFormat="1" applyFont="1" applyFill="1" applyAlignment="1">
      <alignment horizontal="center" vertical="center" wrapText="1"/>
    </xf>
    <xf numFmtId="0" fontId="144" fillId="2" borderId="1" xfId="16" applyFont="1" applyFill="1" applyBorder="1" applyAlignment="1">
      <alignment horizontal="center" vertical="center" wrapText="1"/>
    </xf>
    <xf numFmtId="49" fontId="144" fillId="2" borderId="15" xfId="16" applyNumberFormat="1" applyFont="1" applyFill="1" applyBorder="1" applyAlignment="1">
      <alignment horizontal="center" vertical="center" wrapText="1"/>
    </xf>
    <xf numFmtId="0" fontId="144" fillId="2" borderId="15" xfId="16" applyFont="1" applyFill="1" applyBorder="1" applyAlignment="1">
      <alignment horizontal="center" vertical="center" wrapText="1"/>
    </xf>
    <xf numFmtId="219" fontId="144" fillId="2" borderId="15" xfId="2" applyNumberFormat="1" applyFont="1" applyFill="1" applyBorder="1" applyAlignment="1">
      <alignment horizontal="right" vertical="center" wrapText="1"/>
    </xf>
    <xf numFmtId="49" fontId="144" fillId="2" borderId="16" xfId="16" applyNumberFormat="1" applyFont="1" applyFill="1" applyBorder="1" applyAlignment="1">
      <alignment horizontal="center" vertical="center" wrapText="1"/>
    </xf>
    <xf numFmtId="49" fontId="144" fillId="2" borderId="16" xfId="16" applyNumberFormat="1" applyFont="1" applyFill="1" applyBorder="1" applyAlignment="1" applyProtection="1">
      <alignment vertical="center" wrapText="1"/>
    </xf>
    <xf numFmtId="49" fontId="144" fillId="2" borderId="16" xfId="16" applyNumberFormat="1" applyFont="1" applyFill="1" applyBorder="1" applyAlignment="1" applyProtection="1">
      <alignment horizontal="center" vertical="center" wrapText="1"/>
    </xf>
    <xf numFmtId="0" fontId="144" fillId="2" borderId="16" xfId="16" applyFont="1" applyFill="1" applyBorder="1" applyAlignment="1">
      <alignment horizontal="center" vertical="center" wrapText="1"/>
    </xf>
    <xf numFmtId="219" fontId="144" fillId="2" borderId="16" xfId="2" applyNumberFormat="1" applyFont="1" applyFill="1" applyBorder="1" applyAlignment="1">
      <alignment horizontal="right" vertical="center" wrapText="1"/>
    </xf>
    <xf numFmtId="49" fontId="145" fillId="2" borderId="16" xfId="16" applyNumberFormat="1" applyFont="1" applyFill="1" applyBorder="1" applyAlignment="1">
      <alignment horizontal="center" vertical="center" wrapText="1"/>
    </xf>
    <xf numFmtId="49" fontId="145" fillId="2" borderId="16" xfId="16" applyNumberFormat="1" applyFont="1" applyFill="1" applyBorder="1" applyAlignment="1" applyProtection="1">
      <alignment vertical="center" wrapText="1"/>
    </xf>
    <xf numFmtId="49" fontId="145" fillId="2" borderId="16" xfId="16" applyNumberFormat="1" applyFont="1" applyFill="1" applyBorder="1" applyAlignment="1" applyProtection="1">
      <alignment horizontal="center" vertical="center" wrapText="1"/>
    </xf>
    <xf numFmtId="0" fontId="145" fillId="2" borderId="16" xfId="16" applyFont="1" applyFill="1" applyBorder="1" applyAlignment="1">
      <alignment horizontal="center" vertical="center" wrapText="1"/>
    </xf>
    <xf numFmtId="219" fontId="145" fillId="2" borderId="16" xfId="2" applyNumberFormat="1" applyFont="1" applyFill="1" applyBorder="1" applyAlignment="1">
      <alignment horizontal="right" vertical="center" wrapText="1"/>
    </xf>
    <xf numFmtId="219" fontId="145" fillId="0" borderId="16" xfId="2" applyNumberFormat="1" applyFont="1" applyFill="1" applyBorder="1" applyAlignment="1">
      <alignment horizontal="right" vertical="center" wrapText="1"/>
    </xf>
    <xf numFmtId="49" fontId="145" fillId="2" borderId="16" xfId="0" applyNumberFormat="1" applyFont="1" applyFill="1" applyBorder="1" applyAlignment="1" applyProtection="1">
      <alignment vertical="center" wrapText="1"/>
    </xf>
    <xf numFmtId="49" fontId="145" fillId="2" borderId="16" xfId="0" applyNumberFormat="1" applyFont="1" applyFill="1" applyBorder="1" applyAlignment="1" applyProtection="1">
      <alignment horizontal="center" vertical="center" wrapText="1"/>
    </xf>
    <xf numFmtId="0" fontId="144" fillId="2" borderId="16" xfId="16" applyFont="1" applyFill="1" applyBorder="1" applyAlignment="1">
      <alignment horizontal="left" vertical="center" wrapText="1"/>
    </xf>
    <xf numFmtId="49" fontId="145" fillId="2" borderId="17" xfId="470" applyNumberFormat="1" applyFont="1" applyFill="1" applyBorder="1" applyAlignment="1">
      <alignment horizontal="center" vertical="center" wrapText="1"/>
    </xf>
    <xf numFmtId="49" fontId="145" fillId="2" borderId="17" xfId="0" applyNumberFormat="1" applyFont="1" applyFill="1" applyBorder="1" applyAlignment="1" applyProtection="1">
      <alignment vertical="center" wrapText="1"/>
    </xf>
    <xf numFmtId="49" fontId="145" fillId="2" borderId="17" xfId="0" applyNumberFormat="1" applyFont="1" applyFill="1" applyBorder="1" applyAlignment="1" applyProtection="1">
      <alignment horizontal="center" vertical="center" wrapText="1"/>
    </xf>
    <xf numFmtId="0" fontId="145" fillId="2" borderId="17" xfId="470" applyFont="1" applyFill="1" applyBorder="1" applyAlignment="1">
      <alignment horizontal="center" vertical="center" wrapText="1"/>
    </xf>
    <xf numFmtId="219" fontId="145" fillId="2" borderId="17" xfId="2" applyNumberFormat="1" applyFont="1" applyFill="1" applyBorder="1" applyAlignment="1">
      <alignment horizontal="right" vertical="center" wrapText="1"/>
    </xf>
    <xf numFmtId="219" fontId="145" fillId="0" borderId="17" xfId="2" applyNumberFormat="1" applyFont="1" applyFill="1" applyBorder="1" applyAlignment="1">
      <alignment horizontal="right" vertical="center" wrapText="1"/>
    </xf>
    <xf numFmtId="0" fontId="129" fillId="0" borderId="0" xfId="473" applyFont="1" applyAlignment="1">
      <alignment horizontal="center" vertical="center" wrapText="1"/>
    </xf>
    <xf numFmtId="0" fontId="133" fillId="0" borderId="9" xfId="472" applyFont="1" applyBorder="1" applyAlignment="1">
      <alignment horizontal="center" vertical="center" wrapText="1"/>
    </xf>
    <xf numFmtId="0" fontId="134" fillId="0" borderId="1" xfId="473" applyFont="1" applyBorder="1" applyAlignment="1">
      <alignment horizontal="center" vertical="center" wrapText="1"/>
    </xf>
    <xf numFmtId="0" fontId="130" fillId="0" borderId="16" xfId="473" applyFont="1" applyBorder="1" applyAlignment="1">
      <alignment vertical="center" wrapText="1"/>
    </xf>
    <xf numFmtId="0" fontId="130" fillId="0" borderId="17" xfId="473" quotePrefix="1" applyFont="1" applyBorder="1" applyAlignment="1">
      <alignment horizontal="center" vertical="center" wrapText="1"/>
    </xf>
    <xf numFmtId="0" fontId="130" fillId="0" borderId="17" xfId="473" applyFont="1" applyBorder="1" applyAlignment="1">
      <alignment horizontal="left" vertical="center" wrapText="1"/>
    </xf>
    <xf numFmtId="2" fontId="130" fillId="0" borderId="17" xfId="473" applyNumberFormat="1" applyFont="1" applyBorder="1" applyAlignment="1">
      <alignment horizontal="center" vertical="center" wrapText="1"/>
    </xf>
    <xf numFmtId="3" fontId="130" fillId="0" borderId="17" xfId="473" applyNumberFormat="1" applyFont="1" applyBorder="1" applyAlignment="1">
      <alignment horizontal="right" vertical="center" wrapText="1"/>
    </xf>
    <xf numFmtId="0" fontId="130" fillId="0" borderId="17" xfId="473" applyFont="1" applyBorder="1" applyAlignment="1">
      <alignment horizontal="center" vertical="center" wrapText="1"/>
    </xf>
    <xf numFmtId="217" fontId="134" fillId="0" borderId="16" xfId="473" applyNumberFormat="1" applyFont="1" applyBorder="1" applyAlignment="1">
      <alignment horizontal="center" vertical="center" wrapText="1"/>
    </xf>
    <xf numFmtId="217" fontId="130" fillId="0" borderId="16" xfId="473" applyNumberFormat="1" applyFont="1" applyBorder="1" applyAlignment="1">
      <alignment horizontal="center" vertical="center" wrapText="1"/>
    </xf>
    <xf numFmtId="217" fontId="134" fillId="0" borderId="15" xfId="473" applyNumberFormat="1" applyFont="1" applyBorder="1" applyAlignment="1">
      <alignment horizontal="center" vertical="center" wrapText="1"/>
    </xf>
    <xf numFmtId="3" fontId="137" fillId="0" borderId="16" xfId="473" applyNumberFormat="1" applyFont="1" applyBorder="1" applyAlignment="1">
      <alignment horizontal="right" vertical="center" wrapText="1"/>
    </xf>
    <xf numFmtId="0" fontId="137" fillId="0" borderId="16" xfId="473" applyFont="1" applyBorder="1" applyAlignment="1">
      <alignment vertical="center" wrapText="1"/>
    </xf>
    <xf numFmtId="0" fontId="134" fillId="27" borderId="16" xfId="473" quotePrefix="1" applyFont="1" applyFill="1" applyBorder="1" applyAlignment="1">
      <alignment horizontal="center" vertical="center" wrapText="1"/>
    </xf>
    <xf numFmtId="0" fontId="134" fillId="27" borderId="16" xfId="473" applyFont="1" applyFill="1" applyBorder="1" applyAlignment="1">
      <alignment horizontal="center" vertical="center" wrapText="1"/>
    </xf>
    <xf numFmtId="2" fontId="134" fillId="27" borderId="16" xfId="473" applyNumberFormat="1" applyFont="1" applyFill="1" applyBorder="1" applyAlignment="1">
      <alignment horizontal="center" vertical="center" wrapText="1"/>
    </xf>
    <xf numFmtId="217" fontId="134" fillId="27" borderId="16" xfId="473" applyNumberFormat="1" applyFont="1" applyFill="1" applyBorder="1" applyAlignment="1">
      <alignment horizontal="center" vertical="center" wrapText="1"/>
    </xf>
    <xf numFmtId="3" fontId="134" fillId="27" borderId="16" xfId="473" applyNumberFormat="1" applyFont="1" applyFill="1" applyBorder="1" applyAlignment="1">
      <alignment horizontal="right" vertical="center" wrapText="1"/>
    </xf>
    <xf numFmtId="0" fontId="130" fillId="27" borderId="16" xfId="473" applyFont="1" applyFill="1" applyBorder="1" applyAlignment="1">
      <alignment horizontal="center" vertical="center" wrapText="1"/>
    </xf>
    <xf numFmtId="0" fontId="130" fillId="0" borderId="16" xfId="473" applyFont="1" applyFill="1" applyBorder="1" applyAlignment="1">
      <alignment horizontal="center" vertical="center" wrapText="1"/>
    </xf>
    <xf numFmtId="0" fontId="130" fillId="0" borderId="16" xfId="473" applyFont="1" applyBorder="1" applyAlignment="1">
      <alignment horizontal="center" vertical="center" wrapText="1"/>
    </xf>
    <xf numFmtId="0" fontId="130" fillId="0" borderId="16" xfId="0" quotePrefix="1" applyFont="1" applyFill="1" applyBorder="1" applyAlignment="1">
      <alignment horizontal="center" vertical="center" wrapText="1"/>
    </xf>
    <xf numFmtId="0" fontId="130" fillId="0" borderId="16" xfId="0" applyFont="1" applyFill="1" applyBorder="1" applyAlignment="1">
      <alignment horizontal="left" vertical="center" wrapText="1"/>
    </xf>
    <xf numFmtId="0" fontId="130" fillId="0" borderId="16" xfId="0" applyFont="1" applyFill="1" applyBorder="1" applyAlignment="1">
      <alignment horizontal="center" vertical="center" wrapText="1"/>
    </xf>
    <xf numFmtId="3" fontId="130" fillId="0" borderId="16" xfId="0" applyNumberFormat="1" applyFont="1" applyFill="1" applyBorder="1" applyAlignment="1">
      <alignment horizontal="right" vertical="center" wrapText="1"/>
    </xf>
    <xf numFmtId="0" fontId="137" fillId="0" borderId="16" xfId="0" applyFont="1" applyFill="1" applyBorder="1" applyAlignment="1">
      <alignment horizontal="center" vertical="center" wrapText="1"/>
    </xf>
    <xf numFmtId="0" fontId="137" fillId="0" borderId="16" xfId="0" applyFont="1" applyFill="1" applyBorder="1" applyAlignment="1">
      <alignment horizontal="left" vertical="center" wrapText="1"/>
    </xf>
    <xf numFmtId="3" fontId="137" fillId="0" borderId="16" xfId="0" applyNumberFormat="1" applyFont="1" applyFill="1" applyBorder="1" applyAlignment="1">
      <alignment horizontal="right" vertical="center" wrapText="1"/>
    </xf>
    <xf numFmtId="0" fontId="137" fillId="0" borderId="16" xfId="0" quotePrefix="1" applyFont="1" applyFill="1" applyBorder="1" applyAlignment="1">
      <alignment horizontal="center" vertical="center" wrapText="1"/>
    </xf>
    <xf numFmtId="0" fontId="137" fillId="0" borderId="16" xfId="0" quotePrefix="1" applyFont="1" applyFill="1" applyBorder="1" applyAlignment="1">
      <alignment horizontal="left" vertical="center" wrapText="1"/>
    </xf>
    <xf numFmtId="3" fontId="137" fillId="0" borderId="16" xfId="0" applyNumberFormat="1" applyFont="1" applyFill="1" applyBorder="1" applyAlignment="1">
      <alignment horizontal="center" vertical="center" wrapText="1"/>
    </xf>
    <xf numFmtId="0" fontId="130" fillId="0" borderId="16" xfId="0" quotePrefix="1" applyFont="1" applyFill="1" applyBorder="1" applyAlignment="1">
      <alignment horizontal="left" vertical="center" wrapText="1"/>
    </xf>
    <xf numFmtId="3" fontId="130" fillId="0" borderId="16" xfId="0" applyNumberFormat="1" applyFont="1" applyFill="1" applyBorder="1" applyAlignment="1">
      <alignment horizontal="center" vertical="center" wrapText="1"/>
    </xf>
    <xf numFmtId="3" fontId="130" fillId="0" borderId="16" xfId="0" quotePrefix="1" applyNumberFormat="1" applyFont="1" applyFill="1" applyBorder="1" applyAlignment="1">
      <alignment horizontal="center" vertical="center" wrapText="1"/>
    </xf>
    <xf numFmtId="3" fontId="130" fillId="0" borderId="16" xfId="0" quotePrefix="1" applyNumberFormat="1" applyFont="1" applyFill="1" applyBorder="1" applyAlignment="1">
      <alignment horizontal="right" vertical="center" wrapText="1"/>
    </xf>
    <xf numFmtId="169" fontId="130" fillId="0" borderId="16" xfId="101" applyNumberFormat="1" applyFont="1" applyFill="1" applyBorder="1" applyAlignment="1">
      <alignment horizontal="right" vertical="center" wrapText="1"/>
    </xf>
    <xf numFmtId="166" fontId="130" fillId="0" borderId="16" xfId="512" applyFont="1" applyFill="1" applyBorder="1" applyAlignment="1">
      <alignment horizontal="center" vertical="center" wrapText="1"/>
    </xf>
    <xf numFmtId="37" fontId="130" fillId="0" borderId="16" xfId="0" applyNumberFormat="1" applyFont="1" applyFill="1" applyBorder="1" applyAlignment="1">
      <alignment horizontal="right" vertical="center" wrapText="1"/>
    </xf>
    <xf numFmtId="0" fontId="11" fillId="0" borderId="0" xfId="510" applyFont="1" applyAlignment="1">
      <alignment horizontal="center" vertical="center" wrapText="1"/>
    </xf>
    <xf numFmtId="3" fontId="130" fillId="0" borderId="16" xfId="473" applyNumberFormat="1" applyFont="1" applyBorder="1" applyAlignment="1">
      <alignment horizontal="center" vertical="center" wrapText="1"/>
    </xf>
    <xf numFmtId="220" fontId="144" fillId="0" borderId="1" xfId="513" applyNumberFormat="1" applyFont="1" applyFill="1" applyBorder="1" applyAlignment="1">
      <alignment horizontal="center" vertical="center" wrapText="1"/>
    </xf>
    <xf numFmtId="0" fontId="15" fillId="2" borderId="0" xfId="516" applyFont="1" applyFill="1" applyAlignment="1">
      <alignment vertical="center"/>
    </xf>
    <xf numFmtId="0" fontId="15" fillId="2" borderId="0" xfId="516" applyFont="1" applyFill="1" applyAlignment="1">
      <alignment vertical="center" wrapText="1"/>
    </xf>
    <xf numFmtId="171" fontId="15" fillId="2" borderId="0" xfId="516" applyNumberFormat="1" applyFont="1" applyFill="1" applyAlignment="1">
      <alignment vertical="center"/>
    </xf>
    <xf numFmtId="169" fontId="15" fillId="2" borderId="0" xfId="514" applyNumberFormat="1" applyFont="1" applyFill="1" applyAlignment="1">
      <alignment vertical="center"/>
    </xf>
    <xf numFmtId="169" fontId="15" fillId="2" borderId="0" xfId="514" applyNumberFormat="1" applyFont="1" applyFill="1" applyAlignment="1">
      <alignment vertical="center" wrapText="1"/>
    </xf>
    <xf numFmtId="202" fontId="15" fillId="2" borderId="0" xfId="516" applyNumberFormat="1" applyFont="1" applyFill="1" applyAlignment="1">
      <alignment vertical="center"/>
    </xf>
    <xf numFmtId="3" fontId="15" fillId="2" borderId="0" xfId="516" applyNumberFormat="1" applyFont="1" applyFill="1" applyAlignment="1">
      <alignment vertical="center"/>
    </xf>
    <xf numFmtId="0" fontId="95" fillId="2" borderId="0" xfId="516" applyFont="1" applyFill="1" applyAlignment="1">
      <alignment vertical="center" wrapText="1"/>
    </xf>
    <xf numFmtId="0" fontId="15" fillId="2" borderId="0" xfId="516" applyFont="1" applyFill="1" applyAlignment="1">
      <alignment horizontal="center" vertical="center"/>
    </xf>
    <xf numFmtId="169" fontId="15" fillId="2" borderId="0" xfId="514" applyNumberFormat="1" applyFont="1" applyFill="1" applyBorder="1" applyAlignment="1">
      <alignment vertical="center" wrapText="1"/>
    </xf>
    <xf numFmtId="0" fontId="16" fillId="2" borderId="0" xfId="516" applyFont="1" applyFill="1" applyAlignment="1">
      <alignment vertical="center"/>
    </xf>
    <xf numFmtId="0" fontId="16" fillId="2" borderId="0" xfId="516" applyFont="1" applyFill="1" applyAlignment="1">
      <alignment vertical="center" wrapText="1"/>
    </xf>
    <xf numFmtId="171" fontId="16" fillId="2" borderId="0" xfId="516" applyNumberFormat="1" applyFont="1" applyFill="1" applyAlignment="1">
      <alignment vertical="center"/>
    </xf>
    <xf numFmtId="169" fontId="16" fillId="2" borderId="0" xfId="514" applyNumberFormat="1" applyFont="1" applyFill="1" applyAlignment="1">
      <alignment vertical="center"/>
    </xf>
    <xf numFmtId="169" fontId="16" fillId="2" borderId="0" xfId="514" applyNumberFormat="1" applyFont="1" applyFill="1" applyBorder="1" applyAlignment="1">
      <alignment vertical="center" wrapText="1"/>
    </xf>
    <xf numFmtId="0" fontId="21" fillId="2" borderId="16" xfId="516" applyFont="1" applyFill="1" applyBorder="1" applyAlignment="1">
      <alignment vertical="center" wrapText="1"/>
    </xf>
    <xf numFmtId="202" fontId="16" fillId="2" borderId="0" xfId="516" applyNumberFormat="1" applyFont="1" applyFill="1" applyBorder="1" applyAlignment="1">
      <alignment vertical="center"/>
    </xf>
    <xf numFmtId="202" fontId="16" fillId="2" borderId="19" xfId="516" applyNumberFormat="1" applyFont="1" applyFill="1" applyBorder="1" applyAlignment="1">
      <alignment vertical="center"/>
    </xf>
    <xf numFmtId="169" fontId="15" fillId="2" borderId="0" xfId="516" applyNumberFormat="1" applyFont="1" applyFill="1" applyAlignment="1">
      <alignment vertical="center"/>
    </xf>
    <xf numFmtId="169" fontId="15" fillId="2" borderId="0" xfId="514" applyNumberFormat="1" applyFont="1" applyFill="1" applyBorder="1" applyAlignment="1">
      <alignment vertical="center"/>
    </xf>
    <xf numFmtId="169" fontId="145" fillId="2" borderId="16" xfId="514" applyNumberFormat="1" applyFont="1" applyFill="1" applyBorder="1" applyAlignment="1">
      <alignment vertical="center" wrapText="1"/>
    </xf>
    <xf numFmtId="3" fontId="16" fillId="2" borderId="0" xfId="516" applyNumberFormat="1" applyFont="1" applyFill="1" applyAlignment="1">
      <alignment horizontal="center" vertical="center"/>
    </xf>
    <xf numFmtId="169" fontId="145" fillId="2" borderId="0" xfId="514" applyNumberFormat="1" applyFont="1" applyFill="1" applyBorder="1" applyAlignment="1">
      <alignment vertical="center" wrapText="1"/>
    </xf>
    <xf numFmtId="0" fontId="95" fillId="2" borderId="0" xfId="516" applyFont="1" applyFill="1" applyAlignment="1">
      <alignment vertical="center"/>
    </xf>
    <xf numFmtId="171" fontId="95" fillId="2" borderId="0" xfId="516" applyNumberFormat="1" applyFont="1" applyFill="1" applyAlignment="1">
      <alignment vertical="center"/>
    </xf>
    <xf numFmtId="169" fontId="95" fillId="2" borderId="0" xfId="514" applyNumberFormat="1" applyFont="1" applyFill="1" applyAlignment="1">
      <alignment vertical="center"/>
    </xf>
    <xf numFmtId="169" fontId="16" fillId="2" borderId="0" xfId="514" applyNumberFormat="1" applyFont="1" applyFill="1" applyAlignment="1">
      <alignment horizontal="center" vertical="center"/>
    </xf>
    <xf numFmtId="3" fontId="95" fillId="2" borderId="0" xfId="516" applyNumberFormat="1" applyFont="1" applyFill="1" applyAlignment="1">
      <alignment vertical="center"/>
    </xf>
    <xf numFmtId="202" fontId="21" fillId="2" borderId="0" xfId="514" applyNumberFormat="1" applyFont="1" applyFill="1" applyBorder="1" applyAlignment="1">
      <alignment vertical="center"/>
    </xf>
    <xf numFmtId="202" fontId="21" fillId="2" borderId="4" xfId="514" applyNumberFormat="1" applyFont="1" applyFill="1" applyBorder="1" applyAlignment="1">
      <alignment vertical="center"/>
    </xf>
    <xf numFmtId="169" fontId="95" fillId="2" borderId="0" xfId="514" applyNumberFormat="1" applyFont="1" applyFill="1" applyBorder="1" applyAlignment="1">
      <alignment vertical="center"/>
    </xf>
    <xf numFmtId="202" fontId="21" fillId="2" borderId="1" xfId="514" applyNumberFormat="1" applyFont="1" applyFill="1" applyBorder="1" applyAlignment="1">
      <alignment vertical="center"/>
    </xf>
    <xf numFmtId="0" fontId="145" fillId="2" borderId="0" xfId="516" applyFont="1" applyFill="1" applyAlignment="1">
      <alignment vertical="center"/>
    </xf>
    <xf numFmtId="171" fontId="145" fillId="2" borderId="0" xfId="516" applyNumberFormat="1" applyFont="1" applyFill="1" applyAlignment="1">
      <alignment vertical="center"/>
    </xf>
    <xf numFmtId="169" fontId="145" fillId="2" borderId="0" xfId="514" applyNumberFormat="1" applyFont="1" applyFill="1" applyAlignment="1">
      <alignment vertical="center"/>
    </xf>
    <xf numFmtId="169" fontId="145" fillId="2" borderId="0" xfId="514" applyNumberFormat="1" applyFont="1" applyFill="1" applyBorder="1" applyAlignment="1">
      <alignment vertical="center"/>
    </xf>
    <xf numFmtId="169" fontId="21" fillId="2" borderId="0" xfId="514" applyNumberFormat="1" applyFont="1" applyFill="1" applyBorder="1" applyAlignment="1">
      <alignment horizontal="center" vertical="center" wrapText="1"/>
    </xf>
    <xf numFmtId="169" fontId="46" fillId="2" borderId="0" xfId="514" applyNumberFormat="1" applyFont="1" applyFill="1" applyBorder="1" applyAlignment="1">
      <alignment horizontal="right" vertical="center"/>
    </xf>
    <xf numFmtId="202" fontId="15" fillId="2" borderId="0" xfId="514" applyNumberFormat="1" applyFont="1" applyFill="1" applyAlignment="1">
      <alignment vertical="center"/>
    </xf>
    <xf numFmtId="3" fontId="46" fillId="2" borderId="0" xfId="516" applyNumberFormat="1" applyFont="1" applyFill="1" applyAlignment="1">
      <alignment horizontal="center" vertical="center" wrapText="1"/>
    </xf>
    <xf numFmtId="0" fontId="46" fillId="2" borderId="0" xfId="516" applyFont="1" applyFill="1" applyAlignment="1">
      <alignment horizontal="center" vertical="center" wrapText="1"/>
    </xf>
    <xf numFmtId="0" fontId="22" fillId="2" borderId="0" xfId="516" applyFont="1" applyFill="1" applyAlignment="1">
      <alignment horizontal="center" vertical="center" wrapText="1"/>
    </xf>
    <xf numFmtId="169" fontId="22" fillId="2" borderId="0" xfId="514" applyNumberFormat="1" applyFont="1" applyFill="1" applyAlignment="1">
      <alignment horizontal="right" vertical="center"/>
    </xf>
    <xf numFmtId="0" fontId="16" fillId="0" borderId="0" xfId="67" applyFont="1" applyAlignment="1">
      <alignment horizontal="center" vertical="center" wrapText="1"/>
    </xf>
    <xf numFmtId="0" fontId="15" fillId="0" borderId="0" xfId="67" applyFont="1" applyAlignment="1">
      <alignment horizontal="center" vertical="center" wrapText="1"/>
    </xf>
    <xf numFmtId="0" fontId="19" fillId="0" borderId="0" xfId="67" applyFont="1" applyAlignment="1">
      <alignment horizontal="center" vertical="center" wrapText="1"/>
    </xf>
    <xf numFmtId="0" fontId="24" fillId="0" borderId="0" xfId="67" applyFont="1" applyAlignment="1">
      <alignment horizontal="center" vertical="center" wrapText="1"/>
    </xf>
    <xf numFmtId="220" fontId="145" fillId="0" borderId="0" xfId="513" applyNumberFormat="1" applyFont="1" applyFill="1" applyAlignment="1">
      <alignment horizontal="center" vertical="center" wrapText="1"/>
    </xf>
    <xf numFmtId="0" fontId="150" fillId="0" borderId="0" xfId="516" applyFont="1" applyAlignment="1">
      <alignment horizontal="center" vertical="center" wrapText="1"/>
    </xf>
    <xf numFmtId="0" fontId="145" fillId="0" borderId="0" xfId="67" applyFont="1" applyAlignment="1">
      <alignment horizontal="center" vertical="center" wrapText="1"/>
    </xf>
    <xf numFmtId="3" fontId="144" fillId="0" borderId="1" xfId="513" applyNumberFormat="1" applyFont="1" applyFill="1" applyBorder="1" applyAlignment="1">
      <alignment horizontal="center" vertical="center" wrapText="1"/>
    </xf>
    <xf numFmtId="43" fontId="144" fillId="0" borderId="0" xfId="67" applyNumberFormat="1" applyFont="1" applyAlignment="1">
      <alignment horizontal="center" vertical="center" wrapText="1"/>
    </xf>
    <xf numFmtId="0" fontId="144" fillId="0" borderId="0" xfId="67" applyFont="1" applyAlignment="1">
      <alignment horizontal="center" vertical="center" wrapText="1"/>
    </xf>
    <xf numFmtId="3" fontId="145" fillId="0" borderId="1" xfId="513" applyNumberFormat="1" applyFont="1" applyFill="1" applyBorder="1" applyAlignment="1">
      <alignment horizontal="center" vertical="center" wrapText="1"/>
    </xf>
    <xf numFmtId="169" fontId="149" fillId="0" borderId="0" xfId="67" applyNumberFormat="1" applyFont="1" applyAlignment="1">
      <alignment horizontal="center" vertical="center" wrapText="1"/>
    </xf>
    <xf numFmtId="43" fontId="149" fillId="0" borderId="0" xfId="67" applyNumberFormat="1" applyFont="1" applyAlignment="1">
      <alignment horizontal="center" vertical="center" wrapText="1"/>
    </xf>
    <xf numFmtId="3" fontId="24" fillId="0" borderId="0" xfId="67" applyNumberFormat="1" applyFont="1" applyAlignment="1">
      <alignment horizontal="center" vertical="center" wrapText="1"/>
    </xf>
    <xf numFmtId="0" fontId="24" fillId="0" borderId="1" xfId="67" applyFont="1" applyBorder="1" applyAlignment="1">
      <alignment horizontal="center" vertical="center" wrapText="1"/>
    </xf>
    <xf numFmtId="0" fontId="146" fillId="0" borderId="1" xfId="67" applyFont="1" applyBorder="1" applyAlignment="1">
      <alignment horizontal="center" vertical="center" wrapText="1"/>
    </xf>
    <xf numFmtId="0" fontId="144" fillId="0" borderId="15" xfId="67" applyFont="1" applyBorder="1" applyAlignment="1">
      <alignment horizontal="center" vertical="center" wrapText="1"/>
    </xf>
    <xf numFmtId="167" fontId="145" fillId="0" borderId="15" xfId="513" applyNumberFormat="1" applyFont="1" applyFill="1" applyBorder="1" applyAlignment="1">
      <alignment horizontal="center" vertical="center" wrapText="1"/>
    </xf>
    <xf numFmtId="0" fontId="144" fillId="0" borderId="16" xfId="67" applyFont="1" applyBorder="1" applyAlignment="1">
      <alignment horizontal="center" vertical="center" wrapText="1"/>
    </xf>
    <xf numFmtId="167" fontId="145" fillId="0" borderId="16" xfId="513" applyNumberFormat="1" applyFont="1" applyFill="1" applyBorder="1" applyAlignment="1">
      <alignment horizontal="center" vertical="center" wrapText="1"/>
    </xf>
    <xf numFmtId="0" fontId="145" fillId="0" borderId="16" xfId="84" applyFont="1" applyBorder="1" applyAlignment="1">
      <alignment horizontal="center" vertical="center" wrapText="1"/>
    </xf>
    <xf numFmtId="168" fontId="145" fillId="0" borderId="16" xfId="513" applyNumberFormat="1" applyFont="1" applyFill="1" applyBorder="1" applyAlignment="1">
      <alignment horizontal="center" vertical="center" wrapText="1"/>
    </xf>
    <xf numFmtId="0" fontId="144" fillId="0" borderId="16" xfId="84" applyFont="1" applyBorder="1" applyAlignment="1">
      <alignment horizontal="center" vertical="center" wrapText="1"/>
    </xf>
    <xf numFmtId="168" fontId="144" fillId="0" borderId="16" xfId="513" applyNumberFormat="1" applyFont="1" applyFill="1" applyBorder="1" applyAlignment="1">
      <alignment horizontal="center" vertical="center" wrapText="1"/>
    </xf>
    <xf numFmtId="0" fontId="147" fillId="0" borderId="16" xfId="67" applyFont="1" applyBorder="1" applyAlignment="1">
      <alignment horizontal="center" vertical="center" wrapText="1"/>
    </xf>
    <xf numFmtId="0" fontId="145" fillId="0" borderId="17" xfId="84" applyFont="1" applyBorder="1" applyAlignment="1">
      <alignment horizontal="center" vertical="center" wrapText="1"/>
    </xf>
    <xf numFmtId="0" fontId="147" fillId="0" borderId="17" xfId="67" applyFont="1" applyBorder="1" applyAlignment="1">
      <alignment horizontal="center" vertical="center" wrapText="1"/>
    </xf>
    <xf numFmtId="0" fontId="13" fillId="0" borderId="16" xfId="515" applyFont="1" applyBorder="1" applyAlignment="1">
      <alignment horizontal="left" vertical="center" wrapText="1"/>
    </xf>
    <xf numFmtId="0" fontId="145" fillId="0" borderId="17" xfId="67" applyFont="1" applyBorder="1" applyAlignment="1">
      <alignment horizontal="left" vertical="center" wrapText="1"/>
    </xf>
    <xf numFmtId="0" fontId="145" fillId="0" borderId="16" xfId="515" applyFont="1" applyBorder="1" applyAlignment="1">
      <alignment horizontal="left" vertical="center" wrapText="1"/>
    </xf>
    <xf numFmtId="165" fontId="144" fillId="0" borderId="15" xfId="514" applyFont="1" applyFill="1" applyBorder="1" applyAlignment="1">
      <alignment horizontal="right" vertical="center" wrapText="1"/>
    </xf>
    <xf numFmtId="3" fontId="144" fillId="0" borderId="15" xfId="513" applyNumberFormat="1" applyFont="1" applyFill="1" applyBorder="1" applyAlignment="1">
      <alignment horizontal="right" vertical="center" wrapText="1"/>
    </xf>
    <xf numFmtId="165" fontId="144" fillId="0" borderId="16" xfId="514" applyFont="1" applyFill="1" applyBorder="1" applyAlignment="1">
      <alignment horizontal="right" vertical="center" wrapText="1"/>
    </xf>
    <xf numFmtId="3" fontId="144" fillId="0" borderId="16" xfId="513" applyNumberFormat="1" applyFont="1" applyFill="1" applyBorder="1" applyAlignment="1">
      <alignment horizontal="right" vertical="center" wrapText="1"/>
    </xf>
    <xf numFmtId="165" fontId="145" fillId="0" borderId="16" xfId="514" applyFont="1" applyFill="1" applyBorder="1" applyAlignment="1">
      <alignment horizontal="right" vertical="center" wrapText="1"/>
    </xf>
    <xf numFmtId="3" fontId="145" fillId="0" borderId="16" xfId="513" applyNumberFormat="1" applyFont="1" applyFill="1" applyBorder="1" applyAlignment="1">
      <alignment horizontal="right" vertical="center" wrapText="1"/>
    </xf>
    <xf numFmtId="165" fontId="145" fillId="0" borderId="17" xfId="514" applyFont="1" applyFill="1" applyBorder="1" applyAlignment="1">
      <alignment horizontal="right" vertical="center" wrapText="1"/>
    </xf>
    <xf numFmtId="3" fontId="145" fillId="0" borderId="17" xfId="513" applyNumberFormat="1" applyFont="1" applyFill="1" applyBorder="1" applyAlignment="1">
      <alignment horizontal="right" vertical="center" wrapText="1"/>
    </xf>
    <xf numFmtId="3" fontId="145" fillId="0" borderId="0" xfId="67" applyNumberFormat="1" applyFont="1" applyAlignment="1">
      <alignment horizontal="center" vertical="center" wrapText="1"/>
    </xf>
    <xf numFmtId="221" fontId="145" fillId="0" borderId="0" xfId="67" applyNumberFormat="1" applyFont="1" applyAlignment="1">
      <alignment horizontal="center" vertical="center" wrapText="1"/>
    </xf>
    <xf numFmtId="0" fontId="146" fillId="0" borderId="16" xfId="67" applyFont="1" applyBorder="1" applyAlignment="1">
      <alignment horizontal="left" vertical="center" wrapText="1"/>
    </xf>
    <xf numFmtId="222" fontId="145" fillId="0" borderId="0" xfId="67" applyNumberFormat="1" applyFont="1" applyAlignment="1">
      <alignment horizontal="center" vertical="center" wrapText="1"/>
    </xf>
    <xf numFmtId="0" fontId="134" fillId="28" borderId="16" xfId="0" applyFont="1" applyFill="1" applyBorder="1" applyAlignment="1">
      <alignment horizontal="center" vertical="center" wrapText="1"/>
    </xf>
    <xf numFmtId="0" fontId="134" fillId="28" borderId="16" xfId="0" applyFont="1" applyFill="1" applyBorder="1" applyAlignment="1">
      <alignment horizontal="left" vertical="center" wrapText="1"/>
    </xf>
    <xf numFmtId="169" fontId="134" fillId="28" borderId="16" xfId="101" applyNumberFormat="1" applyFont="1" applyFill="1" applyBorder="1" applyAlignment="1">
      <alignment horizontal="right" vertical="center" wrapText="1"/>
    </xf>
    <xf numFmtId="3" fontId="134" fillId="28" borderId="16" xfId="473" applyNumberFormat="1" applyFont="1" applyFill="1" applyBorder="1" applyAlignment="1">
      <alignment horizontal="right" vertical="center" wrapText="1"/>
    </xf>
    <xf numFmtId="0" fontId="130" fillId="28" borderId="16" xfId="473" applyFont="1" applyFill="1" applyBorder="1" applyAlignment="1">
      <alignment vertical="center" wrapText="1"/>
    </xf>
    <xf numFmtId="0" fontId="134" fillId="28" borderId="16" xfId="0" applyFont="1" applyFill="1" applyBorder="1" applyAlignment="1">
      <alignment vertical="center" wrapText="1"/>
    </xf>
    <xf numFmtId="0" fontId="134" fillId="28" borderId="16" xfId="473" applyFont="1" applyFill="1" applyBorder="1" applyAlignment="1">
      <alignment vertical="center" wrapText="1"/>
    </xf>
    <xf numFmtId="3" fontId="134" fillId="28" borderId="16" xfId="0" applyNumberFormat="1" applyFont="1" applyFill="1" applyBorder="1" applyAlignment="1">
      <alignment horizontal="right" vertical="center" wrapText="1"/>
    </xf>
    <xf numFmtId="3" fontId="134" fillId="28" borderId="16" xfId="0" applyNumberFormat="1" applyFont="1" applyFill="1" applyBorder="1" applyAlignment="1">
      <alignment horizontal="center" vertical="center" wrapText="1"/>
    </xf>
    <xf numFmtId="0" fontId="130" fillId="28" borderId="16" xfId="0" applyFont="1" applyFill="1" applyBorder="1" applyAlignment="1">
      <alignment horizontal="center" vertical="center" wrapText="1"/>
    </xf>
    <xf numFmtId="3" fontId="130" fillId="28" borderId="16" xfId="0" applyNumberFormat="1" applyFont="1" applyFill="1" applyBorder="1" applyAlignment="1">
      <alignment horizontal="right" vertical="center" wrapText="1"/>
    </xf>
    <xf numFmtId="0" fontId="136" fillId="28" borderId="16" xfId="473" applyFont="1" applyFill="1" applyBorder="1" applyAlignment="1">
      <alignment vertical="center" wrapText="1"/>
    </xf>
    <xf numFmtId="0" fontId="134" fillId="28" borderId="16" xfId="473" applyFont="1" applyFill="1" applyBorder="1" applyAlignment="1">
      <alignment horizontal="center" vertical="center" wrapText="1"/>
    </xf>
    <xf numFmtId="0" fontId="134" fillId="28" borderId="16" xfId="0" quotePrefix="1" applyFont="1" applyFill="1" applyBorder="1" applyAlignment="1">
      <alignment horizontal="center" vertical="center" wrapText="1"/>
    </xf>
    <xf numFmtId="166" fontId="134" fillId="28" borderId="16" xfId="512" applyFont="1" applyFill="1" applyBorder="1" applyAlignment="1">
      <alignment horizontal="center" vertical="center" wrapText="1"/>
    </xf>
    <xf numFmtId="169" fontId="40" fillId="2" borderId="0" xfId="514" applyNumberFormat="1" applyFont="1" applyFill="1" applyAlignment="1">
      <alignment horizontal="right" vertical="center"/>
    </xf>
    <xf numFmtId="0" fontId="152" fillId="2" borderId="1" xfId="516" applyNumberFormat="1" applyFont="1" applyFill="1" applyBorder="1" applyAlignment="1">
      <alignment horizontal="center" vertical="center"/>
    </xf>
    <xf numFmtId="0" fontId="152" fillId="2" borderId="1" xfId="516" applyNumberFormat="1" applyFont="1" applyFill="1" applyBorder="1" applyAlignment="1">
      <alignment horizontal="center" vertical="center" wrapText="1"/>
    </xf>
    <xf numFmtId="0" fontId="152" fillId="2" borderId="1" xfId="51" applyNumberFormat="1" applyFont="1" applyFill="1" applyBorder="1" applyAlignment="1">
      <alignment horizontal="center" vertical="center" wrapText="1"/>
    </xf>
    <xf numFmtId="0" fontId="152" fillId="2" borderId="1" xfId="514" applyNumberFormat="1" applyFont="1" applyFill="1" applyBorder="1" applyAlignment="1">
      <alignment horizontal="center" vertical="center"/>
    </xf>
    <xf numFmtId="0" fontId="153" fillId="2" borderId="18" xfId="516" applyFont="1" applyFill="1" applyBorder="1" applyAlignment="1">
      <alignment horizontal="center" vertical="center"/>
    </xf>
    <xf numFmtId="0" fontId="153" fillId="2" borderId="18" xfId="516" applyFont="1" applyFill="1" applyBorder="1" applyAlignment="1">
      <alignment vertical="center" wrapText="1"/>
    </xf>
    <xf numFmtId="202" fontId="144" fillId="2" borderId="1" xfId="514" applyNumberFormat="1" applyFont="1" applyFill="1" applyBorder="1" applyAlignment="1">
      <alignment vertical="center"/>
    </xf>
    <xf numFmtId="0" fontId="144" fillId="2" borderId="15" xfId="516" applyFont="1" applyFill="1" applyBorder="1" applyAlignment="1">
      <alignment horizontal="center" vertical="center"/>
    </xf>
    <xf numFmtId="0" fontId="145" fillId="2" borderId="16" xfId="516" applyFont="1" applyFill="1" applyBorder="1" applyAlignment="1">
      <alignment horizontal="center" vertical="center"/>
    </xf>
    <xf numFmtId="0" fontId="145" fillId="2" borderId="16" xfId="516" applyFont="1" applyFill="1" applyBorder="1" applyAlignment="1">
      <alignment vertical="center" wrapText="1"/>
    </xf>
    <xf numFmtId="3" fontId="145" fillId="2" borderId="16" xfId="516" applyNumberFormat="1" applyFont="1" applyFill="1" applyBorder="1" applyAlignment="1">
      <alignment vertical="center"/>
    </xf>
    <xf numFmtId="0" fontId="144" fillId="2" borderId="16" xfId="516" applyFont="1" applyFill="1" applyBorder="1" applyAlignment="1">
      <alignment horizontal="center" vertical="center"/>
    </xf>
    <xf numFmtId="0" fontId="144" fillId="2" borderId="16" xfId="516" applyFont="1" applyFill="1" applyBorder="1" applyAlignment="1">
      <alignment vertical="center" wrapText="1"/>
    </xf>
    <xf numFmtId="3" fontId="144" fillId="2" borderId="16" xfId="516" applyNumberFormat="1" applyFont="1" applyFill="1" applyBorder="1" applyAlignment="1">
      <alignment vertical="center"/>
    </xf>
    <xf numFmtId="169" fontId="145" fillId="2" borderId="16" xfId="514" applyNumberFormat="1" applyFont="1" applyFill="1" applyBorder="1" applyAlignment="1">
      <alignment vertical="center"/>
    </xf>
    <xf numFmtId="0" fontId="21" fillId="2" borderId="1" xfId="509" applyFont="1" applyFill="1" applyBorder="1" applyAlignment="1">
      <alignment horizontal="center" vertical="center" wrapText="1"/>
    </xf>
    <xf numFmtId="0" fontId="133" fillId="2" borderId="1" xfId="16" applyFont="1" applyFill="1" applyBorder="1" applyAlignment="1">
      <alignment horizontal="center" vertical="center" wrapText="1"/>
    </xf>
    <xf numFmtId="49" fontId="129" fillId="2" borderId="15" xfId="16" applyNumberFormat="1" applyFont="1" applyFill="1" applyBorder="1" applyAlignment="1">
      <alignment horizontal="center" vertical="center" wrapText="1"/>
    </xf>
    <xf numFmtId="0" fontId="129" fillId="2" borderId="15" xfId="16" applyFont="1" applyFill="1" applyBorder="1" applyAlignment="1">
      <alignment horizontal="center" vertical="center" wrapText="1"/>
    </xf>
    <xf numFmtId="3" fontId="129" fillId="2" borderId="15" xfId="7" applyNumberFormat="1" applyFont="1" applyFill="1" applyBorder="1" applyAlignment="1">
      <alignment horizontal="right" vertical="center" wrapText="1"/>
    </xf>
    <xf numFmtId="49" fontId="129" fillId="2" borderId="16" xfId="16" applyNumberFormat="1" applyFont="1" applyFill="1" applyBorder="1" applyAlignment="1">
      <alignment horizontal="center" vertical="center" wrapText="1"/>
    </xf>
    <xf numFmtId="3" fontId="129" fillId="2" borderId="16" xfId="7" applyNumberFormat="1" applyFont="1" applyFill="1" applyBorder="1" applyAlignment="1">
      <alignment horizontal="right" vertical="center" wrapText="1"/>
    </xf>
    <xf numFmtId="49" fontId="128" fillId="2" borderId="16" xfId="16" quotePrefix="1" applyNumberFormat="1" applyFont="1" applyFill="1" applyBorder="1" applyAlignment="1">
      <alignment horizontal="center" vertical="center" wrapText="1"/>
    </xf>
    <xf numFmtId="49" fontId="95" fillId="2" borderId="16" xfId="509" applyNumberFormat="1" applyFont="1" applyFill="1" applyBorder="1" applyAlignment="1" applyProtection="1">
      <alignment vertical="center" wrapText="1"/>
    </xf>
    <xf numFmtId="3" fontId="128" fillId="2" borderId="16" xfId="7" applyNumberFormat="1" applyFont="1" applyFill="1" applyBorder="1" applyAlignment="1">
      <alignment horizontal="right" vertical="center" wrapText="1"/>
    </xf>
    <xf numFmtId="49" fontId="21" fillId="2" borderId="16" xfId="509" applyNumberFormat="1" applyFont="1" applyFill="1" applyBorder="1" applyAlignment="1" applyProtection="1">
      <alignment vertical="center" wrapText="1"/>
    </xf>
    <xf numFmtId="3" fontId="128" fillId="2" borderId="16" xfId="16" applyNumberFormat="1" applyFont="1" applyFill="1" applyBorder="1" applyAlignment="1">
      <alignment vertical="center" wrapText="1"/>
    </xf>
    <xf numFmtId="3" fontId="129" fillId="2" borderId="16" xfId="16" applyNumberFormat="1" applyFont="1" applyFill="1" applyBorder="1" applyAlignment="1">
      <alignment vertical="center" wrapText="1"/>
    </xf>
    <xf numFmtId="49" fontId="128" fillId="2" borderId="17" xfId="16" quotePrefix="1" applyNumberFormat="1" applyFont="1" applyFill="1" applyBorder="1" applyAlignment="1">
      <alignment horizontal="center" vertical="center" wrapText="1"/>
    </xf>
    <xf numFmtId="49" fontId="95" fillId="2" borderId="17" xfId="509" applyNumberFormat="1" applyFont="1" applyFill="1" applyBorder="1" applyAlignment="1" applyProtection="1">
      <alignment vertical="center" wrapText="1"/>
    </xf>
    <xf numFmtId="3" fontId="128" fillId="2" borderId="17" xfId="16" applyNumberFormat="1" applyFont="1" applyFill="1" applyBorder="1" applyAlignment="1">
      <alignment vertical="center" wrapText="1"/>
    </xf>
    <xf numFmtId="3" fontId="128" fillId="2" borderId="17" xfId="7" applyNumberFormat="1" applyFont="1" applyFill="1" applyBorder="1" applyAlignment="1">
      <alignment horizontal="right" vertical="center" wrapText="1"/>
    </xf>
    <xf numFmtId="0" fontId="151" fillId="0" borderId="16" xfId="515" applyFont="1" applyBorder="1" applyAlignment="1">
      <alignment horizontal="left" vertical="center" wrapText="1"/>
    </xf>
    <xf numFmtId="3" fontId="144" fillId="2" borderId="1" xfId="514" applyNumberFormat="1" applyFont="1" applyFill="1" applyBorder="1" applyAlignment="1">
      <alignment vertical="center"/>
    </xf>
    <xf numFmtId="0" fontId="144" fillId="2" borderId="15" xfId="516" applyFont="1" applyFill="1" applyBorder="1" applyAlignment="1">
      <alignment horizontal="left" vertical="center" wrapText="1"/>
    </xf>
    <xf numFmtId="3" fontId="144" fillId="2" borderId="15" xfId="514" applyNumberFormat="1" applyFont="1" applyFill="1" applyBorder="1" applyAlignment="1">
      <alignment vertical="center"/>
    </xf>
    <xf numFmtId="169" fontId="145" fillId="2" borderId="15" xfId="514" applyNumberFormat="1" applyFont="1" applyFill="1" applyBorder="1" applyAlignment="1">
      <alignment vertical="center"/>
    </xf>
    <xf numFmtId="49" fontId="133" fillId="2" borderId="1" xfId="16" applyNumberFormat="1" applyFont="1" applyFill="1" applyBorder="1" applyAlignment="1">
      <alignment horizontal="center" vertical="center" wrapText="1"/>
    </xf>
    <xf numFmtId="0" fontId="9" fillId="0" borderId="16" xfId="0" applyFont="1" applyBorder="1" applyAlignment="1">
      <alignment horizontal="left" vertical="center" wrapText="1"/>
    </xf>
    <xf numFmtId="0" fontId="15" fillId="0" borderId="16" xfId="0" applyFont="1" applyBorder="1" applyAlignment="1">
      <alignment horizontal="left" vertical="center" wrapText="1"/>
    </xf>
    <xf numFmtId="0" fontId="16" fillId="0" borderId="16" xfId="0" applyFont="1" applyBorder="1" applyAlignment="1">
      <alignment horizontal="left" vertical="center" wrapText="1"/>
    </xf>
    <xf numFmtId="0" fontId="10" fillId="0" borderId="16" xfId="18" quotePrefix="1" applyFont="1" applyBorder="1" applyAlignment="1">
      <alignment horizontal="center" vertical="center" wrapText="1"/>
    </xf>
    <xf numFmtId="3" fontId="28" fillId="0" borderId="16" xfId="18" applyNumberFormat="1" applyBorder="1" applyAlignment="1">
      <alignment horizontal="right" vertical="center" wrapText="1"/>
    </xf>
    <xf numFmtId="3" fontId="12" fillId="0" borderId="0" xfId="18" applyNumberFormat="1" applyFont="1" applyBorder="1" applyAlignment="1">
      <alignment horizontal="right" vertical="center" wrapText="1"/>
    </xf>
    <xf numFmtId="3" fontId="28" fillId="0" borderId="0" xfId="18" applyNumberFormat="1" applyAlignment="1">
      <alignment horizontal="right" vertical="center" wrapText="1"/>
    </xf>
    <xf numFmtId="3" fontId="125" fillId="0" borderId="0" xfId="18" applyNumberFormat="1" applyFont="1" applyAlignment="1">
      <alignment horizontal="right" vertical="center" wrapText="1"/>
    </xf>
    <xf numFmtId="3" fontId="12" fillId="0" borderId="0" xfId="18" applyNumberFormat="1" applyFont="1" applyAlignment="1">
      <alignment horizontal="right" vertical="center" wrapText="1"/>
    </xf>
    <xf numFmtId="3" fontId="9" fillId="0" borderId="0" xfId="18" applyNumberFormat="1" applyFont="1" applyBorder="1" applyAlignment="1">
      <alignment horizontal="right" vertical="center" wrapText="1"/>
    </xf>
    <xf numFmtId="3" fontId="2" fillId="0" borderId="0" xfId="18" applyNumberFormat="1" applyFont="1" applyAlignment="1">
      <alignment horizontal="center" vertical="center" wrapText="1"/>
    </xf>
    <xf numFmtId="3" fontId="28" fillId="0" borderId="0" xfId="18" applyNumberFormat="1" applyAlignment="1">
      <alignment horizontal="center" vertical="center" wrapText="1"/>
    </xf>
    <xf numFmtId="3" fontId="9" fillId="26" borderId="0" xfId="18" applyNumberFormat="1" applyFont="1" applyFill="1" applyAlignment="1">
      <alignment horizontal="center" vertical="center" wrapText="1"/>
    </xf>
    <xf numFmtId="0" fontId="130" fillId="0" borderId="16" xfId="473" applyFont="1" applyBorder="1" applyAlignment="1">
      <alignment horizontal="center" vertical="center" wrapText="1"/>
    </xf>
    <xf numFmtId="0" fontId="11" fillId="0" borderId="16" xfId="18" applyFont="1" applyFill="1" applyBorder="1" applyAlignment="1">
      <alignment horizontal="center" vertical="center" wrapText="1"/>
    </xf>
    <xf numFmtId="0" fontId="11" fillId="0" borderId="16" xfId="18" applyFont="1" applyFill="1" applyBorder="1" applyAlignment="1">
      <alignment horizontal="left" vertical="center" wrapText="1"/>
    </xf>
    <xf numFmtId="3" fontId="11" fillId="0" borderId="16" xfId="18" applyNumberFormat="1" applyFont="1" applyFill="1" applyBorder="1" applyAlignment="1">
      <alignment horizontal="right" vertical="center" wrapText="1"/>
    </xf>
    <xf numFmtId="0" fontId="153" fillId="0" borderId="16" xfId="516" applyFont="1" applyFill="1" applyBorder="1" applyAlignment="1">
      <alignment horizontal="center" vertical="center"/>
    </xf>
    <xf numFmtId="0" fontId="153" fillId="0" borderId="16" xfId="516" applyFont="1" applyFill="1" applyBorder="1" applyAlignment="1">
      <alignment vertical="center" wrapText="1"/>
    </xf>
    <xf numFmtId="3" fontId="153" fillId="0" borderId="16" xfId="516" applyNumberFormat="1" applyFont="1" applyFill="1" applyBorder="1" applyAlignment="1">
      <alignment vertical="center"/>
    </xf>
    <xf numFmtId="169" fontId="153" fillId="0" borderId="16" xfId="514" applyNumberFormat="1" applyFont="1" applyFill="1" applyBorder="1" applyAlignment="1">
      <alignment vertical="center" wrapText="1"/>
    </xf>
    <xf numFmtId="0" fontId="13" fillId="0" borderId="16" xfId="516" applyFont="1" applyFill="1" applyBorder="1" applyAlignment="1">
      <alignment horizontal="center" vertical="center"/>
    </xf>
    <xf numFmtId="0" fontId="13" fillId="0" borderId="16" xfId="516" applyFont="1" applyFill="1" applyBorder="1" applyAlignment="1">
      <alignment vertical="center" wrapText="1"/>
    </xf>
    <xf numFmtId="3" fontId="13" fillId="0" borderId="16" xfId="516" applyNumberFormat="1" applyFont="1" applyFill="1" applyBorder="1" applyAlignment="1">
      <alignment vertical="center"/>
    </xf>
    <xf numFmtId="169" fontId="13" fillId="0" borderId="16" xfId="514" applyNumberFormat="1" applyFont="1" applyFill="1" applyBorder="1" applyAlignment="1">
      <alignment vertical="center" wrapText="1"/>
    </xf>
    <xf numFmtId="0" fontId="13" fillId="0" borderId="16" xfId="516" quotePrefix="1" applyFont="1" applyFill="1" applyBorder="1" applyAlignment="1">
      <alignment horizontal="center" vertical="center"/>
    </xf>
    <xf numFmtId="0" fontId="13" fillId="0" borderId="16" xfId="516" applyFont="1" applyFill="1" applyBorder="1" applyAlignment="1">
      <alignment horizontal="justify" vertical="center" wrapText="1"/>
    </xf>
    <xf numFmtId="0" fontId="13" fillId="0" borderId="17" xfId="516" applyFont="1" applyFill="1" applyBorder="1" applyAlignment="1">
      <alignment horizontal="center" vertical="center"/>
    </xf>
    <xf numFmtId="0" fontId="13" fillId="0" borderId="17" xfId="516" applyFont="1" applyFill="1" applyBorder="1" applyAlignment="1">
      <alignment vertical="center" wrapText="1"/>
    </xf>
    <xf numFmtId="3" fontId="13" fillId="0" borderId="17" xfId="516" applyNumberFormat="1" applyFont="1" applyFill="1" applyBorder="1" applyAlignment="1">
      <alignment vertical="center"/>
    </xf>
    <xf numFmtId="169" fontId="13" fillId="0" borderId="17" xfId="514" applyNumberFormat="1" applyFont="1" applyFill="1" applyBorder="1" applyAlignment="1">
      <alignment vertical="center" wrapText="1"/>
    </xf>
    <xf numFmtId="0" fontId="130" fillId="0" borderId="16" xfId="473" applyFont="1" applyBorder="1" applyAlignment="1">
      <alignment horizontal="center" vertical="center" wrapText="1"/>
    </xf>
    <xf numFmtId="217" fontId="130" fillId="0" borderId="17" xfId="473" applyNumberFormat="1" applyFont="1" applyBorder="1" applyAlignment="1">
      <alignment horizontal="center" vertical="center" wrapText="1"/>
    </xf>
    <xf numFmtId="0" fontId="155" fillId="2" borderId="0" xfId="0" applyFont="1" applyFill="1" applyAlignment="1">
      <alignment horizontal="center" vertical="center" wrapText="1"/>
    </xf>
    <xf numFmtId="223" fontId="155" fillId="2" borderId="0" xfId="0" applyNumberFormat="1" applyFont="1" applyFill="1" applyAlignment="1">
      <alignment horizontal="center" vertical="center" wrapText="1"/>
    </xf>
    <xf numFmtId="224" fontId="155" fillId="2" borderId="0" xfId="89" applyNumberFormat="1" applyFont="1" applyFill="1" applyAlignment="1">
      <alignment horizontal="center" vertical="center" wrapText="1"/>
    </xf>
    <xf numFmtId="169" fontId="155" fillId="2" borderId="0" xfId="89" applyNumberFormat="1" applyFont="1" applyFill="1" applyAlignment="1">
      <alignment horizontal="center" vertical="center" wrapText="1"/>
    </xf>
    <xf numFmtId="178" fontId="155" fillId="2" borderId="0" xfId="89" applyNumberFormat="1" applyFont="1" applyFill="1" applyAlignment="1">
      <alignment horizontal="center" vertical="center" wrapText="1"/>
    </xf>
    <xf numFmtId="0" fontId="156" fillId="2" borderId="0" xfId="0" applyFont="1" applyFill="1" applyAlignment="1">
      <alignment horizontal="center" vertical="center" wrapText="1"/>
    </xf>
    <xf numFmtId="3" fontId="155" fillId="2" borderId="17" xfId="89" applyNumberFormat="1" applyFont="1" applyFill="1" applyBorder="1" applyAlignment="1">
      <alignment horizontal="right" vertical="center" wrapText="1"/>
    </xf>
    <xf numFmtId="3" fontId="155" fillId="0" borderId="17" xfId="89" applyNumberFormat="1" applyFont="1" applyFill="1" applyBorder="1" applyAlignment="1">
      <alignment horizontal="right" vertical="center" wrapText="1"/>
    </xf>
    <xf numFmtId="3" fontId="156" fillId="2" borderId="17" xfId="89" applyNumberFormat="1" applyFont="1" applyFill="1" applyBorder="1" applyAlignment="1">
      <alignment horizontal="right" vertical="center" wrapText="1"/>
    </xf>
    <xf numFmtId="3" fontId="156" fillId="2" borderId="17" xfId="2" applyNumberFormat="1" applyFont="1" applyFill="1" applyBorder="1" applyAlignment="1">
      <alignment horizontal="right" vertical="center" wrapText="1" shrinkToFit="1"/>
    </xf>
    <xf numFmtId="49" fontId="156" fillId="2" borderId="17" xfId="0" applyNumberFormat="1" applyFont="1" applyFill="1" applyBorder="1" applyAlignment="1">
      <alignment horizontal="left" vertical="center" wrapText="1" shrinkToFit="1"/>
    </xf>
    <xf numFmtId="0" fontId="156" fillId="2" borderId="17" xfId="90" applyFont="1" applyFill="1" applyBorder="1" applyAlignment="1">
      <alignment horizontal="center" vertical="center" wrapText="1"/>
    </xf>
    <xf numFmtId="3" fontId="155" fillId="2" borderId="16" xfId="89" applyNumberFormat="1" applyFont="1" applyFill="1" applyBorder="1" applyAlignment="1">
      <alignment horizontal="right" vertical="center" wrapText="1"/>
    </xf>
    <xf numFmtId="3" fontId="156" fillId="0" borderId="16" xfId="89" applyNumberFormat="1" applyFont="1" applyFill="1" applyBorder="1" applyAlignment="1">
      <alignment horizontal="right" vertical="center" wrapText="1"/>
    </xf>
    <xf numFmtId="3" fontId="156" fillId="2" borderId="16" xfId="89" applyNumberFormat="1" applyFont="1" applyFill="1" applyBorder="1" applyAlignment="1">
      <alignment horizontal="right" vertical="center" wrapText="1"/>
    </xf>
    <xf numFmtId="3" fontId="156" fillId="2" borderId="16" xfId="2" applyNumberFormat="1" applyFont="1" applyFill="1" applyBorder="1" applyAlignment="1">
      <alignment horizontal="right" vertical="center" wrapText="1" shrinkToFit="1"/>
    </xf>
    <xf numFmtId="49" fontId="156" fillId="2" borderId="16" xfId="0" applyNumberFormat="1" applyFont="1" applyFill="1" applyBorder="1" applyAlignment="1">
      <alignment horizontal="left" vertical="center" wrapText="1" shrinkToFit="1"/>
    </xf>
    <xf numFmtId="0" fontId="156" fillId="2" borderId="16" xfId="90" applyFont="1" applyFill="1" applyBorder="1" applyAlignment="1">
      <alignment horizontal="center" vertical="center" wrapText="1"/>
    </xf>
    <xf numFmtId="0" fontId="157" fillId="2" borderId="0" xfId="0" applyFont="1" applyFill="1" applyAlignment="1">
      <alignment horizontal="center" vertical="center" wrapText="1"/>
    </xf>
    <xf numFmtId="0" fontId="24" fillId="2" borderId="0" xfId="0" applyFont="1" applyFill="1" applyAlignment="1">
      <alignment horizontal="center" vertical="center" wrapText="1"/>
    </xf>
    <xf numFmtId="3" fontId="155" fillId="0" borderId="16" xfId="89" applyNumberFormat="1" applyFont="1" applyFill="1" applyBorder="1" applyAlignment="1">
      <alignment horizontal="right" vertical="center" wrapText="1"/>
    </xf>
    <xf numFmtId="3" fontId="24" fillId="2" borderId="16" xfId="89" applyNumberFormat="1" applyFont="1" applyFill="1" applyBorder="1" applyAlignment="1">
      <alignment horizontal="right" vertical="center" wrapText="1"/>
    </xf>
    <xf numFmtId="3" fontId="155" fillId="2" borderId="0" xfId="0" applyNumberFormat="1" applyFont="1" applyFill="1" applyAlignment="1">
      <alignment horizontal="center" vertical="center" wrapText="1"/>
    </xf>
    <xf numFmtId="3" fontId="158" fillId="2" borderId="1" xfId="89" applyNumberFormat="1" applyFont="1" applyFill="1" applyBorder="1" applyAlignment="1">
      <alignment horizontal="right" vertical="center" wrapText="1"/>
    </xf>
    <xf numFmtId="0" fontId="158" fillId="2" borderId="1" xfId="0" applyFont="1" applyFill="1" applyBorder="1" applyAlignment="1">
      <alignment horizontal="center" vertical="center" wrapText="1"/>
    </xf>
    <xf numFmtId="49" fontId="159" fillId="2" borderId="0" xfId="0" applyNumberFormat="1" applyFont="1" applyFill="1" applyAlignment="1">
      <alignment horizontal="center" vertical="center" wrapText="1"/>
    </xf>
    <xf numFmtId="0" fontId="160" fillId="2" borderId="1" xfId="89" applyNumberFormat="1" applyFont="1" applyFill="1" applyBorder="1" applyAlignment="1">
      <alignment horizontal="center" vertical="center" wrapText="1"/>
    </xf>
    <xf numFmtId="0" fontId="160" fillId="2" borderId="1" xfId="0" applyNumberFormat="1" applyFont="1" applyFill="1" applyBorder="1" applyAlignment="1">
      <alignment horizontal="center" vertical="center" wrapText="1"/>
    </xf>
    <xf numFmtId="169" fontId="161" fillId="2" borderId="4" xfId="89" applyNumberFormat="1" applyFont="1" applyFill="1" applyBorder="1" applyAlignment="1">
      <alignment horizontal="center" vertical="center" wrapText="1"/>
    </xf>
    <xf numFmtId="169" fontId="161" fillId="2" borderId="1" xfId="89" applyNumberFormat="1" applyFont="1" applyFill="1" applyBorder="1" applyAlignment="1">
      <alignment horizontal="center" vertical="center" wrapText="1"/>
    </xf>
    <xf numFmtId="3" fontId="24" fillId="2" borderId="17" xfId="2" applyNumberFormat="1" applyFont="1" applyFill="1" applyBorder="1" applyAlignment="1">
      <alignment horizontal="right" vertical="center" wrapText="1" shrinkToFit="1"/>
    </xf>
    <xf numFmtId="0" fontId="24" fillId="2" borderId="17" xfId="518" applyNumberFormat="1" applyFont="1" applyFill="1" applyBorder="1" applyAlignment="1">
      <alignment horizontal="left" vertical="center" wrapText="1"/>
    </xf>
    <xf numFmtId="0" fontId="24" fillId="2" borderId="17" xfId="0" applyFont="1" applyFill="1" applyBorder="1" applyAlignment="1">
      <alignment horizontal="center" vertical="center" wrapText="1"/>
    </xf>
    <xf numFmtId="3" fontId="24" fillId="2" borderId="16" xfId="2" applyNumberFormat="1" applyFont="1" applyFill="1" applyBorder="1" applyAlignment="1">
      <alignment horizontal="right" vertical="center" wrapText="1" shrinkToFit="1"/>
    </xf>
    <xf numFmtId="0" fontId="24" fillId="2" borderId="16" xfId="518" applyNumberFormat="1" applyFont="1" applyFill="1" applyBorder="1" applyAlignment="1">
      <alignment horizontal="left" vertical="center" wrapText="1"/>
    </xf>
    <xf numFmtId="0" fontId="24" fillId="2" borderId="16" xfId="0" applyFont="1" applyFill="1" applyBorder="1" applyAlignment="1">
      <alignment horizontal="center" vertical="center" wrapText="1"/>
    </xf>
    <xf numFmtId="3" fontId="146" fillId="2" borderId="16" xfId="2" applyNumberFormat="1" applyFont="1" applyFill="1" applyBorder="1" applyAlignment="1">
      <alignment horizontal="right" vertical="center" wrapText="1"/>
    </xf>
    <xf numFmtId="0" fontId="146" fillId="2" borderId="16" xfId="0" applyNumberFormat="1" applyFont="1" applyFill="1" applyBorder="1" applyAlignment="1">
      <alignment horizontal="left" vertical="center" wrapText="1"/>
    </xf>
    <xf numFmtId="0" fontId="146" fillId="2" borderId="16" xfId="0" applyFont="1" applyFill="1" applyBorder="1" applyAlignment="1">
      <alignment horizontal="center" vertical="center" wrapText="1"/>
    </xf>
    <xf numFmtId="0" fontId="24" fillId="2" borderId="16" xfId="0" applyNumberFormat="1" applyFont="1" applyFill="1" applyBorder="1" applyAlignment="1">
      <alignment horizontal="left" vertical="center" wrapText="1" shrinkToFit="1"/>
    </xf>
    <xf numFmtId="0" fontId="24" fillId="2" borderId="16" xfId="0" applyNumberFormat="1" applyFont="1" applyFill="1" applyBorder="1" applyAlignment="1">
      <alignment horizontal="left" vertical="center" wrapText="1"/>
    </xf>
    <xf numFmtId="3" fontId="146" fillId="2" borderId="16" xfId="2" applyNumberFormat="1" applyFont="1" applyFill="1" applyBorder="1" applyAlignment="1">
      <alignment horizontal="right" vertical="center" wrapText="1" shrinkToFit="1"/>
    </xf>
    <xf numFmtId="0" fontId="146" fillId="2" borderId="16" xfId="0" applyNumberFormat="1" applyFont="1" applyFill="1" applyBorder="1" applyAlignment="1">
      <alignment horizontal="left" vertical="center" wrapText="1" shrinkToFit="1"/>
    </xf>
    <xf numFmtId="49" fontId="156" fillId="0" borderId="16" xfId="0" applyNumberFormat="1" applyFont="1" applyFill="1" applyBorder="1" applyAlignment="1">
      <alignment horizontal="left" vertical="center" wrapText="1" shrinkToFit="1"/>
    </xf>
    <xf numFmtId="4" fontId="155" fillId="2" borderId="16" xfId="89" applyNumberFormat="1" applyFont="1" applyFill="1" applyBorder="1" applyAlignment="1">
      <alignment horizontal="right" vertical="center" wrapText="1"/>
    </xf>
    <xf numFmtId="0" fontId="158" fillId="2" borderId="0" xfId="0" applyFont="1" applyFill="1" applyAlignment="1">
      <alignment horizontal="center" vertical="center" wrapText="1"/>
    </xf>
    <xf numFmtId="3" fontId="151" fillId="2" borderId="15" xfId="2" applyNumberFormat="1" applyFont="1" applyFill="1" applyBorder="1" applyAlignment="1">
      <alignment horizontal="right" vertical="center" wrapText="1"/>
    </xf>
    <xf numFmtId="0" fontId="151" fillId="2" borderId="15" xfId="0" applyNumberFormat="1" applyFont="1" applyFill="1" applyBorder="1" applyAlignment="1">
      <alignment horizontal="left" vertical="center" wrapText="1"/>
    </xf>
    <xf numFmtId="0" fontId="151" fillId="2" borderId="15" xfId="0" applyFont="1" applyFill="1" applyBorder="1" applyAlignment="1">
      <alignment horizontal="center" vertical="center" wrapText="1"/>
    </xf>
    <xf numFmtId="3" fontId="158" fillId="2" borderId="1" xfId="2" applyNumberFormat="1" applyFont="1" applyFill="1" applyBorder="1" applyAlignment="1">
      <alignment horizontal="right" vertical="center" wrapText="1"/>
    </xf>
    <xf numFmtId="0" fontId="15" fillId="0" borderId="16" xfId="18" applyFont="1" applyBorder="1" applyAlignment="1">
      <alignment horizontal="center" vertical="center" wrapText="1"/>
    </xf>
    <xf numFmtId="0" fontId="10" fillId="0" borderId="16" xfId="18" applyFont="1" applyBorder="1" applyAlignment="1">
      <alignment vertical="center" wrapText="1"/>
    </xf>
    <xf numFmtId="3" fontId="15" fillId="0" borderId="16" xfId="18" applyNumberFormat="1" applyFont="1" applyBorder="1" applyAlignment="1">
      <alignment vertical="center" wrapText="1"/>
    </xf>
    <xf numFmtId="0" fontId="16" fillId="0" borderId="16" xfId="18" applyFont="1" applyBorder="1" applyAlignment="1">
      <alignment horizontal="center" vertical="center" wrapText="1"/>
    </xf>
    <xf numFmtId="3" fontId="16" fillId="0" borderId="16" xfId="18" applyNumberFormat="1" applyFont="1" applyBorder="1" applyAlignment="1">
      <alignment vertical="center" wrapText="1"/>
    </xf>
    <xf numFmtId="0" fontId="15" fillId="2" borderId="16" xfId="0" applyNumberFormat="1" applyFont="1" applyFill="1" applyBorder="1" applyAlignment="1">
      <alignment horizontal="left" vertical="center" wrapText="1" shrinkToFit="1"/>
    </xf>
    <xf numFmtId="0" fontId="16" fillId="2" borderId="16" xfId="0" applyNumberFormat="1" applyFont="1" applyFill="1" applyBorder="1" applyAlignment="1">
      <alignment horizontal="left" vertical="center" wrapText="1" shrinkToFit="1"/>
    </xf>
    <xf numFmtId="0" fontId="15" fillId="2" borderId="16" xfId="0" applyNumberFormat="1" applyFont="1" applyFill="1" applyBorder="1" applyAlignment="1">
      <alignment horizontal="left" vertical="center" wrapText="1"/>
    </xf>
    <xf numFmtId="0" fontId="16" fillId="2" borderId="16" xfId="518" applyNumberFormat="1" applyFont="1" applyFill="1" applyBorder="1" applyAlignment="1">
      <alignment horizontal="left" vertical="center" wrapText="1"/>
    </xf>
    <xf numFmtId="49" fontId="10" fillId="2" borderId="16" xfId="0" applyNumberFormat="1" applyFont="1" applyFill="1" applyBorder="1" applyAlignment="1">
      <alignment horizontal="left" vertical="center" wrapText="1" shrinkToFit="1"/>
    </xf>
    <xf numFmtId="0" fontId="15" fillId="0" borderId="17" xfId="18" applyFont="1" applyBorder="1" applyAlignment="1">
      <alignment horizontal="center" vertical="center" wrapText="1"/>
    </xf>
    <xf numFmtId="49" fontId="10" fillId="2" borderId="17" xfId="0" applyNumberFormat="1" applyFont="1" applyFill="1" applyBorder="1" applyAlignment="1">
      <alignment horizontal="left" vertical="center" wrapText="1" shrinkToFit="1"/>
    </xf>
    <xf numFmtId="3" fontId="15" fillId="0" borderId="17" xfId="18" applyNumberFormat="1" applyFont="1" applyBorder="1" applyAlignment="1">
      <alignment vertical="center" wrapText="1"/>
    </xf>
    <xf numFmtId="49" fontId="160" fillId="2" borderId="1" xfId="0" applyNumberFormat="1" applyFont="1" applyFill="1" applyBorder="1" applyAlignment="1">
      <alignment horizontal="center" vertical="center" wrapText="1"/>
    </xf>
    <xf numFmtId="3" fontId="156" fillId="2" borderId="16" xfId="0" applyNumberFormat="1" applyFont="1" applyFill="1" applyBorder="1" applyAlignment="1">
      <alignment vertical="center" wrapText="1"/>
    </xf>
    <xf numFmtId="3" fontId="156" fillId="2" borderId="17" xfId="0" applyNumberFormat="1" applyFont="1" applyFill="1" applyBorder="1" applyAlignment="1">
      <alignment vertical="center" wrapText="1"/>
    </xf>
    <xf numFmtId="3" fontId="158" fillId="2" borderId="1" xfId="2" applyNumberFormat="1" applyFont="1" applyFill="1" applyBorder="1" applyAlignment="1">
      <alignment vertical="center" wrapText="1"/>
    </xf>
    <xf numFmtId="3" fontId="151" fillId="2" borderId="15" xfId="2" applyNumberFormat="1" applyFont="1" applyFill="1" applyBorder="1" applyAlignment="1">
      <alignment vertical="center" wrapText="1"/>
    </xf>
    <xf numFmtId="3" fontId="155" fillId="2" borderId="16" xfId="89" applyNumberFormat="1" applyFont="1" applyFill="1" applyBorder="1" applyAlignment="1">
      <alignment vertical="center" wrapText="1"/>
    </xf>
    <xf numFmtId="3" fontId="155" fillId="2" borderId="16" xfId="0" applyNumberFormat="1" applyFont="1" applyFill="1" applyBorder="1" applyAlignment="1">
      <alignment vertical="center" wrapText="1"/>
    </xf>
    <xf numFmtId="3" fontId="146" fillId="2" borderId="16" xfId="2" applyNumberFormat="1" applyFont="1" applyFill="1" applyBorder="1" applyAlignment="1">
      <alignment vertical="center" wrapText="1"/>
    </xf>
    <xf numFmtId="3" fontId="146" fillId="2" borderId="16" xfId="2" applyNumberFormat="1" applyFont="1" applyFill="1" applyBorder="1" applyAlignment="1">
      <alignment vertical="center" wrapText="1" shrinkToFit="1"/>
    </xf>
    <xf numFmtId="3" fontId="155" fillId="2" borderId="17" xfId="0" applyNumberFormat="1" applyFont="1" applyFill="1" applyBorder="1" applyAlignment="1">
      <alignment horizontal="right" vertical="center" wrapText="1"/>
    </xf>
    <xf numFmtId="169" fontId="162" fillId="2" borderId="9" xfId="89" applyNumberFormat="1" applyFont="1" applyFill="1" applyBorder="1" applyAlignment="1">
      <alignment vertical="center" wrapText="1"/>
    </xf>
    <xf numFmtId="3" fontId="16" fillId="0" borderId="16" xfId="18" applyNumberFormat="1" applyFont="1" applyFill="1" applyBorder="1" applyAlignment="1">
      <alignment vertical="center" wrapText="1"/>
    </xf>
    <xf numFmtId="3" fontId="156" fillId="2" borderId="0" xfId="0" applyNumberFormat="1" applyFont="1" applyFill="1" applyAlignment="1">
      <alignment horizontal="center" vertical="center" wrapText="1"/>
    </xf>
    <xf numFmtId="171" fontId="155" fillId="2" borderId="0" xfId="0" applyNumberFormat="1" applyFont="1" applyFill="1" applyAlignment="1">
      <alignment horizontal="center" vertical="center" wrapText="1"/>
    </xf>
    <xf numFmtId="3" fontId="158" fillId="2" borderId="1" xfId="89" applyNumberFormat="1" applyFont="1" applyFill="1" applyBorder="1" applyAlignment="1">
      <alignment vertical="center" wrapText="1"/>
    </xf>
    <xf numFmtId="0" fontId="156" fillId="2" borderId="15" xfId="90" applyFont="1" applyFill="1" applyBorder="1" applyAlignment="1">
      <alignment horizontal="center" vertical="center" wrapText="1"/>
    </xf>
    <xf numFmtId="49" fontId="156" fillId="2" borderId="15" xfId="0" applyNumberFormat="1" applyFont="1" applyFill="1" applyBorder="1" applyAlignment="1">
      <alignment horizontal="left" vertical="center" wrapText="1" shrinkToFit="1"/>
    </xf>
    <xf numFmtId="3" fontId="156" fillId="2" borderId="15" xfId="2" applyNumberFormat="1" applyFont="1" applyFill="1" applyBorder="1" applyAlignment="1">
      <alignment horizontal="right" vertical="center" wrapText="1" shrinkToFit="1"/>
    </xf>
    <xf numFmtId="3" fontId="156" fillId="2" borderId="15" xfId="89" applyNumberFormat="1" applyFont="1" applyFill="1" applyBorder="1" applyAlignment="1">
      <alignment horizontal="right" vertical="center" wrapText="1"/>
    </xf>
    <xf numFmtId="3" fontId="155" fillId="2" borderId="15" xfId="89" applyNumberFormat="1" applyFont="1" applyFill="1" applyBorder="1" applyAlignment="1">
      <alignment horizontal="right" vertical="center" wrapText="1"/>
    </xf>
    <xf numFmtId="3" fontId="156" fillId="2" borderId="15" xfId="0" applyNumberFormat="1" applyFont="1" applyFill="1" applyBorder="1" applyAlignment="1">
      <alignment vertical="center" wrapText="1"/>
    </xf>
    <xf numFmtId="0" fontId="28" fillId="0" borderId="16" xfId="18" applyBorder="1" applyAlignment="1">
      <alignment horizontal="center" vertical="center" wrapText="1"/>
    </xf>
    <xf numFmtId="0" fontId="143" fillId="0" borderId="1" xfId="67" applyFont="1" applyBorder="1" applyAlignment="1">
      <alignment horizontal="center" vertical="center" wrapText="1"/>
    </xf>
    <xf numFmtId="0" fontId="128" fillId="0" borderId="0" xfId="519" applyFont="1" applyAlignment="1">
      <alignment horizontal="center" vertical="center" wrapText="1"/>
    </xf>
    <xf numFmtId="0" fontId="128" fillId="0" borderId="0" xfId="520" applyFont="1" applyAlignment="1">
      <alignment horizontal="center" vertical="center" wrapText="1"/>
    </xf>
    <xf numFmtId="0" fontId="130" fillId="0" borderId="16" xfId="520" applyFont="1" applyBorder="1" applyAlignment="1">
      <alignment horizontal="center" vertical="center" wrapText="1"/>
    </xf>
    <xf numFmtId="3" fontId="130" fillId="0" borderId="16" xfId="520" applyNumberFormat="1" applyFont="1" applyBorder="1" applyAlignment="1">
      <alignment horizontal="right" vertical="center" wrapText="1"/>
    </xf>
    <xf numFmtId="217" fontId="130" fillId="0" borderId="16" xfId="520" applyNumberFormat="1" applyFont="1" applyBorder="1" applyAlignment="1">
      <alignment horizontal="right" vertical="center" wrapText="1"/>
    </xf>
    <xf numFmtId="2" fontId="130" fillId="0" borderId="16" xfId="520" applyNumberFormat="1" applyFont="1" applyBorder="1" applyAlignment="1">
      <alignment horizontal="center" vertical="center" wrapText="1"/>
    </xf>
    <xf numFmtId="0" fontId="130" fillId="0" borderId="16" xfId="520" applyFont="1" applyBorder="1" applyAlignment="1">
      <alignment horizontal="left" vertical="center" wrapText="1"/>
    </xf>
    <xf numFmtId="0" fontId="130" fillId="0" borderId="16" xfId="520" quotePrefix="1" applyFont="1" applyBorder="1" applyAlignment="1">
      <alignment horizontal="center" vertical="center" wrapText="1"/>
    </xf>
    <xf numFmtId="0" fontId="134" fillId="0" borderId="16" xfId="520" applyFont="1" applyBorder="1" applyAlignment="1">
      <alignment horizontal="center" vertical="center" wrapText="1"/>
    </xf>
    <xf numFmtId="3" fontId="134" fillId="0" borderId="16" xfId="520" applyNumberFormat="1" applyFont="1" applyBorder="1" applyAlignment="1">
      <alignment horizontal="right" vertical="center" wrapText="1"/>
    </xf>
    <xf numFmtId="217" fontId="134" fillId="0" borderId="16" xfId="520" applyNumberFormat="1" applyFont="1" applyBorder="1" applyAlignment="1">
      <alignment horizontal="right" vertical="center" wrapText="1"/>
    </xf>
    <xf numFmtId="2" fontId="134" fillId="0" borderId="16" xfId="520" applyNumberFormat="1" applyFont="1" applyBorder="1" applyAlignment="1">
      <alignment horizontal="center" vertical="center" wrapText="1"/>
    </xf>
    <xf numFmtId="0" fontId="134" fillId="0" borderId="16" xfId="520" applyFont="1" applyBorder="1" applyAlignment="1">
      <alignment horizontal="left" vertical="center" wrapText="1"/>
    </xf>
    <xf numFmtId="0" fontId="134" fillId="0" borderId="16" xfId="520" quotePrefix="1" applyFont="1" applyBorder="1" applyAlignment="1">
      <alignment horizontal="center" vertical="center" wrapText="1"/>
    </xf>
    <xf numFmtId="0" fontId="130" fillId="0" borderId="16" xfId="0" applyFont="1" applyBorder="1" applyAlignment="1">
      <alignment horizontal="left" vertical="center" wrapText="1"/>
    </xf>
    <xf numFmtId="3" fontId="130" fillId="0" borderId="16" xfId="520" applyNumberFormat="1" applyFont="1" applyFill="1" applyBorder="1" applyAlignment="1">
      <alignment horizontal="right" vertical="center" wrapText="1"/>
    </xf>
    <xf numFmtId="217" fontId="130" fillId="0" borderId="16" xfId="520" applyNumberFormat="1" applyFont="1" applyFill="1" applyBorder="1" applyAlignment="1">
      <alignment horizontal="right" vertical="center" wrapText="1"/>
    </xf>
    <xf numFmtId="0" fontId="134" fillId="0" borderId="16" xfId="520" applyFont="1" applyBorder="1" applyAlignment="1">
      <alignment vertical="center" wrapText="1"/>
    </xf>
    <xf numFmtId="3" fontId="128" fillId="0" borderId="0" xfId="519" applyNumberFormat="1" applyFont="1" applyAlignment="1">
      <alignment horizontal="center" vertical="center" wrapText="1"/>
    </xf>
    <xf numFmtId="0" fontId="136" fillId="0" borderId="16" xfId="520" applyFont="1" applyBorder="1" applyAlignment="1">
      <alignment horizontal="center" vertical="center" wrapText="1"/>
    </xf>
    <xf numFmtId="3" fontId="136" fillId="0" borderId="16" xfId="520" applyNumberFormat="1" applyFont="1" applyBorder="1" applyAlignment="1">
      <alignment horizontal="right" vertical="center" wrapText="1"/>
    </xf>
    <xf numFmtId="217" fontId="136" fillId="0" borderId="16" xfId="520" applyNumberFormat="1" applyFont="1" applyBorder="1" applyAlignment="1">
      <alignment horizontal="right" vertical="center" wrapText="1"/>
    </xf>
    <xf numFmtId="2" fontId="136" fillId="0" borderId="16" xfId="520" applyNumberFormat="1" applyFont="1" applyBorder="1" applyAlignment="1">
      <alignment horizontal="center" vertical="center" wrapText="1"/>
    </xf>
    <xf numFmtId="0" fontId="136" fillId="0" borderId="16" xfId="520" applyFont="1" applyBorder="1" applyAlignment="1">
      <alignment horizontal="left" vertical="center" wrapText="1"/>
    </xf>
    <xf numFmtId="217" fontId="130" fillId="2" borderId="16" xfId="520" applyNumberFormat="1" applyFont="1" applyFill="1" applyBorder="1" applyAlignment="1">
      <alignment horizontal="right" vertical="center" wrapText="1"/>
    </xf>
    <xf numFmtId="0" fontId="137" fillId="0" borderId="16" xfId="520" applyFont="1" applyBorder="1" applyAlignment="1">
      <alignment horizontal="center" vertical="center" wrapText="1"/>
    </xf>
    <xf numFmtId="0" fontId="136" fillId="0" borderId="16" xfId="520" quotePrefix="1" applyFont="1" applyBorder="1" applyAlignment="1">
      <alignment horizontal="center" vertical="center" wrapText="1"/>
    </xf>
    <xf numFmtId="0" fontId="129" fillId="0" borderId="0" xfId="519" applyFont="1" applyAlignment="1">
      <alignment horizontal="center" vertical="center" wrapText="1"/>
    </xf>
    <xf numFmtId="0" fontId="129" fillId="0" borderId="0" xfId="520" applyFont="1" applyAlignment="1">
      <alignment horizontal="center" vertical="center" wrapText="1"/>
    </xf>
    <xf numFmtId="0" fontId="10" fillId="0" borderId="16" xfId="521" applyFont="1" applyBorder="1" applyAlignment="1">
      <alignment horizontal="left" vertical="center" wrapText="1"/>
    </xf>
    <xf numFmtId="0" fontId="10" fillId="0" borderId="16" xfId="521" applyFont="1" applyBorder="1" applyAlignment="1">
      <alignment horizontal="center" vertical="center" wrapText="1"/>
    </xf>
    <xf numFmtId="224" fontId="10" fillId="0" borderId="16" xfId="494" applyNumberFormat="1" applyFont="1" applyBorder="1" applyAlignment="1">
      <alignment horizontal="right" vertical="center" wrapText="1"/>
    </xf>
    <xf numFmtId="0" fontId="10" fillId="0" borderId="16" xfId="521" quotePrefix="1" applyFont="1" applyBorder="1" applyAlignment="1">
      <alignment horizontal="center" vertical="center" wrapText="1"/>
    </xf>
    <xf numFmtId="2" fontId="10" fillId="0" borderId="16" xfId="521" applyNumberFormat="1" applyFont="1" applyBorder="1" applyAlignment="1">
      <alignment horizontal="center" vertical="center" wrapText="1"/>
    </xf>
    <xf numFmtId="3" fontId="128" fillId="0" borderId="0" xfId="520" applyNumberFormat="1" applyFont="1" applyAlignment="1">
      <alignment horizontal="center" vertical="center" wrapText="1"/>
    </xf>
    <xf numFmtId="0" fontId="130" fillId="0" borderId="1" xfId="520" applyFont="1" applyBorder="1" applyAlignment="1">
      <alignment horizontal="center" vertical="center" wrapText="1"/>
    </xf>
    <xf numFmtId="3" fontId="134" fillId="0" borderId="1" xfId="520" applyNumberFormat="1" applyFont="1" applyBorder="1" applyAlignment="1">
      <alignment horizontal="right" vertical="center" wrapText="1"/>
    </xf>
    <xf numFmtId="217" fontId="134" fillId="0" borderId="1" xfId="520" applyNumberFormat="1" applyFont="1" applyBorder="1" applyAlignment="1">
      <alignment horizontal="right" vertical="center" wrapText="1"/>
    </xf>
    <xf numFmtId="2" fontId="134" fillId="0" borderId="1" xfId="520" applyNumberFormat="1" applyFont="1" applyBorder="1" applyAlignment="1">
      <alignment horizontal="center" vertical="center" wrapText="1"/>
    </xf>
    <xf numFmtId="0" fontId="134" fillId="0" borderId="1" xfId="520" applyFont="1" applyBorder="1" applyAlignment="1">
      <alignment horizontal="center" vertical="center" wrapText="1"/>
    </xf>
    <xf numFmtId="0" fontId="135" fillId="0" borderId="1" xfId="520" applyFont="1" applyBorder="1" applyAlignment="1">
      <alignment horizontal="center" vertical="center" wrapText="1"/>
    </xf>
    <xf numFmtId="3" fontId="135" fillId="0" borderId="1" xfId="520" applyNumberFormat="1" applyFont="1" applyBorder="1" applyAlignment="1">
      <alignment horizontal="center" vertical="center" wrapText="1"/>
    </xf>
    <xf numFmtId="3" fontId="134" fillId="0" borderId="1" xfId="520" applyNumberFormat="1" applyFont="1" applyBorder="1" applyAlignment="1">
      <alignment horizontal="center" vertical="center" wrapText="1"/>
    </xf>
    <xf numFmtId="0" fontId="133" fillId="0" borderId="9" xfId="519" applyFont="1" applyBorder="1" applyAlignment="1">
      <alignment horizontal="center" vertical="center" wrapText="1"/>
    </xf>
    <xf numFmtId="0" fontId="132" fillId="0" borderId="0" xfId="520" applyFont="1" applyFill="1" applyAlignment="1">
      <alignment horizontal="center" vertical="center" wrapText="1"/>
    </xf>
    <xf numFmtId="0" fontId="129" fillId="0" borderId="0" xfId="520" applyFont="1" applyFill="1" applyAlignment="1">
      <alignment horizontal="center" vertical="center" wrapText="1"/>
    </xf>
    <xf numFmtId="3" fontId="0" fillId="0" borderId="0" xfId="0" applyNumberFormat="1"/>
    <xf numFmtId="3" fontId="10" fillId="0" borderId="1" xfId="0" applyNumberFormat="1" applyFont="1" applyBorder="1" applyAlignment="1">
      <alignment horizontal="right"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129" fillId="0" borderId="16" xfId="519" applyFont="1" applyBorder="1" applyAlignment="1">
      <alignment horizontal="left" vertical="center" wrapText="1"/>
    </xf>
    <xf numFmtId="0" fontId="128" fillId="0" borderId="16" xfId="519" applyFont="1" applyBorder="1" applyAlignment="1">
      <alignment horizontal="left" vertical="center" wrapText="1"/>
    </xf>
    <xf numFmtId="0" fontId="134" fillId="0" borderId="5" xfId="520" applyFont="1" applyBorder="1" applyAlignment="1">
      <alignment horizontal="center" vertical="center" wrapText="1"/>
    </xf>
    <xf numFmtId="0" fontId="134" fillId="0" borderId="5" xfId="520" applyFont="1" applyBorder="1" applyAlignment="1">
      <alignment horizontal="left" vertical="center" wrapText="1"/>
    </xf>
    <xf numFmtId="2" fontId="134" fillId="0" borderId="5" xfId="520" applyNumberFormat="1" applyFont="1" applyBorder="1" applyAlignment="1">
      <alignment horizontal="center" vertical="center" wrapText="1"/>
    </xf>
    <xf numFmtId="217" fontId="134" fillId="0" borderId="5" xfId="520" applyNumberFormat="1" applyFont="1" applyBorder="1" applyAlignment="1">
      <alignment horizontal="right" vertical="center" wrapText="1"/>
    </xf>
    <xf numFmtId="3" fontId="134" fillId="0" borderId="5" xfId="520" applyNumberFormat="1" applyFont="1" applyBorder="1" applyAlignment="1">
      <alignment horizontal="right" vertical="center" wrapText="1"/>
    </xf>
    <xf numFmtId="0" fontId="130" fillId="0" borderId="17" xfId="520" quotePrefix="1" applyFont="1" applyBorder="1" applyAlignment="1">
      <alignment horizontal="center" vertical="center" wrapText="1"/>
    </xf>
    <xf numFmtId="0" fontId="130" fillId="0" borderId="17" xfId="520" applyFont="1" applyBorder="1" applyAlignment="1">
      <alignment horizontal="left" vertical="center" wrapText="1"/>
    </xf>
    <xf numFmtId="2" fontId="130" fillId="0" borderId="17" xfId="520" applyNumberFormat="1" applyFont="1" applyBorder="1" applyAlignment="1">
      <alignment horizontal="center" vertical="center" wrapText="1"/>
    </xf>
    <xf numFmtId="217" fontId="130" fillId="0" borderId="17" xfId="520" applyNumberFormat="1" applyFont="1" applyBorder="1" applyAlignment="1">
      <alignment horizontal="right" vertical="center" wrapText="1"/>
    </xf>
    <xf numFmtId="3" fontId="130" fillId="0" borderId="17" xfId="520" applyNumberFormat="1" applyFont="1" applyBorder="1" applyAlignment="1">
      <alignment horizontal="right" vertical="center" wrapText="1"/>
    </xf>
    <xf numFmtId="0" fontId="134" fillId="27" borderId="15" xfId="520" applyFont="1" applyFill="1" applyBorder="1" applyAlignment="1">
      <alignment horizontal="center" vertical="center" wrapText="1"/>
    </xf>
    <xf numFmtId="0" fontId="134" fillId="27" borderId="15" xfId="520" applyFont="1" applyFill="1" applyBorder="1" applyAlignment="1">
      <alignment horizontal="left" vertical="center" wrapText="1"/>
    </xf>
    <xf numFmtId="2" fontId="134" fillId="27" borderId="15" xfId="520" applyNumberFormat="1" applyFont="1" applyFill="1" applyBorder="1" applyAlignment="1">
      <alignment horizontal="center" vertical="center" wrapText="1"/>
    </xf>
    <xf numFmtId="217" fontId="134" fillId="27" borderId="15" xfId="520" applyNumberFormat="1" applyFont="1" applyFill="1" applyBorder="1" applyAlignment="1">
      <alignment horizontal="right" vertical="center" wrapText="1"/>
    </xf>
    <xf numFmtId="3" fontId="134" fillId="27" borderId="15" xfId="520" applyNumberFormat="1" applyFont="1" applyFill="1" applyBorder="1" applyAlignment="1">
      <alignment horizontal="right" vertical="center" wrapText="1"/>
    </xf>
    <xf numFmtId="0" fontId="130" fillId="27" borderId="15" xfId="520" applyFont="1" applyFill="1" applyBorder="1" applyAlignment="1">
      <alignment horizontal="center" vertical="center" wrapText="1"/>
    </xf>
    <xf numFmtId="0" fontId="9" fillId="27" borderId="16" xfId="521" applyFont="1" applyFill="1" applyBorder="1" applyAlignment="1">
      <alignment horizontal="center" vertical="center" wrapText="1"/>
    </xf>
    <xf numFmtId="0" fontId="9" fillId="27" borderId="16" xfId="521" applyFont="1" applyFill="1" applyBorder="1" applyAlignment="1">
      <alignment horizontal="left" vertical="center" wrapText="1"/>
    </xf>
    <xf numFmtId="2" fontId="134" fillId="27" borderId="16" xfId="520" applyNumberFormat="1" applyFont="1" applyFill="1" applyBorder="1" applyAlignment="1">
      <alignment horizontal="center" vertical="center" wrapText="1"/>
    </xf>
    <xf numFmtId="217" fontId="134" fillId="27" borderId="16" xfId="520" applyNumberFormat="1" applyFont="1" applyFill="1" applyBorder="1" applyAlignment="1">
      <alignment horizontal="right" vertical="center" wrapText="1"/>
    </xf>
    <xf numFmtId="3" fontId="134" fillId="27" borderId="16" xfId="520" applyNumberFormat="1" applyFont="1" applyFill="1" applyBorder="1" applyAlignment="1">
      <alignment horizontal="right" vertical="center" wrapText="1"/>
    </xf>
    <xf numFmtId="0" fontId="134" fillId="27" borderId="16" xfId="520" applyFont="1" applyFill="1" applyBorder="1" applyAlignment="1">
      <alignment horizontal="center" vertical="center" wrapText="1"/>
    </xf>
    <xf numFmtId="0" fontId="134" fillId="27" borderId="16" xfId="520" applyFont="1" applyFill="1" applyBorder="1" applyAlignment="1">
      <alignment horizontal="left" vertical="center" wrapText="1"/>
    </xf>
    <xf numFmtId="0" fontId="130" fillId="27" borderId="16" xfId="520" applyFont="1" applyFill="1" applyBorder="1" applyAlignment="1">
      <alignment horizontal="center" vertical="center" wrapText="1"/>
    </xf>
    <xf numFmtId="0" fontId="134" fillId="27" borderId="16" xfId="520" applyFont="1" applyFill="1" applyBorder="1" applyAlignment="1">
      <alignment vertical="center" wrapText="1"/>
    </xf>
    <xf numFmtId="0" fontId="12" fillId="0" borderId="16" xfId="18" applyFont="1" applyBorder="1" applyAlignment="1">
      <alignment horizontal="center" vertical="center" wrapText="1"/>
    </xf>
    <xf numFmtId="0" fontId="12" fillId="0" borderId="16" xfId="18" applyFont="1" applyBorder="1" applyAlignment="1">
      <alignment horizontal="center" vertical="center" wrapText="1"/>
    </xf>
    <xf numFmtId="0" fontId="12" fillId="0" borderId="17" xfId="18" applyFont="1" applyBorder="1" applyAlignment="1">
      <alignment horizontal="center" vertical="center" wrapText="1"/>
    </xf>
    <xf numFmtId="0" fontId="126" fillId="0" borderId="0" xfId="18" applyFont="1" applyAlignment="1">
      <alignment horizontal="center" vertical="center" wrapText="1"/>
    </xf>
    <xf numFmtId="0" fontId="12" fillId="0" borderId="0" xfId="18" applyFont="1" applyAlignment="1">
      <alignment horizontal="center" vertical="center" wrapText="1"/>
    </xf>
    <xf numFmtId="0" fontId="12" fillId="0" borderId="9" xfId="18" applyFont="1" applyBorder="1" applyAlignment="1">
      <alignment horizontal="right" vertical="center" wrapText="1"/>
    </xf>
    <xf numFmtId="0" fontId="11" fillId="0" borderId="4" xfId="39" applyFont="1" applyBorder="1" applyAlignment="1">
      <alignment horizontal="center" vertical="center" wrapText="1"/>
    </xf>
    <xf numFmtId="0" fontId="11" fillId="0" borderId="6" xfId="39" applyFont="1" applyBorder="1" applyAlignment="1">
      <alignment horizontal="center" vertical="center" wrapText="1"/>
    </xf>
    <xf numFmtId="0" fontId="11" fillId="0" borderId="5" xfId="39" applyFont="1" applyBorder="1" applyAlignment="1">
      <alignment horizontal="center" vertical="center" wrapText="1"/>
    </xf>
    <xf numFmtId="0" fontId="16" fillId="2" borderId="0" xfId="82" applyFont="1" applyFill="1" applyAlignment="1">
      <alignment horizontal="center" wrapText="1"/>
    </xf>
    <xf numFmtId="0" fontId="33" fillId="2" borderId="0" xfId="82" applyFont="1" applyFill="1" applyAlignment="1">
      <alignment horizontal="center" vertical="top" wrapText="1"/>
    </xf>
    <xf numFmtId="0" fontId="34" fillId="0" borderId="9" xfId="39" applyBorder="1" applyAlignment="1">
      <alignment horizontal="center"/>
    </xf>
    <xf numFmtId="0" fontId="16" fillId="2" borderId="4" xfId="82" applyFont="1" applyFill="1" applyBorder="1" applyAlignment="1">
      <alignment horizontal="center" vertical="center" wrapText="1"/>
    </xf>
    <xf numFmtId="0" fontId="16" fillId="2" borderId="5" xfId="82" applyFont="1" applyFill="1" applyBorder="1" applyAlignment="1">
      <alignment horizontal="center" vertical="center" wrapText="1"/>
    </xf>
    <xf numFmtId="0" fontId="9" fillId="0" borderId="1" xfId="39" applyFont="1" applyBorder="1" applyAlignment="1">
      <alignment horizontal="center" vertical="center"/>
    </xf>
    <xf numFmtId="169" fontId="15" fillId="0" borderId="16" xfId="39" applyNumberFormat="1" applyFont="1" applyBorder="1" applyAlignment="1">
      <alignment horizontal="left" vertical="center" wrapText="1"/>
    </xf>
    <xf numFmtId="169" fontId="15" fillId="0" borderId="17" xfId="39" applyNumberFormat="1" applyFont="1" applyBorder="1" applyAlignment="1">
      <alignment horizontal="left" vertical="center" wrapText="1"/>
    </xf>
    <xf numFmtId="3" fontId="15" fillId="0" borderId="19" xfId="39" applyNumberFormat="1" applyFont="1" applyBorder="1" applyAlignment="1">
      <alignment horizontal="left" vertical="center" wrapText="1"/>
    </xf>
    <xf numFmtId="3" fontId="15" fillId="0" borderId="6" xfId="39" applyNumberFormat="1" applyFont="1" applyBorder="1" applyAlignment="1">
      <alignment horizontal="left" vertical="center" wrapText="1"/>
    </xf>
    <xf numFmtId="3" fontId="15" fillId="0" borderId="18" xfId="39" applyNumberFormat="1" applyFont="1" applyBorder="1" applyAlignment="1">
      <alignment horizontal="left" vertical="center" wrapText="1"/>
    </xf>
    <xf numFmtId="3" fontId="15" fillId="0" borderId="5" xfId="39" applyNumberFormat="1" applyFont="1" applyBorder="1" applyAlignment="1">
      <alignment horizontal="left" vertical="center" wrapText="1"/>
    </xf>
    <xf numFmtId="0" fontId="15" fillId="0" borderId="19" xfId="39" applyFont="1" applyBorder="1" applyAlignment="1">
      <alignment horizontal="left" vertical="center" wrapText="1"/>
    </xf>
    <xf numFmtId="0" fontId="15" fillId="0" borderId="18" xfId="39" applyFont="1" applyBorder="1" applyAlignment="1">
      <alignment horizontal="left" vertical="center" wrapText="1"/>
    </xf>
    <xf numFmtId="169" fontId="15" fillId="0" borderId="19" xfId="39" applyNumberFormat="1" applyFont="1" applyBorder="1" applyAlignment="1">
      <alignment horizontal="left" vertical="center" wrapText="1"/>
    </xf>
    <xf numFmtId="169" fontId="15" fillId="0" borderId="18" xfId="39" applyNumberFormat="1" applyFont="1" applyBorder="1" applyAlignment="1">
      <alignment horizontal="left" vertical="center" wrapText="1"/>
    </xf>
    <xf numFmtId="169" fontId="15" fillId="0" borderId="6" xfId="39" applyNumberFormat="1" applyFont="1" applyBorder="1" applyAlignment="1">
      <alignment horizontal="left" vertical="center" wrapText="1"/>
    </xf>
    <xf numFmtId="0" fontId="15" fillId="0" borderId="16" xfId="39" applyFont="1" applyBorder="1" applyAlignment="1">
      <alignment horizontal="left" vertical="center" wrapText="1"/>
    </xf>
    <xf numFmtId="0" fontId="15" fillId="0" borderId="6" xfId="39" applyFont="1" applyBorder="1" applyAlignment="1">
      <alignment horizontal="left" vertical="center" wrapText="1"/>
    </xf>
    <xf numFmtId="0" fontId="15" fillId="0" borderId="5" xfId="39" applyFont="1" applyBorder="1" applyAlignment="1">
      <alignment horizontal="left" vertical="center" wrapText="1"/>
    </xf>
    <xf numFmtId="0" fontId="16" fillId="0" borderId="4" xfId="39" applyFont="1" applyBorder="1" applyAlignment="1">
      <alignment horizontal="center" vertical="center" wrapText="1"/>
    </xf>
    <xf numFmtId="0" fontId="16" fillId="0" borderId="5" xfId="39" applyFont="1" applyBorder="1" applyAlignment="1">
      <alignment horizontal="center" vertical="center" wrapText="1"/>
    </xf>
    <xf numFmtId="0" fontId="16" fillId="0" borderId="1" xfId="39" applyFont="1" applyBorder="1" applyAlignment="1">
      <alignment horizontal="center" vertical="center" wrapText="1"/>
    </xf>
    <xf numFmtId="0" fontId="15" fillId="0" borderId="16" xfId="39" applyFont="1" applyBorder="1" applyAlignment="1">
      <alignment horizontal="center" vertical="center" wrapText="1"/>
    </xf>
    <xf numFmtId="0" fontId="15" fillId="0" borderId="17" xfId="39" applyFont="1" applyBorder="1" applyAlignment="1">
      <alignment horizontal="center" vertical="center" wrapText="1"/>
    </xf>
    <xf numFmtId="0" fontId="22" fillId="0" borderId="0" xfId="39" applyFont="1" applyAlignment="1">
      <alignment horizontal="center" vertical="center"/>
    </xf>
    <xf numFmtId="0" fontId="33" fillId="0" borderId="0" xfId="39" applyFont="1" applyAlignment="1">
      <alignment horizontal="center" vertical="center"/>
    </xf>
    <xf numFmtId="0" fontId="16" fillId="0" borderId="1" xfId="39" applyFont="1" applyBorder="1" applyAlignment="1">
      <alignment horizontal="center" vertical="center"/>
    </xf>
    <xf numFmtId="0" fontId="10" fillId="0" borderId="16" xfId="0" applyFont="1" applyBorder="1" applyAlignment="1">
      <alignment horizontal="center" vertical="center" wrapText="1"/>
    </xf>
    <xf numFmtId="0" fontId="9" fillId="0" borderId="0" xfId="39" applyFont="1" applyAlignment="1">
      <alignment horizontal="center" vertical="center"/>
    </xf>
    <xf numFmtId="0" fontId="33" fillId="0" borderId="0" xfId="69" applyFont="1" applyAlignment="1">
      <alignment horizontal="center"/>
    </xf>
    <xf numFmtId="0" fontId="9" fillId="0" borderId="1" xfId="39" applyFont="1" applyBorder="1" applyAlignment="1">
      <alignment horizontal="center" vertical="center" wrapText="1"/>
    </xf>
    <xf numFmtId="0" fontId="9" fillId="0" borderId="4" xfId="39" applyFont="1" applyBorder="1" applyAlignment="1">
      <alignment horizontal="center" vertical="center" wrapText="1"/>
    </xf>
    <xf numFmtId="0" fontId="9" fillId="0" borderId="5" xfId="39" applyFont="1" applyBorder="1" applyAlignment="1">
      <alignment horizontal="center" vertical="center" wrapText="1"/>
    </xf>
    <xf numFmtId="1" fontId="38" fillId="0" borderId="0" xfId="39" applyNumberFormat="1" applyFont="1" applyAlignment="1">
      <alignment horizontal="center" vertical="center" wrapText="1"/>
    </xf>
    <xf numFmtId="0" fontId="36" fillId="0" borderId="0" xfId="39" applyFont="1" applyAlignment="1">
      <alignment horizontal="center" vertical="center" wrapText="1"/>
    </xf>
    <xf numFmtId="0" fontId="36" fillId="0" borderId="0" xfId="39" applyFont="1" applyAlignment="1">
      <alignment horizontal="right" vertical="center"/>
    </xf>
    <xf numFmtId="0" fontId="21" fillId="0" borderId="1" xfId="39" applyFont="1" applyBorder="1" applyAlignment="1">
      <alignment horizontal="center" vertical="center" wrapText="1"/>
    </xf>
    <xf numFmtId="0" fontId="21" fillId="2" borderId="8" xfId="39" applyFont="1" applyFill="1" applyBorder="1" applyAlignment="1">
      <alignment horizontal="center" vertical="center" wrapText="1"/>
    </xf>
    <xf numFmtId="0" fontId="21" fillId="2" borderId="12" xfId="39" applyFont="1" applyFill="1" applyBorder="1" applyAlignment="1">
      <alignment horizontal="center" vertical="center" wrapText="1"/>
    </xf>
    <xf numFmtId="0" fontId="21" fillId="2" borderId="10" xfId="39" applyFont="1" applyFill="1" applyBorder="1" applyAlignment="1">
      <alignment horizontal="center" vertical="center" wrapText="1"/>
    </xf>
    <xf numFmtId="0" fontId="21" fillId="2" borderId="0" xfId="39" applyFont="1" applyFill="1" applyAlignment="1">
      <alignment horizontal="center" vertical="center" wrapText="1"/>
    </xf>
    <xf numFmtId="0" fontId="21" fillId="2" borderId="11" xfId="39" applyFont="1" applyFill="1" applyBorder="1" applyAlignment="1">
      <alignment horizontal="center" vertical="center" wrapText="1"/>
    </xf>
    <xf numFmtId="0" fontId="21" fillId="2" borderId="9" xfId="39" applyFont="1" applyFill="1" applyBorder="1" applyAlignment="1">
      <alignment horizontal="center" vertical="center" wrapText="1"/>
    </xf>
    <xf numFmtId="0" fontId="21" fillId="2" borderId="14" xfId="39" applyFont="1" applyFill="1" applyBorder="1" applyAlignment="1">
      <alignment horizontal="center" vertical="center" wrapText="1"/>
    </xf>
    <xf numFmtId="0" fontId="21" fillId="2" borderId="1" xfId="39" applyFont="1" applyFill="1" applyBorder="1" applyAlignment="1">
      <alignment horizontal="center" vertical="center" wrapText="1"/>
    </xf>
    <xf numFmtId="0" fontId="16" fillId="2" borderId="11" xfId="39" applyFont="1" applyFill="1" applyBorder="1" applyAlignment="1">
      <alignment horizontal="center" vertical="center" wrapText="1"/>
    </xf>
    <xf numFmtId="0" fontId="16" fillId="2" borderId="9" xfId="39" applyFont="1" applyFill="1" applyBorder="1" applyAlignment="1">
      <alignment horizontal="center" vertical="center" wrapText="1"/>
    </xf>
    <xf numFmtId="0" fontId="16" fillId="2" borderId="14" xfId="39" applyFont="1" applyFill="1" applyBorder="1" applyAlignment="1">
      <alignment horizontal="center" vertical="center" wrapText="1"/>
    </xf>
    <xf numFmtId="0" fontId="21" fillId="2" borderId="13" xfId="39" applyFont="1" applyFill="1" applyBorder="1" applyAlignment="1">
      <alignment horizontal="center" vertical="center" wrapText="1"/>
    </xf>
    <xf numFmtId="0" fontId="21" fillId="2" borderId="20" xfId="39" applyFont="1" applyFill="1" applyBorder="1" applyAlignment="1">
      <alignment horizontal="center" vertical="center" wrapText="1"/>
    </xf>
    <xf numFmtId="0" fontId="21" fillId="0" borderId="7" xfId="39" applyFont="1" applyBorder="1" applyAlignment="1">
      <alignment horizontal="center" vertical="center" wrapText="1"/>
    </xf>
    <xf numFmtId="0" fontId="21" fillId="0" borderId="3" xfId="39" applyFont="1" applyBorder="1" applyAlignment="1">
      <alignment horizontal="center" vertical="center" wrapText="1"/>
    </xf>
    <xf numFmtId="0" fontId="21" fillId="2" borderId="7" xfId="39" applyFont="1" applyFill="1" applyBorder="1" applyAlignment="1">
      <alignment horizontal="center" vertical="center" wrapText="1"/>
    </xf>
    <xf numFmtId="0" fontId="21" fillId="2" borderId="3" xfId="39" applyFont="1" applyFill="1" applyBorder="1" applyAlignment="1">
      <alignment horizontal="center" vertical="center" wrapText="1"/>
    </xf>
    <xf numFmtId="0" fontId="21" fillId="2" borderId="2" xfId="39" applyFont="1" applyFill="1" applyBorder="1" applyAlignment="1">
      <alignment horizontal="center" vertical="center" wrapText="1"/>
    </xf>
    <xf numFmtId="0" fontId="129" fillId="2" borderId="0" xfId="16" applyFont="1" applyFill="1" applyAlignment="1">
      <alignment horizontal="center" vertical="center" wrapText="1"/>
    </xf>
    <xf numFmtId="0" fontId="133" fillId="2" borderId="0" xfId="16" applyFont="1" applyFill="1" applyAlignment="1">
      <alignment horizontal="center" vertical="center" wrapText="1"/>
    </xf>
    <xf numFmtId="49" fontId="129" fillId="2" borderId="1" xfId="16" applyNumberFormat="1" applyFont="1" applyFill="1" applyBorder="1" applyAlignment="1">
      <alignment horizontal="center" vertical="center" wrapText="1"/>
    </xf>
    <xf numFmtId="0" fontId="129" fillId="2" borderId="1" xfId="16" applyFont="1" applyFill="1" applyBorder="1" applyAlignment="1">
      <alignment horizontal="center" vertical="center" wrapText="1"/>
    </xf>
    <xf numFmtId="0" fontId="21" fillId="2" borderId="1" xfId="509" applyFont="1" applyFill="1" applyBorder="1" applyAlignment="1">
      <alignment horizontal="center" vertical="center" wrapText="1"/>
    </xf>
    <xf numFmtId="0" fontId="129" fillId="0" borderId="0" xfId="510" applyFont="1" applyAlignment="1">
      <alignment horizontal="center" vertical="center" wrapText="1"/>
    </xf>
    <xf numFmtId="0" fontId="133" fillId="0" borderId="0" xfId="510" applyFont="1" applyAlignment="1">
      <alignment horizontal="center" vertical="center" wrapText="1"/>
    </xf>
    <xf numFmtId="0" fontId="129" fillId="0" borderId="0" xfId="510" applyFont="1" applyAlignment="1">
      <alignment horizontal="left" vertical="center" wrapText="1"/>
    </xf>
    <xf numFmtId="0" fontId="133" fillId="0" borderId="9" xfId="510" applyFont="1" applyBorder="1" applyAlignment="1">
      <alignment horizontal="center" vertical="center" wrapText="1"/>
    </xf>
    <xf numFmtId="0" fontId="144" fillId="2" borderId="2" xfId="16" applyFont="1" applyFill="1" applyBorder="1" applyAlignment="1">
      <alignment horizontal="center" vertical="center" wrapText="1"/>
    </xf>
    <xf numFmtId="0" fontId="144" fillId="2" borderId="7" xfId="16" applyFont="1" applyFill="1" applyBorder="1" applyAlignment="1">
      <alignment horizontal="center" vertical="center" wrapText="1"/>
    </xf>
    <xf numFmtId="0" fontId="144" fillId="2" borderId="3" xfId="16" applyFont="1" applyFill="1" applyBorder="1" applyAlignment="1">
      <alignment horizontal="center" vertical="center" wrapText="1"/>
    </xf>
    <xf numFmtId="0" fontId="144" fillId="2" borderId="1" xfId="16" applyFont="1" applyFill="1" applyBorder="1" applyAlignment="1">
      <alignment horizontal="center" vertical="center" wrapText="1"/>
    </xf>
    <xf numFmtId="0" fontId="11" fillId="0" borderId="0" xfId="16" applyFont="1" applyFill="1" applyAlignment="1">
      <alignment horizontal="center" vertical="center"/>
    </xf>
    <xf numFmtId="0" fontId="21" fillId="2" borderId="0" xfId="16" applyFont="1" applyFill="1" applyAlignment="1">
      <alignment horizontal="center" vertical="center" wrapText="1"/>
    </xf>
    <xf numFmtId="0" fontId="154" fillId="2" borderId="0" xfId="16" applyFont="1" applyFill="1" applyAlignment="1">
      <alignment horizontal="center" vertical="center" wrapText="1"/>
    </xf>
    <xf numFmtId="0" fontId="33" fillId="2" borderId="9" xfId="16" applyFont="1" applyFill="1" applyBorder="1" applyAlignment="1">
      <alignment horizontal="right" wrapText="1"/>
    </xf>
    <xf numFmtId="49" fontId="144" fillId="2" borderId="1" xfId="16" applyNumberFormat="1" applyFont="1" applyFill="1" applyBorder="1" applyAlignment="1">
      <alignment horizontal="center" vertical="center" wrapText="1"/>
    </xf>
    <xf numFmtId="218" fontId="144" fillId="2" borderId="1" xfId="16" applyNumberFormat="1" applyFont="1" applyFill="1" applyBorder="1" applyAlignment="1" applyProtection="1">
      <alignment horizontal="center" vertical="center" wrapText="1"/>
    </xf>
    <xf numFmtId="0" fontId="144" fillId="2" borderId="1" xfId="16" applyNumberFormat="1" applyFont="1" applyFill="1" applyBorder="1" applyAlignment="1" applyProtection="1">
      <alignment horizontal="center" vertical="center" wrapText="1"/>
    </xf>
    <xf numFmtId="0" fontId="144" fillId="0" borderId="1" xfId="16" applyFont="1" applyFill="1" applyBorder="1" applyAlignment="1">
      <alignment horizontal="center" vertical="center" wrapText="1"/>
    </xf>
    <xf numFmtId="220" fontId="21" fillId="0" borderId="0" xfId="513" applyNumberFormat="1" applyFont="1" applyFill="1" applyAlignment="1">
      <alignment horizontal="center" vertical="center" wrapText="1"/>
    </xf>
    <xf numFmtId="0" fontId="3" fillId="0" borderId="0" xfId="516" applyAlignment="1">
      <alignment horizontal="center" vertical="center" wrapText="1"/>
    </xf>
    <xf numFmtId="0" fontId="33" fillId="2" borderId="0" xfId="82" applyFont="1" applyFill="1" applyAlignment="1">
      <alignment horizontal="center" vertical="center" wrapText="1"/>
    </xf>
    <xf numFmtId="0" fontId="144" fillId="0" borderId="1" xfId="67" applyFont="1" applyBorder="1" applyAlignment="1">
      <alignment horizontal="center" vertical="center" wrapText="1"/>
    </xf>
    <xf numFmtId="220" fontId="144" fillId="0" borderId="1" xfId="513" applyNumberFormat="1" applyFont="1" applyFill="1" applyBorder="1" applyAlignment="1">
      <alignment horizontal="center" vertical="center" wrapText="1"/>
    </xf>
    <xf numFmtId="0" fontId="144" fillId="0" borderId="2" xfId="67" applyFont="1" applyBorder="1" applyAlignment="1">
      <alignment horizontal="center" vertical="center" wrapText="1"/>
    </xf>
    <xf numFmtId="0" fontId="144" fillId="0" borderId="7" xfId="67" applyFont="1" applyBorder="1" applyAlignment="1">
      <alignment horizontal="center" vertical="center" wrapText="1"/>
    </xf>
    <xf numFmtId="0" fontId="144" fillId="0" borderId="3" xfId="67" applyFont="1" applyBorder="1" applyAlignment="1">
      <alignment horizontal="center" vertical="center" wrapText="1"/>
    </xf>
    <xf numFmtId="220" fontId="144" fillId="0" borderId="4" xfId="513" applyNumberFormat="1" applyFont="1" applyFill="1" applyBorder="1" applyAlignment="1">
      <alignment horizontal="center" vertical="center" wrapText="1"/>
    </xf>
    <xf numFmtId="220" fontId="144" fillId="0" borderId="5" xfId="513" applyNumberFormat="1" applyFont="1" applyFill="1" applyBorder="1" applyAlignment="1">
      <alignment horizontal="center" vertical="center" wrapText="1"/>
    </xf>
    <xf numFmtId="0" fontId="21" fillId="2" borderId="0" xfId="516" applyFont="1" applyFill="1" applyAlignment="1">
      <alignment horizontal="center" vertical="center" wrapText="1"/>
    </xf>
    <xf numFmtId="0" fontId="154" fillId="2" borderId="0" xfId="516" applyFont="1" applyFill="1" applyAlignment="1">
      <alignment horizontal="center" vertical="center" wrapText="1"/>
    </xf>
    <xf numFmtId="0" fontId="144" fillId="2" borderId="1" xfId="516" applyFont="1" applyFill="1" applyBorder="1" applyAlignment="1">
      <alignment horizontal="center" vertical="center"/>
    </xf>
    <xf numFmtId="0" fontId="144" fillId="2" borderId="1" xfId="516" applyFont="1" applyFill="1" applyBorder="1" applyAlignment="1">
      <alignment horizontal="center" vertical="center" wrapText="1"/>
    </xf>
    <xf numFmtId="3" fontId="144" fillId="2" borderId="1" xfId="516" applyNumberFormat="1" applyFont="1" applyFill="1" applyBorder="1" applyAlignment="1">
      <alignment horizontal="center" vertical="center" wrapText="1"/>
    </xf>
    <xf numFmtId="202" fontId="144" fillId="2" borderId="1" xfId="516" applyNumberFormat="1" applyFont="1" applyFill="1" applyBorder="1" applyAlignment="1">
      <alignment horizontal="center" vertical="center" wrapText="1"/>
    </xf>
    <xf numFmtId="169" fontId="144" fillId="2" borderId="1" xfId="514" applyNumberFormat="1" applyFont="1" applyFill="1" applyBorder="1" applyAlignment="1">
      <alignment horizontal="center" vertical="center" wrapText="1"/>
    </xf>
    <xf numFmtId="0" fontId="12" fillId="2" borderId="9" xfId="517" applyFont="1" applyFill="1" applyBorder="1" applyAlignment="1">
      <alignment horizontal="center" vertical="center" wrapText="1"/>
    </xf>
    <xf numFmtId="0" fontId="158" fillId="2" borderId="4" xfId="0" applyFont="1" applyFill="1" applyBorder="1" applyAlignment="1">
      <alignment horizontal="center" vertical="center" wrapText="1"/>
    </xf>
    <xf numFmtId="0" fontId="158" fillId="2" borderId="5" xfId="0" applyFont="1" applyFill="1" applyBorder="1" applyAlignment="1">
      <alignment horizontal="center" vertical="center" wrapText="1"/>
    </xf>
    <xf numFmtId="0" fontId="165" fillId="0" borderId="0" xfId="39" applyFont="1" applyAlignment="1">
      <alignment horizontal="center" vertical="center" wrapText="1"/>
    </xf>
    <xf numFmtId="169" fontId="162" fillId="2" borderId="9" xfId="89" applyNumberFormat="1" applyFont="1" applyFill="1" applyBorder="1" applyAlignment="1">
      <alignment horizontal="center" vertical="center" wrapText="1"/>
    </xf>
    <xf numFmtId="0" fontId="164" fillId="2" borderId="0" xfId="0" applyFont="1" applyFill="1" applyAlignment="1">
      <alignment horizontal="center" vertical="center" wrapText="1"/>
    </xf>
    <xf numFmtId="0" fontId="163" fillId="2" borderId="0" xfId="0" applyFont="1" applyFill="1" applyAlignment="1">
      <alignment horizontal="center" vertical="center" wrapText="1"/>
    </xf>
    <xf numFmtId="0" fontId="158" fillId="2" borderId="1" xfId="0" applyFont="1" applyFill="1" applyBorder="1" applyAlignment="1">
      <alignment horizontal="center" vertical="center" wrapText="1"/>
    </xf>
    <xf numFmtId="169" fontId="158" fillId="2" borderId="1" xfId="89" applyNumberFormat="1" applyFont="1" applyFill="1" applyBorder="1" applyAlignment="1">
      <alignment horizontal="center" vertical="center" wrapText="1"/>
    </xf>
    <xf numFmtId="169" fontId="161" fillId="2" borderId="4" xfId="89" applyNumberFormat="1" applyFont="1" applyFill="1" applyBorder="1" applyAlignment="1">
      <alignment horizontal="center" vertical="center" wrapText="1"/>
    </xf>
    <xf numFmtId="169" fontId="161" fillId="2" borderId="5" xfId="89" applyNumberFormat="1" applyFont="1" applyFill="1" applyBorder="1" applyAlignment="1">
      <alignment horizontal="center" vertical="center" wrapText="1"/>
    </xf>
    <xf numFmtId="224" fontId="158" fillId="2" borderId="1" xfId="89" applyNumberFormat="1" applyFont="1" applyFill="1" applyBorder="1" applyAlignment="1">
      <alignment horizontal="center" vertical="center" wrapText="1"/>
    </xf>
    <xf numFmtId="223" fontId="158" fillId="2" borderId="1" xfId="89" applyNumberFormat="1" applyFont="1" applyFill="1" applyBorder="1" applyAlignment="1">
      <alignment horizontal="center" vertical="center" wrapText="1"/>
    </xf>
    <xf numFmtId="0" fontId="137" fillId="0" borderId="16" xfId="520" applyFont="1" applyBorder="1" applyAlignment="1">
      <alignment horizontal="center" vertical="center" wrapText="1"/>
    </xf>
    <xf numFmtId="0" fontId="130" fillId="0" borderId="16" xfId="520" applyFont="1" applyBorder="1" applyAlignment="1">
      <alignment horizontal="center" vertical="center" wrapText="1"/>
    </xf>
    <xf numFmtId="0" fontId="130" fillId="0" borderId="17" xfId="520" applyFont="1" applyBorder="1" applyAlignment="1">
      <alignment horizontal="center" vertical="center" wrapText="1"/>
    </xf>
    <xf numFmtId="0" fontId="129" fillId="0" borderId="0" xfId="520" applyFont="1" applyAlignment="1">
      <alignment horizontal="center" vertical="center" wrapText="1"/>
    </xf>
    <xf numFmtId="0" fontId="133" fillId="0" borderId="0" xfId="519" applyFont="1" applyBorder="1" applyAlignment="1">
      <alignment horizontal="center" vertical="center" wrapText="1"/>
    </xf>
    <xf numFmtId="0" fontId="133" fillId="0" borderId="9" xfId="519" applyFont="1" applyBorder="1" applyAlignment="1">
      <alignment horizontal="center" vertical="center" wrapText="1"/>
    </xf>
    <xf numFmtId="0" fontId="134" fillId="0" borderId="1" xfId="520" applyFont="1" applyBorder="1" applyAlignment="1">
      <alignment horizontal="center" vertical="center" wrapText="1"/>
    </xf>
    <xf numFmtId="0" fontId="134" fillId="0" borderId="4" xfId="520" applyFont="1" applyBorder="1" applyAlignment="1">
      <alignment horizontal="center" vertical="center" wrapText="1"/>
    </xf>
    <xf numFmtId="0" fontId="134" fillId="0" borderId="5" xfId="520" applyFont="1" applyBorder="1" applyAlignment="1">
      <alignment horizontal="center" vertical="center" wrapText="1"/>
    </xf>
    <xf numFmtId="0" fontId="134" fillId="0" borderId="2" xfId="520" applyFont="1" applyBorder="1" applyAlignment="1">
      <alignment horizontal="center" vertical="center" wrapText="1"/>
    </xf>
    <xf numFmtId="0" fontId="134" fillId="0" borderId="7" xfId="520" applyFont="1" applyBorder="1" applyAlignment="1">
      <alignment horizontal="center" vertical="center" wrapText="1"/>
    </xf>
    <xf numFmtId="0" fontId="134" fillId="0" borderId="3" xfId="520" applyFont="1" applyBorder="1" applyAlignment="1">
      <alignment horizontal="center" vertical="center" wrapText="1"/>
    </xf>
    <xf numFmtId="0" fontId="9" fillId="0" borderId="0" xfId="0" applyFont="1" applyAlignment="1">
      <alignment horizontal="center" vertical="center" wrapText="1"/>
    </xf>
    <xf numFmtId="0" fontId="12" fillId="0" borderId="0" xfId="0" applyFont="1" applyAlignment="1">
      <alignment horizontal="center" vertical="center" wrapText="1"/>
    </xf>
    <xf numFmtId="0" fontId="12" fillId="0" borderId="9" xfId="0" applyFont="1" applyBorder="1" applyAlignment="1">
      <alignment horizontal="center" vertical="center" wrapText="1"/>
    </xf>
    <xf numFmtId="0" fontId="130" fillId="0" borderId="16" xfId="473" applyFont="1" applyBorder="1" applyAlignment="1">
      <alignment horizontal="center" vertical="center" wrapText="1"/>
    </xf>
    <xf numFmtId="0" fontId="129" fillId="0" borderId="0" xfId="473" applyFont="1" applyAlignment="1">
      <alignment horizontal="center" vertical="center" wrapText="1"/>
    </xf>
    <xf numFmtId="0" fontId="133" fillId="0" borderId="0" xfId="472" applyFont="1" applyBorder="1" applyAlignment="1">
      <alignment horizontal="center" vertical="center" wrapText="1"/>
    </xf>
    <xf numFmtId="0" fontId="133" fillId="0" borderId="9" xfId="472" applyFont="1" applyBorder="1" applyAlignment="1">
      <alignment horizontal="center" vertical="center" wrapText="1"/>
    </xf>
    <xf numFmtId="0" fontId="134" fillId="0" borderId="1" xfId="473" applyFont="1" applyBorder="1" applyAlignment="1">
      <alignment horizontal="center" vertical="center" wrapText="1"/>
    </xf>
    <xf numFmtId="0" fontId="134" fillId="0" borderId="4" xfId="473" applyFont="1" applyBorder="1" applyAlignment="1">
      <alignment horizontal="center" vertical="center" wrapText="1"/>
    </xf>
    <xf numFmtId="0" fontId="134" fillId="0" borderId="5" xfId="473" applyFont="1" applyBorder="1" applyAlignment="1">
      <alignment horizontal="center" vertical="center" wrapText="1"/>
    </xf>
    <xf numFmtId="0" fontId="134" fillId="0" borderId="2" xfId="473" applyFont="1" applyBorder="1" applyAlignment="1">
      <alignment horizontal="center" vertical="center" wrapText="1"/>
    </xf>
    <xf numFmtId="0" fontId="134" fillId="0" borderId="7" xfId="473" applyFont="1" applyBorder="1" applyAlignment="1">
      <alignment horizontal="center" vertical="center" wrapText="1"/>
    </xf>
    <xf numFmtId="0" fontId="134" fillId="0" borderId="3" xfId="473" applyFont="1" applyBorder="1" applyAlignment="1">
      <alignment horizontal="center" vertical="center" wrapText="1"/>
    </xf>
  </cellXfs>
  <cellStyles count="522">
    <cellStyle name="_x0001_" xfId="160"/>
    <cellStyle name="??" xfId="161"/>
    <cellStyle name="?? [0.00]_ Att. 1- Cover" xfId="162"/>
    <cellStyle name="?? [0]" xfId="163"/>
    <cellStyle name="?_x001d_??%U©÷u&amp;H©÷9_x0008_? s_x000a__x0007__x0001__x0001_" xfId="164"/>
    <cellStyle name="?_x001d_??%U©÷u&amp;H©÷9_x0008_?_x0009_s_x000a__x0007__x0001__x0001_" xfId="165"/>
    <cellStyle name="???? [0.00]_PRODUCT DETAIL Q1" xfId="166"/>
    <cellStyle name="????_PRODUCT DETAIL Q1" xfId="167"/>
    <cellStyle name="???[0]_?? DI" xfId="168"/>
    <cellStyle name="???_?? DI" xfId="169"/>
    <cellStyle name="??[0]_BRE" xfId="170"/>
    <cellStyle name="??_ Att. 1- Cover" xfId="171"/>
    <cellStyle name="??A? [0]_ÿÿÿÿÿÿ_1_¢¬???¢â? " xfId="172"/>
    <cellStyle name="??A?_ÿÿÿÿÿÿ_1_¢¬???¢â? " xfId="173"/>
    <cellStyle name="?¡±¢¥?_?¨ù??¢´¢¥_¢¬???¢â? " xfId="174"/>
    <cellStyle name="?ðÇ%U?&amp;H?_x0008_?s_x000a__x0007__x0001__x0001_" xfId="175"/>
    <cellStyle name="_130307 So sanh thuc hien 2012 - du toan 2012 moi (pan khac)" xfId="176"/>
    <cellStyle name="_130313 Mau  bieu bao cao nguon luc cua dia phuong sua" xfId="177"/>
    <cellStyle name="_130818 Tong hop Danh gia thu 2013" xfId="178"/>
    <cellStyle name="_Bang Chi tieu (2)" xfId="179"/>
    <cellStyle name="_DG 2012-DT2013 - Theo sac thue -sua" xfId="180"/>
    <cellStyle name="_DG 2012-DT2013 - Theo sac thue -sua_120907 Thu tang them 4500" xfId="181"/>
    <cellStyle name="_KT (2)" xfId="182"/>
    <cellStyle name="_KT (2)_1" xfId="183"/>
    <cellStyle name="_KT (2)_2" xfId="184"/>
    <cellStyle name="_KT (2)_2_TG-TH" xfId="185"/>
    <cellStyle name="_KT (2)_3" xfId="186"/>
    <cellStyle name="_KT (2)_3_TG-TH" xfId="187"/>
    <cellStyle name="_KT (2)_4" xfId="188"/>
    <cellStyle name="_KT (2)_4_TG-TH" xfId="189"/>
    <cellStyle name="_KT (2)_5" xfId="190"/>
    <cellStyle name="_KT (2)_TG-TH" xfId="191"/>
    <cellStyle name="_KT_TG" xfId="192"/>
    <cellStyle name="_KT_TG_1" xfId="193"/>
    <cellStyle name="_KT_TG_2" xfId="194"/>
    <cellStyle name="_KT_TG_3" xfId="195"/>
    <cellStyle name="_KT_TG_4" xfId="196"/>
    <cellStyle name="_Phu luc kem BC gui VP Bo (18.2)" xfId="197"/>
    <cellStyle name="_TG-TH" xfId="198"/>
    <cellStyle name="_TG-TH_1" xfId="199"/>
    <cellStyle name="_TG-TH_2" xfId="200"/>
    <cellStyle name="_TG-TH_3" xfId="201"/>
    <cellStyle name="_TG-TH_4" xfId="202"/>
    <cellStyle name="~1" xfId="203"/>
    <cellStyle name="0" xfId="204"/>
    <cellStyle name="1" xfId="205"/>
    <cellStyle name="1_2-Ha GiangBB2011-V1" xfId="206"/>
    <cellStyle name="1_50-BB Vung tau 2011" xfId="207"/>
    <cellStyle name="1_52-Long An2011.BB-V1" xfId="208"/>
    <cellStyle name="¹éºÐÀ²_±âÅ¸" xfId="209"/>
    <cellStyle name="2" xfId="210"/>
    <cellStyle name="20" xfId="211"/>
    <cellStyle name="3" xfId="212"/>
    <cellStyle name="4" xfId="213"/>
    <cellStyle name="ÅëÈ­ [0]_¿ì¹°Åë" xfId="214"/>
    <cellStyle name="AeE­ [0]_INQUIRY ¿?¾÷AßAø " xfId="215"/>
    <cellStyle name="ÅëÈ­ [0]_laroux" xfId="216"/>
    <cellStyle name="ÅëÈ­_¿ì¹°Åë" xfId="217"/>
    <cellStyle name="AeE­_INQUIRY ¿?¾÷AßAø " xfId="218"/>
    <cellStyle name="ÅëÈ­_laroux" xfId="219"/>
    <cellStyle name="args.style" xfId="220"/>
    <cellStyle name="ÄÞ¸¶ [0]_¿ì¹°Åë" xfId="221"/>
    <cellStyle name="AÞ¸¶ [0]_INQUIRY ¿?¾÷AßAø " xfId="222"/>
    <cellStyle name="ÄÞ¸¶ [0]_laroux" xfId="223"/>
    <cellStyle name="ÄÞ¸¶_¿ì¹°Åë" xfId="224"/>
    <cellStyle name="AÞ¸¶_INQUIRY ¿?¾÷AßAø " xfId="225"/>
    <cellStyle name="ÄÞ¸¶_laroux" xfId="226"/>
    <cellStyle name="AutoFormat Options" xfId="227"/>
    <cellStyle name="Bình thường" xfId="0" builtinId="0"/>
    <cellStyle name="Bình thường 2" xfId="6"/>
    <cellStyle name="Bình thường 2 2" xfId="33"/>
    <cellStyle name="Bình thường 2 2 2" xfId="58"/>
    <cellStyle name="Bình thường 2 3" xfId="50"/>
    <cellStyle name="Bình thường 2 4" xfId="87"/>
    <cellStyle name="Bình thường 2 5" xfId="515"/>
    <cellStyle name="Bình thường 3" xfId="36"/>
    <cellStyle name="Body" xfId="228"/>
    <cellStyle name="C?AØ_¿?¾÷CoE² " xfId="229"/>
    <cellStyle name="Ç¥ÁØ_#2(M17)_1" xfId="230"/>
    <cellStyle name="C￥AØ_¿μ¾÷CoE² " xfId="231"/>
    <cellStyle name="Ç¥ÁØ_±³°¢¼ö·®" xfId="232"/>
    <cellStyle name="C￥AØ_Sheet1_¿μ¾÷CoE² " xfId="233"/>
    <cellStyle name="Calc Currency (0)" xfId="234"/>
    <cellStyle name="Calc Currency (2)" xfId="235"/>
    <cellStyle name="Calc Percent (0)" xfId="236"/>
    <cellStyle name="Calc Percent (1)" xfId="237"/>
    <cellStyle name="Calc Percent (2)" xfId="238"/>
    <cellStyle name="Calc Units (0)" xfId="239"/>
    <cellStyle name="Calc Units (1)" xfId="240"/>
    <cellStyle name="Calc Units (2)" xfId="241"/>
    <cellStyle name="category" xfId="242"/>
    <cellStyle name="Chi phÝ kh¸c_Book1" xfId="243"/>
    <cellStyle name="Chuẩn 2" xfId="27"/>
    <cellStyle name="Chuẩn 2 2" xfId="45"/>
    <cellStyle name="Chuẩn 2 2 2" xfId="47"/>
    <cellStyle name="Chuẩn 2 3" xfId="49"/>
    <cellStyle name="Chuẩn 2 4" xfId="97"/>
    <cellStyle name="Chuẩn 2 5" xfId="474"/>
    <cellStyle name="Chuẩn 2 7" xfId="476"/>
    <cellStyle name="Chuẩn 3" xfId="98"/>
    <cellStyle name="Chuẩn 7" xfId="99"/>
    <cellStyle name="Comma  - Style1" xfId="244"/>
    <cellStyle name="Comma  - Style2" xfId="245"/>
    <cellStyle name="Comma  - Style3" xfId="246"/>
    <cellStyle name="Comma  - Style4" xfId="247"/>
    <cellStyle name="Comma  - Style5" xfId="248"/>
    <cellStyle name="Comma  - Style6" xfId="249"/>
    <cellStyle name="Comma  - Style7" xfId="250"/>
    <cellStyle name="Comma  - Style8" xfId="251"/>
    <cellStyle name="Comma [0] 2" xfId="13"/>
    <cellStyle name="Comma [0] 2 2" xfId="17"/>
    <cellStyle name="Comma [0] 2 3" xfId="57"/>
    <cellStyle name="Comma [0] 2 3 2" xfId="506"/>
    <cellStyle name="Comma [0] 2 4" xfId="125"/>
    <cellStyle name="Comma [0] 3" xfId="5"/>
    <cellStyle name="Comma [00]" xfId="252"/>
    <cellStyle name="Comma 10" xfId="60"/>
    <cellStyle name="Comma 10 2" xfId="253"/>
    <cellStyle name="Comma 10 3" xfId="129"/>
    <cellStyle name="Comma 11" xfId="83"/>
    <cellStyle name="Comma 11 2" xfId="254"/>
    <cellStyle name="Comma 12" xfId="85"/>
    <cellStyle name="Comma 12 2" xfId="255"/>
    <cellStyle name="Comma 13" xfId="89"/>
    <cellStyle name="Comma 13 2" xfId="469"/>
    <cellStyle name="Comma 14" xfId="93"/>
    <cellStyle name="Comma 15" xfId="471"/>
    <cellStyle name="Comma 16" xfId="477"/>
    <cellStyle name="Comma 17" xfId="487"/>
    <cellStyle name="Comma 18" xfId="493"/>
    <cellStyle name="Comma 19" xfId="490"/>
    <cellStyle name="Comma 2" xfId="7"/>
    <cellStyle name="Comma 2 2" xfId="15"/>
    <cellStyle name="Comma 2 2 2" xfId="63"/>
    <cellStyle name="Comma 2 2 2 2" xfId="256"/>
    <cellStyle name="Comma 2 2 3" xfId="257"/>
    <cellStyle name="Comma 2 2 4" xfId="100"/>
    <cellStyle name="Comma 2 2 5" xfId="479"/>
    <cellStyle name="Comma 2 3" xfId="32"/>
    <cellStyle name="Comma 2 3 2" xfId="258"/>
    <cellStyle name="Comma 2 3 3" xfId="101"/>
    <cellStyle name="Comma 2 4" xfId="28"/>
    <cellStyle name="Comma 2 4 2" xfId="259"/>
    <cellStyle name="Comma 2 5" xfId="48"/>
    <cellStyle name="Comma 2 5 2" xfId="260"/>
    <cellStyle name="Comma 2 6" xfId="62"/>
    <cellStyle name="Comma 2 6 2" xfId="261"/>
    <cellStyle name="Comma 2 7" xfId="478"/>
    <cellStyle name="Comma 2_bao cao cua UBND tinh quy II - 2011" xfId="88"/>
    <cellStyle name="Comma 20" xfId="494"/>
    <cellStyle name="Comma 21" xfId="496"/>
    <cellStyle name="Comma 22" xfId="511"/>
    <cellStyle name="Comma 23" xfId="514"/>
    <cellStyle name="Comma 3" xfId="4"/>
    <cellStyle name="Comma 3 2" xfId="55"/>
    <cellStyle name="Comma 3 2 2" xfId="65"/>
    <cellStyle name="Comma 3 2 2 2" xfId="262"/>
    <cellStyle name="Comma 3 2 2 3" xfId="104"/>
    <cellStyle name="Comma 3 2 3" xfId="96"/>
    <cellStyle name="Comma 3 2 4" xfId="263"/>
    <cellStyle name="Comma 3 2 5" xfId="103"/>
    <cellStyle name="Comma 3 2 6" xfId="505"/>
    <cellStyle name="Comma 3 3" xfId="64"/>
    <cellStyle name="Comma 3 3 2" xfId="106"/>
    <cellStyle name="Comma 3 3 3" xfId="105"/>
    <cellStyle name="Comma 3 4" xfId="264"/>
    <cellStyle name="Comma 3 5" xfId="102"/>
    <cellStyle name="Comma 3 6" xfId="513"/>
    <cellStyle name="Comma 4" xfId="21"/>
    <cellStyle name="Comma 4 2" xfId="108"/>
    <cellStyle name="Comma 4 3" xfId="56"/>
    <cellStyle name="Comma 4 3 2" xfId="265"/>
    <cellStyle name="Comma 4 4" xfId="266"/>
    <cellStyle name="Comma 4 5" xfId="107"/>
    <cellStyle name="Comma 4 6" xfId="480"/>
    <cellStyle name="Comma 5" xfId="26"/>
    <cellStyle name="Comma 5 2" xfId="54"/>
    <cellStyle name="Comma 6" xfId="40"/>
    <cellStyle name="Comma 6 2" xfId="109"/>
    <cellStyle name="Comma 7" xfId="43"/>
    <cellStyle name="Comma 7 2" xfId="130"/>
    <cellStyle name="Comma 7 3" xfId="110"/>
    <cellStyle name="Comma 7 4" xfId="503"/>
    <cellStyle name="Comma 8" xfId="53"/>
    <cellStyle name="Comma 8 2" xfId="111"/>
    <cellStyle name="Comma 9" xfId="61"/>
    <cellStyle name="Comma 9 2" xfId="267"/>
    <cellStyle name="Comma 9 3" xfId="127"/>
    <cellStyle name="comma zerodec" xfId="268"/>
    <cellStyle name="Comma0" xfId="269"/>
    <cellStyle name="Copied" xfId="270"/>
    <cellStyle name="Currency [00]" xfId="271"/>
    <cellStyle name="Currency0" xfId="272"/>
    <cellStyle name="Currency1" xfId="273"/>
    <cellStyle name="Date" xfId="274"/>
    <cellStyle name="Date Short" xfId="275"/>
    <cellStyle name="Dấu phảy [0]" xfId="512" builtinId="6"/>
    <cellStyle name="Dấu phảy 2" xfId="35"/>
    <cellStyle name="Dấu phẩy 2" xfId="37"/>
    <cellStyle name="Dấu phảy 2 2" xfId="131"/>
    <cellStyle name="Dấu phẩy 2 2" xfId="59"/>
    <cellStyle name="Dấu phảy 2 3" xfId="112"/>
    <cellStyle name="Dấu phảy 3" xfId="113"/>
    <cellStyle name="Dấu phẩy 3" xfId="38"/>
    <cellStyle name="Dấu phẩy 5" xfId="34"/>
    <cellStyle name="Dấu_phảy" xfId="2" builtinId="3"/>
    <cellStyle name="Dezimal [0]_NEGS" xfId="276"/>
    <cellStyle name="Dezimal_NEGS" xfId="277"/>
    <cellStyle name="Dollar (zero dec)" xfId="278"/>
    <cellStyle name="Dziesi?tny [0]_Invoices2001Slovakia" xfId="279"/>
    <cellStyle name="Dziesi?tny_Invoices2001Slovakia" xfId="280"/>
    <cellStyle name="Dziesietny [0]_Invoices2001Slovakia" xfId="281"/>
    <cellStyle name="Dziesiętny [0]_Invoices2001Slovakia" xfId="282"/>
    <cellStyle name="Dziesietny [0]_Invoices2001Slovakia_Book1" xfId="283"/>
    <cellStyle name="Dziesiętny [0]_Invoices2001Slovakia_Book1" xfId="284"/>
    <cellStyle name="Dziesietny [0]_Invoices2001Slovakia_Book1_Tong hop Cac tuyen(9-1-06)" xfId="285"/>
    <cellStyle name="Dziesiętny [0]_Invoices2001Slovakia_Book1_Tong hop Cac tuyen(9-1-06)" xfId="286"/>
    <cellStyle name="Dziesietny [0]_Invoices2001Slovakia_KL K.C mat duong" xfId="287"/>
    <cellStyle name="Dziesiętny [0]_Invoices2001Slovakia_Nhalamviec VTC(25-1-05)" xfId="288"/>
    <cellStyle name="Dziesietny [0]_Invoices2001Slovakia_TDT KHANH HOA" xfId="289"/>
    <cellStyle name="Dziesiętny [0]_Invoices2001Slovakia_TDT KHANH HOA" xfId="290"/>
    <cellStyle name="Dziesietny [0]_Invoices2001Slovakia_TDT KHANH HOA_Tong hop Cac tuyen(9-1-06)" xfId="291"/>
    <cellStyle name="Dziesiętny [0]_Invoices2001Slovakia_TDT KHANH HOA_Tong hop Cac tuyen(9-1-06)" xfId="292"/>
    <cellStyle name="Dziesietny [0]_Invoices2001Slovakia_TDT quangngai" xfId="293"/>
    <cellStyle name="Dziesiętny [0]_Invoices2001Slovakia_TDT quangngai" xfId="294"/>
    <cellStyle name="Dziesietny [0]_Invoices2001Slovakia_Tong hop Cac tuyen(9-1-06)" xfId="295"/>
    <cellStyle name="Dziesietny_Invoices2001Slovakia" xfId="296"/>
    <cellStyle name="Dziesiętny_Invoices2001Slovakia" xfId="297"/>
    <cellStyle name="Dziesietny_Invoices2001Slovakia_Book1" xfId="298"/>
    <cellStyle name="Dziesiętny_Invoices2001Slovakia_Book1" xfId="299"/>
    <cellStyle name="Dziesietny_Invoices2001Slovakia_Book1_Tong hop Cac tuyen(9-1-06)" xfId="300"/>
    <cellStyle name="Dziesiętny_Invoices2001Slovakia_Book1_Tong hop Cac tuyen(9-1-06)" xfId="301"/>
    <cellStyle name="Dziesietny_Invoices2001Slovakia_KL K.C mat duong" xfId="302"/>
    <cellStyle name="Dziesiętny_Invoices2001Slovakia_Nhalamviec VTC(25-1-05)" xfId="303"/>
    <cellStyle name="Dziesietny_Invoices2001Slovakia_TDT KHANH HOA" xfId="304"/>
    <cellStyle name="Dziesiętny_Invoices2001Slovakia_TDT KHANH HOA" xfId="305"/>
    <cellStyle name="Dziesietny_Invoices2001Slovakia_TDT KHANH HOA_Tong hop Cac tuyen(9-1-06)" xfId="306"/>
    <cellStyle name="Dziesiętny_Invoices2001Slovakia_TDT KHANH HOA_Tong hop Cac tuyen(9-1-06)" xfId="307"/>
    <cellStyle name="Dziesietny_Invoices2001Slovakia_TDT quangngai" xfId="308"/>
    <cellStyle name="Dziesiętny_Invoices2001Slovakia_TDT quangngai" xfId="309"/>
    <cellStyle name="Dziesietny_Invoices2001Slovakia_Tong hop Cac tuyen(9-1-06)" xfId="310"/>
    <cellStyle name="Enter Currency (0)" xfId="311"/>
    <cellStyle name="Enter Currency (2)" xfId="312"/>
    <cellStyle name="Enter Units (0)" xfId="313"/>
    <cellStyle name="Enter Units (1)" xfId="314"/>
    <cellStyle name="Enter Units (2)" xfId="315"/>
    <cellStyle name="Entered" xfId="316"/>
    <cellStyle name="Excel Built-in Normal" xfId="317"/>
    <cellStyle name="Fixed" xfId="318"/>
    <cellStyle name="Grey" xfId="319"/>
    <cellStyle name="HAI" xfId="320"/>
    <cellStyle name="Head 1" xfId="321"/>
    <cellStyle name="HEADER" xfId="322"/>
    <cellStyle name="Header1" xfId="323"/>
    <cellStyle name="Header2" xfId="324"/>
    <cellStyle name="HEADING1" xfId="325"/>
    <cellStyle name="HEADING2" xfId="326"/>
    <cellStyle name="HEADINGS" xfId="327"/>
    <cellStyle name="HEADINGSTOP" xfId="328"/>
    <cellStyle name="headoption" xfId="329"/>
    <cellStyle name="Hoa-Scholl" xfId="330"/>
    <cellStyle name="Hyperlink 2" xfId="11"/>
    <cellStyle name="i·0" xfId="331"/>
    <cellStyle name="Input [yellow]" xfId="332"/>
    <cellStyle name="khanh" xfId="333"/>
    <cellStyle name="Ledger 17 x 11 in" xfId="334"/>
    <cellStyle name="Link Currency (0)" xfId="335"/>
    <cellStyle name="Link Currency (2)" xfId="336"/>
    <cellStyle name="Link Units (0)" xfId="337"/>
    <cellStyle name="Link Units (1)" xfId="338"/>
    <cellStyle name="Link Units (2)" xfId="339"/>
    <cellStyle name="Millares [0]_Well Timing" xfId="340"/>
    <cellStyle name="Millares_Well Timing" xfId="341"/>
    <cellStyle name="Milliers [0]_      " xfId="342"/>
    <cellStyle name="Milliers_      " xfId="343"/>
    <cellStyle name="Model" xfId="344"/>
    <cellStyle name="moi" xfId="345"/>
    <cellStyle name="Moneda [0]_Well Timing" xfId="346"/>
    <cellStyle name="Moneda_Well Timing" xfId="347"/>
    <cellStyle name="Monétaire [0]_      " xfId="348"/>
    <cellStyle name="Monétaire_      " xfId="349"/>
    <cellStyle name="n" xfId="350"/>
    <cellStyle name="New Times Roman" xfId="351"/>
    <cellStyle name="no dec" xfId="352"/>
    <cellStyle name="Normal - Style1" xfId="114"/>
    <cellStyle name="Normal 10" xfId="8"/>
    <cellStyle name="Normal 10 2" xfId="132"/>
    <cellStyle name="Normal 10 3" xfId="353"/>
    <cellStyle name="Normal 10 4" xfId="481"/>
    <cellStyle name="Normal 11" xfId="23"/>
    <cellStyle name="Normal 11 2" xfId="128"/>
    <cellStyle name="Normal 11 3" xfId="482"/>
    <cellStyle name="Normal 12" xfId="24"/>
    <cellStyle name="Normal 12 2" xfId="133"/>
    <cellStyle name="Normal 12 3" xfId="483"/>
    <cellStyle name="Normal 13" xfId="25"/>
    <cellStyle name="Normal 13 2" xfId="134"/>
    <cellStyle name="Normal 14" xfId="39"/>
    <cellStyle name="Normal 14 2" xfId="135"/>
    <cellStyle name="Normal 15" xfId="52"/>
    <cellStyle name="Normal 15 2" xfId="136"/>
    <cellStyle name="Normal 16" xfId="137"/>
    <cellStyle name="Normal 17" xfId="138"/>
    <cellStyle name="Normal 18" xfId="354"/>
    <cellStyle name="Normal 19" xfId="355"/>
    <cellStyle name="Normal 2" xfId="1"/>
    <cellStyle name="Normal 2 10" xfId="484"/>
    <cellStyle name="Normal 2 10 2" xfId="521"/>
    <cellStyle name="Normal 2 2" xfId="16"/>
    <cellStyle name="Normal 2 2 2" xfId="51"/>
    <cellStyle name="Normal 2 2 2 2" xfId="356"/>
    <cellStyle name="Normal 2 2 2 3" xfId="115"/>
    <cellStyle name="Normal 2 2 3" xfId="66"/>
    <cellStyle name="Normal 2 2 3 2" xfId="159"/>
    <cellStyle name="Normal 2 2 3 3" xfId="126"/>
    <cellStyle name="Normal 2 2 4" xfId="91"/>
    <cellStyle name="Normal 2 2 5" xfId="485"/>
    <cellStyle name="Normal 2 3" xfId="12"/>
    <cellStyle name="Normal 2 3 2" xfId="81"/>
    <cellStyle name="Normal 2 3 2 2" xfId="357"/>
    <cellStyle name="Normal 2 3 2 3" xfId="116"/>
    <cellStyle name="Normal 2 3 3" xfId="90"/>
    <cellStyle name="Normal 2 3 4" xfId="358"/>
    <cellStyle name="Normal 2 3 5" xfId="80"/>
    <cellStyle name="Normal 2 4" xfId="29"/>
    <cellStyle name="Normal 2 4 2" xfId="359"/>
    <cellStyle name="Normal 2 4 3" xfId="486"/>
    <cellStyle name="Normal 2 5" xfId="31"/>
    <cellStyle name="Normal 2 5 2" xfId="118"/>
    <cellStyle name="Normal 2 5 3" xfId="119"/>
    <cellStyle name="Normal 2 5 4" xfId="360"/>
    <cellStyle name="Normal 2 5 5" xfId="117"/>
    <cellStyle name="Normal 2 5 6" xfId="501"/>
    <cellStyle name="Normal 2 6" xfId="44"/>
    <cellStyle name="Normal 2 6 2" xfId="120"/>
    <cellStyle name="Normal 2 6 3" xfId="504"/>
    <cellStyle name="Normal 2 7" xfId="46"/>
    <cellStyle name="Normal 2 8" xfId="92"/>
    <cellStyle name="Normal 2 9" xfId="473"/>
    <cellStyle name="Normal 2 9 2" xfId="508"/>
    <cellStyle name="Normal 2 9 3" xfId="520"/>
    <cellStyle name="Normal 20" xfId="361"/>
    <cellStyle name="Normal 21" xfId="470"/>
    <cellStyle name="Normal 22" xfId="472"/>
    <cellStyle name="Normal 22 2" xfId="507"/>
    <cellStyle name="Normal 22 3" xfId="519"/>
    <cellStyle name="Normal 23" xfId="475"/>
    <cellStyle name="Normal 24" xfId="491"/>
    <cellStyle name="Normal 25" xfId="495"/>
    <cellStyle name="Normal 26" xfId="497"/>
    <cellStyle name="Normal 27" xfId="498"/>
    <cellStyle name="Normal 28" xfId="139"/>
    <cellStyle name="Normal 29" xfId="499"/>
    <cellStyle name="Normal 3" xfId="14"/>
    <cellStyle name="Normal 3 2" xfId="67"/>
    <cellStyle name="Normal 3 2 2" xfId="82"/>
    <cellStyle name="Normal 3 2 2 2" xfId="86"/>
    <cellStyle name="Normal 3 2 2 3" xfId="362"/>
    <cellStyle name="Normal 3 3" xfId="78"/>
    <cellStyle name="Normal 3 3 2" xfId="158"/>
    <cellStyle name="Normal 30" xfId="140"/>
    <cellStyle name="Normal 31" xfId="509"/>
    <cellStyle name="Normal 32" xfId="141"/>
    <cellStyle name="Normal 33" xfId="142"/>
    <cellStyle name="Normal 34" xfId="510"/>
    <cellStyle name="Normal 35" xfId="143"/>
    <cellStyle name="Normal 36" xfId="516"/>
    <cellStyle name="Normal 37" xfId="144"/>
    <cellStyle name="Normal 39" xfId="145"/>
    <cellStyle name="Normal 4" xfId="9"/>
    <cellStyle name="Normal 4 2" xfId="69"/>
    <cellStyle name="Normal 4 2 2" xfId="121"/>
    <cellStyle name="Normal 4 3" xfId="68"/>
    <cellStyle name="Normal 4 3 2" xfId="363"/>
    <cellStyle name="Normal 4 4" xfId="488"/>
    <cellStyle name="Normal 41" xfId="146"/>
    <cellStyle name="Normal 43" xfId="147"/>
    <cellStyle name="Normal 45" xfId="148"/>
    <cellStyle name="Normal 47" xfId="149"/>
    <cellStyle name="Normal 49" xfId="150"/>
    <cellStyle name="Normal 5" xfId="3"/>
    <cellStyle name="Normal 5 2" xfId="30"/>
    <cellStyle name="Normal 5 2 2" xfId="71"/>
    <cellStyle name="Normal 5 2 2 2" xfId="364"/>
    <cellStyle name="Normal 5 3" xfId="70"/>
    <cellStyle name="Normal 5 3 2" xfId="365"/>
    <cellStyle name="Normal 5 4" xfId="489"/>
    <cellStyle name="Normal 51" xfId="151"/>
    <cellStyle name="Normal 53" xfId="152"/>
    <cellStyle name="Normal 55" xfId="153"/>
    <cellStyle name="Normal 57" xfId="154"/>
    <cellStyle name="Normal 59" xfId="155"/>
    <cellStyle name="Normal 6" xfId="18"/>
    <cellStyle name="Normal 6 2" xfId="72"/>
    <cellStyle name="Normal 6 2 2" xfId="95"/>
    <cellStyle name="Normal 6 3" xfId="79"/>
    <cellStyle name="Normal 6 4" xfId="94"/>
    <cellStyle name="Normal 6 5" xfId="500"/>
    <cellStyle name="Normal 6 6" xfId="517"/>
    <cellStyle name="Normal 61" xfId="156"/>
    <cellStyle name="Normal 7" xfId="19"/>
    <cellStyle name="Normal 7 2" xfId="122"/>
    <cellStyle name="Normal 8" xfId="20"/>
    <cellStyle name="Normal 8 2" xfId="366"/>
    <cellStyle name="Normal 8 3" xfId="123"/>
    <cellStyle name="Normal 9" xfId="22"/>
    <cellStyle name="Normal 9 2" xfId="157"/>
    <cellStyle name="Normal 9 3" xfId="124"/>
    <cellStyle name="Normal_Copy of Bang tổng hợp DT rừng và nhiệm vụ " xfId="84"/>
    <cellStyle name="Normal_Sheet3" xfId="518"/>
    <cellStyle name="Normal1" xfId="367"/>
    <cellStyle name="Normalny_Cennik obowiazuje od 06-08-2001 r (1)" xfId="368"/>
    <cellStyle name="oft Excel]_x000d__x000a_Comment=open=/f ‚ðw’è‚·‚é‚ÆAƒ†[ƒU[’è‹`ŠÖ”‚ðŠÖ”“\‚è•t‚¯‚Ìˆê——‚É“o˜^‚·‚é‚±‚Æ‚ª‚Å‚«‚Ü‚·B_x000d__x000a_Maximized" xfId="369"/>
    <cellStyle name="oft Excel]_x000d__x000a_Comment=open=/f ‚ðŽw’è‚·‚é‚ÆAƒ†[ƒU[’è‹`ŠÖ”‚ðŠÖ”“\‚è•t‚¯‚Ìˆê——‚É“o˜^‚·‚é‚±‚Æ‚ª‚Å‚«‚Ü‚·B_x000d__x000a_Maximized" xfId="370"/>
    <cellStyle name="per.style" xfId="371"/>
    <cellStyle name="Percent [0]" xfId="372"/>
    <cellStyle name="Percent [00]" xfId="373"/>
    <cellStyle name="Percent [2]" xfId="374"/>
    <cellStyle name="Percent 10" xfId="375"/>
    <cellStyle name="Percent 2" xfId="10"/>
    <cellStyle name="Percent 2 2" xfId="74"/>
    <cellStyle name="Percent 2 3" xfId="73"/>
    <cellStyle name="Percent 2 4" xfId="492"/>
    <cellStyle name="Percent 3" xfId="41"/>
    <cellStyle name="Percent 3 2" xfId="75"/>
    <cellStyle name="Percent 4" xfId="42"/>
    <cellStyle name="Percent 4 2" xfId="77"/>
    <cellStyle name="Percent 4 3" xfId="76"/>
    <cellStyle name="Percent 4 4" xfId="502"/>
    <cellStyle name="PERCENTAGE" xfId="376"/>
    <cellStyle name="PrePop Currency (0)" xfId="377"/>
    <cellStyle name="PrePop Currency (2)" xfId="378"/>
    <cellStyle name="PrePop Units (0)" xfId="379"/>
    <cellStyle name="PrePop Units (1)" xfId="380"/>
    <cellStyle name="PrePop Units (2)" xfId="381"/>
    <cellStyle name="pricing" xfId="382"/>
    <cellStyle name="PSChar" xfId="383"/>
    <cellStyle name="PSHeading" xfId="384"/>
    <cellStyle name="regstoresfromspecstores" xfId="385"/>
    <cellStyle name="RevList" xfId="386"/>
    <cellStyle name="S—_x0008_" xfId="387"/>
    <cellStyle name="SAPBEXaggData" xfId="388"/>
    <cellStyle name="SAPBEXaggDataEmph" xfId="389"/>
    <cellStyle name="SAPBEXaggItem" xfId="390"/>
    <cellStyle name="SAPBEXchaText" xfId="391"/>
    <cellStyle name="SAPBEXexcBad7" xfId="392"/>
    <cellStyle name="SAPBEXexcBad8" xfId="393"/>
    <cellStyle name="SAPBEXexcBad9" xfId="394"/>
    <cellStyle name="SAPBEXexcCritical4" xfId="395"/>
    <cellStyle name="SAPBEXexcCritical5" xfId="396"/>
    <cellStyle name="SAPBEXexcCritical6" xfId="397"/>
    <cellStyle name="SAPBEXexcGood1" xfId="398"/>
    <cellStyle name="SAPBEXexcGood2" xfId="399"/>
    <cellStyle name="SAPBEXexcGood3" xfId="400"/>
    <cellStyle name="SAPBEXfilterDrill" xfId="401"/>
    <cellStyle name="SAPBEXfilterItem" xfId="402"/>
    <cellStyle name="SAPBEXfilterText" xfId="403"/>
    <cellStyle name="SAPBEXformats" xfId="404"/>
    <cellStyle name="SAPBEXheaderItem" xfId="405"/>
    <cellStyle name="SAPBEXheaderText" xfId="406"/>
    <cellStyle name="SAPBEXresData" xfId="407"/>
    <cellStyle name="SAPBEXresDataEmph" xfId="408"/>
    <cellStyle name="SAPBEXresItem" xfId="409"/>
    <cellStyle name="SAPBEXstdData" xfId="410"/>
    <cellStyle name="SAPBEXstdDataEmph" xfId="411"/>
    <cellStyle name="SAPBEXstdItem" xfId="412"/>
    <cellStyle name="SAPBEXtitle" xfId="413"/>
    <cellStyle name="SAPBEXundefined" xfId="414"/>
    <cellStyle name="SHADEDSTORES" xfId="415"/>
    <cellStyle name="specstores" xfId="416"/>
    <cellStyle name="Standard" xfId="417"/>
    <cellStyle name="Style 1" xfId="418"/>
    <cellStyle name="Style 2" xfId="419"/>
    <cellStyle name="Style 3" xfId="420"/>
    <cellStyle name="Style 4" xfId="421"/>
    <cellStyle name="Style 5" xfId="422"/>
    <cellStyle name="subhead" xfId="423"/>
    <cellStyle name="Subtotal" xfId="424"/>
    <cellStyle name="T" xfId="425"/>
    <cellStyle name="T_50-BB Vung tau 2011" xfId="426"/>
    <cellStyle name="T_50-BB Vung tau 2011_120907 Thu tang them 4500" xfId="427"/>
    <cellStyle name="Text Indent A" xfId="428"/>
    <cellStyle name="Text Indent B" xfId="429"/>
    <cellStyle name="Text Indent C" xfId="430"/>
    <cellStyle name="th" xfId="431"/>
    <cellStyle name="þ_x001d_ðK_x000c_Fý_x001b__x000d_9ýU_x0001_Ð_x0008_¦)_x0007__x0001__x0001_" xfId="432"/>
    <cellStyle name="Thuyet minh" xfId="433"/>
    <cellStyle name="viet" xfId="434"/>
    <cellStyle name="viet2" xfId="435"/>
    <cellStyle name="Vn Time 13" xfId="436"/>
    <cellStyle name="Vn Time 14" xfId="437"/>
    <cellStyle name="vnbo" xfId="438"/>
    <cellStyle name="vnhead1" xfId="439"/>
    <cellStyle name="vnhead2" xfId="440"/>
    <cellStyle name="vnhead3" xfId="441"/>
    <cellStyle name="vnhead4" xfId="442"/>
    <cellStyle name="vntxt1" xfId="443"/>
    <cellStyle name="vntxt2" xfId="444"/>
    <cellStyle name="Walutowy [0]_Invoices2001Slovakia" xfId="445"/>
    <cellStyle name="Walutowy_Invoices2001Slovakia" xfId="446"/>
    <cellStyle name="xuan" xfId="447"/>
    <cellStyle name=" [0.00]_ Att. 1- Cover" xfId="448"/>
    <cellStyle name="_ Att. 1- Cover" xfId="449"/>
    <cellStyle name="?_ Att. 1- Cover" xfId="450"/>
    <cellStyle name="똿뗦먛귟 [0.00]_PRODUCT DETAIL Q1" xfId="451"/>
    <cellStyle name="똿뗦먛귟_PRODUCT DETAIL Q1" xfId="452"/>
    <cellStyle name="믅됞 [0.00]_PRODUCT DETAIL Q1" xfId="453"/>
    <cellStyle name="믅됞_PRODUCT DETAIL Q1" xfId="454"/>
    <cellStyle name="백분율_95" xfId="455"/>
    <cellStyle name="뷭?_BOOKSHIP" xfId="456"/>
    <cellStyle name="콤마 [0]_1202" xfId="457"/>
    <cellStyle name="콤마_1202" xfId="458"/>
    <cellStyle name="통화 [0]_1202" xfId="459"/>
    <cellStyle name="통화_1202" xfId="460"/>
    <cellStyle name="표준_(정보부문)월별인원계획" xfId="461"/>
    <cellStyle name="一般_00Q3902REV.1" xfId="462"/>
    <cellStyle name="千分位[0]_00Q3902REV.1" xfId="463"/>
    <cellStyle name="千分位_00Q3902REV.1" xfId="464"/>
    <cellStyle name="標準_BOQ-08" xfId="465"/>
    <cellStyle name="貨幣 [0]_00Q3902REV.1" xfId="466"/>
    <cellStyle name="貨幣[0]_BRE" xfId="467"/>
    <cellStyle name="貨幣_00Q3902REV.1" xfId="4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ieu%20cap%20kp%20(2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7874;U%20CHI%20TI&#7870;T%20K&#200;M%20TT%20XIN%20&#221;%20KI&#7870;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Đ Phe duyet"/>
      <sheetName val="QĐ Cap kp"/>
      <sheetName val="Sheet1"/>
    </sheetNames>
    <sheetDataSet>
      <sheetData sheetId="0">
        <row r="8">
          <cell r="E8">
            <v>0</v>
          </cell>
        </row>
        <row r="9">
          <cell r="E9">
            <v>18500000</v>
          </cell>
        </row>
        <row r="11">
          <cell r="E11">
            <v>17000000</v>
          </cell>
        </row>
        <row r="12">
          <cell r="F12">
            <v>50000000</v>
          </cell>
        </row>
        <row r="13">
          <cell r="G13">
            <v>30574908.000000004</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V"/>
      <sheetName val="Biểu Tổng hợp"/>
      <sheetName val="Sheet3"/>
      <sheetName val="Biểu 01"/>
      <sheetName val="Biểu 02"/>
    </sheetNames>
    <sheetDataSet>
      <sheetData sheetId="0" refreshError="1"/>
      <sheetData sheetId="1">
        <row r="2">
          <cell r="A2" t="str">
            <v>(Kèm theo Tờ trình số       /TTr-TCKH ngày 05 tháng 12 năm 2024 của Phòng Tài chính - Kế hoạch)</v>
          </cell>
        </row>
        <row r="8">
          <cell r="C8">
            <v>3015031000</v>
          </cell>
        </row>
        <row r="29">
          <cell r="C29">
            <v>2365867000</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11"/>
  <sheetViews>
    <sheetView tabSelected="1" topLeftCell="A22" zoomScale="85" zoomScaleNormal="85" zoomScaleSheetLayoutView="100" workbookViewId="0">
      <selection activeCell="C30" sqref="C30"/>
    </sheetView>
  </sheetViews>
  <sheetFormatPr defaultColWidth="10" defaultRowHeight="15.5"/>
  <cols>
    <col min="1" max="1" width="8.58203125" style="3" customWidth="1"/>
    <col min="2" max="2" width="75.4140625" style="1" customWidth="1"/>
    <col min="3" max="3" width="19.25" style="2" customWidth="1"/>
    <col min="4" max="4" width="26.58203125" style="1" customWidth="1"/>
    <col min="5" max="5" width="26.83203125" style="572" hidden="1" customWidth="1"/>
    <col min="6" max="6" width="20.75" style="577" hidden="1" customWidth="1"/>
    <col min="7" max="7" width="19.75" style="572" hidden="1" customWidth="1"/>
    <col min="8" max="12" width="10" style="1"/>
    <col min="13" max="13" width="10" style="1" customWidth="1"/>
    <col min="14" max="16384" width="10" style="1"/>
  </cols>
  <sheetData>
    <row r="1" spans="1:13" ht="9" customHeight="1">
      <c r="C1" s="8"/>
    </row>
    <row r="2" spans="1:13" ht="30" customHeight="1">
      <c r="A2" s="769" t="s">
        <v>183</v>
      </c>
      <c r="B2" s="769"/>
      <c r="C2" s="769"/>
      <c r="D2" s="769"/>
      <c r="E2" s="573"/>
    </row>
    <row r="3" spans="1:13" ht="22.5" customHeight="1">
      <c r="A3" s="770" t="s">
        <v>768</v>
      </c>
      <c r="B3" s="770"/>
      <c r="C3" s="770"/>
      <c r="D3" s="770"/>
      <c r="E3" s="574"/>
    </row>
    <row r="4" spans="1:13" ht="18">
      <c r="A4" s="7"/>
      <c r="B4" s="6"/>
      <c r="C4" s="771" t="s">
        <v>22</v>
      </c>
      <c r="D4" s="771"/>
      <c r="E4" s="571"/>
    </row>
    <row r="5" spans="1:13" ht="34" customHeight="1">
      <c r="A5" s="4" t="s">
        <v>13</v>
      </c>
      <c r="B5" s="4" t="s">
        <v>20</v>
      </c>
      <c r="C5" s="5" t="s">
        <v>19</v>
      </c>
      <c r="D5" s="4" t="s">
        <v>0</v>
      </c>
      <c r="E5" s="575"/>
    </row>
    <row r="6" spans="1:13" ht="21.75" customHeight="1">
      <c r="A6" s="277">
        <v>1</v>
      </c>
      <c r="B6" s="277">
        <v>2</v>
      </c>
      <c r="C6" s="278">
        <v>3</v>
      </c>
      <c r="D6" s="277">
        <v>4</v>
      </c>
      <c r="E6" s="571"/>
    </row>
    <row r="7" spans="1:13" ht="29.25" customHeight="1">
      <c r="A7" s="4"/>
      <c r="B7" s="4" t="s">
        <v>14</v>
      </c>
      <c r="C7" s="111">
        <f>C8+C31+C28+C65</f>
        <v>31848571907.666664</v>
      </c>
      <c r="D7" s="4"/>
      <c r="E7" s="575"/>
    </row>
    <row r="8" spans="1:13" ht="24.75" customHeight="1">
      <c r="A8" s="275" t="s">
        <v>2</v>
      </c>
      <c r="B8" s="279" t="s">
        <v>454</v>
      </c>
      <c r="C8" s="284">
        <f>C9+C11+C13+C15+C17+C19+C21+C23+C26</f>
        <v>770192000</v>
      </c>
      <c r="D8" s="275"/>
      <c r="E8" s="575"/>
    </row>
    <row r="9" spans="1:13" ht="24.75" customHeight="1">
      <c r="A9" s="285">
        <v>1</v>
      </c>
      <c r="B9" s="739" t="s">
        <v>757</v>
      </c>
      <c r="C9" s="286">
        <f>C10</f>
        <v>100000000</v>
      </c>
      <c r="D9" s="767" t="s">
        <v>551</v>
      </c>
      <c r="E9" s="575"/>
    </row>
    <row r="10" spans="1:13" ht="24.75" customHeight="1">
      <c r="A10" s="274" t="s">
        <v>15</v>
      </c>
      <c r="B10" s="740" t="s">
        <v>758</v>
      </c>
      <c r="C10" s="287">
        <f>'08- DT TĐ (lần 1)'!K9</f>
        <v>100000000</v>
      </c>
      <c r="D10" s="767"/>
      <c r="E10" s="575"/>
    </row>
    <row r="11" spans="1:13" ht="24.75" customHeight="1">
      <c r="A11" s="285">
        <v>2</v>
      </c>
      <c r="B11" s="739" t="s">
        <v>759</v>
      </c>
      <c r="C11" s="286">
        <f>C12</f>
        <v>22380000</v>
      </c>
      <c r="D11" s="767"/>
      <c r="E11" s="575"/>
    </row>
    <row r="12" spans="1:13" ht="94.5" customHeight="1">
      <c r="A12" s="274" t="s">
        <v>15</v>
      </c>
      <c r="B12" s="740" t="s">
        <v>760</v>
      </c>
      <c r="C12" s="287">
        <f>'08- DT TĐ (lần 1)'!K13</f>
        <v>22380000</v>
      </c>
      <c r="D12" s="767"/>
      <c r="E12" s="575"/>
      <c r="M12" s="2"/>
    </row>
    <row r="13" spans="1:13" ht="24.75" customHeight="1">
      <c r="A13" s="285">
        <v>3</v>
      </c>
      <c r="B13" s="276" t="s">
        <v>761</v>
      </c>
      <c r="C13" s="286">
        <f>C14</f>
        <v>178400000</v>
      </c>
      <c r="D13" s="767"/>
      <c r="E13" s="575"/>
      <c r="M13" s="2"/>
    </row>
    <row r="14" spans="1:13" ht="24.75" customHeight="1">
      <c r="A14" s="274" t="s">
        <v>15</v>
      </c>
      <c r="B14" s="36" t="s">
        <v>729</v>
      </c>
      <c r="C14" s="287">
        <f>'08- DT TĐ (lần 1)'!K17</f>
        <v>178400000</v>
      </c>
      <c r="D14" s="767"/>
      <c r="E14" s="575"/>
    </row>
    <row r="15" spans="1:13" ht="24.75" customHeight="1">
      <c r="A15" s="288">
        <v>4</v>
      </c>
      <c r="B15" s="276" t="s">
        <v>762</v>
      </c>
      <c r="C15" s="286">
        <f>C16</f>
        <v>138217000</v>
      </c>
      <c r="D15" s="767"/>
      <c r="E15" s="575"/>
    </row>
    <row r="16" spans="1:13" ht="38" customHeight="1">
      <c r="A16" s="274" t="s">
        <v>15</v>
      </c>
      <c r="B16" s="36" t="s">
        <v>685</v>
      </c>
      <c r="C16" s="287">
        <f>'08- DT TĐ (lần 1)'!K61</f>
        <v>138217000</v>
      </c>
      <c r="D16" s="767"/>
      <c r="E16" s="575"/>
    </row>
    <row r="17" spans="1:7" ht="24.75" customHeight="1">
      <c r="A17" s="288">
        <v>5</v>
      </c>
      <c r="B17" s="276" t="s">
        <v>763</v>
      </c>
      <c r="C17" s="286">
        <f>C18</f>
        <v>25000000</v>
      </c>
      <c r="D17" s="767"/>
      <c r="E17" s="575"/>
    </row>
    <row r="18" spans="1:7" ht="24.75" customHeight="1">
      <c r="A18" s="274" t="s">
        <v>15</v>
      </c>
      <c r="B18" s="36" t="s">
        <v>764</v>
      </c>
      <c r="C18" s="287">
        <f>'08- DT TĐ (lần 1)'!K123</f>
        <v>25000000</v>
      </c>
      <c r="D18" s="767"/>
      <c r="E18" s="575"/>
    </row>
    <row r="19" spans="1:7" ht="25.5" customHeight="1">
      <c r="A19" s="285">
        <v>6</v>
      </c>
      <c r="B19" s="282" t="s">
        <v>348</v>
      </c>
      <c r="C19" s="286">
        <f>C20</f>
        <v>240000000</v>
      </c>
      <c r="D19" s="767" t="s">
        <v>765</v>
      </c>
      <c r="E19" s="575"/>
    </row>
    <row r="20" spans="1:7" ht="25.5" customHeight="1">
      <c r="A20" s="274" t="s">
        <v>15</v>
      </c>
      <c r="B20" s="283" t="s">
        <v>330</v>
      </c>
      <c r="C20" s="287">
        <f>'09- DT TĐ (lần 2)'!K9</f>
        <v>240000000</v>
      </c>
      <c r="D20" s="767"/>
      <c r="E20" s="575"/>
    </row>
    <row r="21" spans="1:7" ht="25.5" customHeight="1">
      <c r="A21" s="288">
        <v>7</v>
      </c>
      <c r="B21" s="276" t="s">
        <v>254</v>
      </c>
      <c r="C21" s="286">
        <f>C22</f>
        <v>15000000</v>
      </c>
      <c r="D21" s="767"/>
      <c r="E21" s="575">
        <v>11547998000</v>
      </c>
    </row>
    <row r="22" spans="1:7" ht="25.5" customHeight="1">
      <c r="A22" s="274" t="s">
        <v>15</v>
      </c>
      <c r="B22" s="36" t="s">
        <v>255</v>
      </c>
      <c r="C22" s="287">
        <f>'09- DT TĐ (lần 2)'!K118</f>
        <v>15000000</v>
      </c>
      <c r="D22" s="767"/>
      <c r="E22" s="575">
        <f>E21-C7</f>
        <v>-20300573907.666664</v>
      </c>
    </row>
    <row r="23" spans="1:7" ht="25.5" customHeight="1">
      <c r="A23" s="288">
        <v>8</v>
      </c>
      <c r="B23" s="276" t="s">
        <v>205</v>
      </c>
      <c r="C23" s="286">
        <f>SUM(C24:C25)</f>
        <v>31400000</v>
      </c>
      <c r="D23" s="767"/>
      <c r="E23" s="575"/>
      <c r="G23" s="572">
        <f>C32+C36</f>
        <v>123074908</v>
      </c>
    </row>
    <row r="24" spans="1:7" ht="25.5" customHeight="1">
      <c r="A24" s="274" t="s">
        <v>15</v>
      </c>
      <c r="B24" s="36" t="s">
        <v>255</v>
      </c>
      <c r="C24" s="287">
        <f>'09- DT TĐ (lần 2)'!K132</f>
        <v>15000000</v>
      </c>
      <c r="D24" s="767"/>
      <c r="E24" s="575"/>
      <c r="F24" s="576" t="s">
        <v>448</v>
      </c>
      <c r="G24" s="572">
        <f>3015031000+5082118000+797582000</f>
        <v>8894731000</v>
      </c>
    </row>
    <row r="25" spans="1:7" ht="57.75" customHeight="1">
      <c r="A25" s="274" t="s">
        <v>15</v>
      </c>
      <c r="B25" s="36" t="s">
        <v>360</v>
      </c>
      <c r="C25" s="287">
        <f>'09- DT TĐ (lần 2)'!K129</f>
        <v>16400000</v>
      </c>
      <c r="D25" s="767"/>
      <c r="E25" s="575">
        <v>4168118000</v>
      </c>
      <c r="F25" s="576" t="s">
        <v>449</v>
      </c>
      <c r="G25" s="572">
        <f>C28</f>
        <v>2365866999.6666665</v>
      </c>
    </row>
    <row r="26" spans="1:7" ht="31.5" customHeight="1">
      <c r="A26" s="288">
        <v>9</v>
      </c>
      <c r="B26" s="276" t="s">
        <v>470</v>
      </c>
      <c r="C26" s="286">
        <f>C27</f>
        <v>19795000</v>
      </c>
      <c r="D26" s="767"/>
      <c r="E26" s="575"/>
      <c r="F26" s="576"/>
    </row>
    <row r="27" spans="1:7" ht="56.25" customHeight="1">
      <c r="A27" s="274" t="s">
        <v>15</v>
      </c>
      <c r="B27" s="36" t="s">
        <v>360</v>
      </c>
      <c r="C27" s="287">
        <f>'09- DT TĐ (lần 2)'!K140</f>
        <v>19795000</v>
      </c>
      <c r="D27" s="767"/>
      <c r="E27" s="575"/>
      <c r="F27" s="576"/>
    </row>
    <row r="28" spans="1:7" ht="26.25" customHeight="1">
      <c r="A28" s="285" t="s">
        <v>3</v>
      </c>
      <c r="B28" s="566" t="s">
        <v>455</v>
      </c>
      <c r="C28" s="286">
        <f>C29</f>
        <v>2365866999.6666665</v>
      </c>
      <c r="D28" s="285"/>
      <c r="E28" s="575"/>
      <c r="F28" s="576"/>
    </row>
    <row r="29" spans="1:7" ht="71" customHeight="1">
      <c r="A29" s="285">
        <v>1</v>
      </c>
      <c r="B29" s="566" t="s">
        <v>446</v>
      </c>
      <c r="C29" s="286">
        <f>C30</f>
        <v>2365866999.6666665</v>
      </c>
      <c r="D29" s="350" t="s">
        <v>465</v>
      </c>
      <c r="E29" s="575"/>
      <c r="F29" s="576"/>
    </row>
    <row r="30" spans="1:7" ht="41.25" customHeight="1">
      <c r="A30" s="569" t="s">
        <v>15</v>
      </c>
      <c r="B30" s="36" t="s">
        <v>563</v>
      </c>
      <c r="C30" s="287">
        <f>'04. LÂM NGHIỆP'!F17</f>
        <v>2365866999.6666665</v>
      </c>
      <c r="D30" s="766" t="s">
        <v>361</v>
      </c>
      <c r="E30" s="575"/>
      <c r="F30" s="576"/>
    </row>
    <row r="31" spans="1:7" ht="31.5" customHeight="1">
      <c r="A31" s="285" t="s">
        <v>4</v>
      </c>
      <c r="B31" s="319" t="s">
        <v>456</v>
      </c>
      <c r="C31" s="286">
        <f>C32+C36+C41+C46+C49+C53+C55+C57+C59+C61+C63</f>
        <v>8103805908</v>
      </c>
      <c r="D31" s="285"/>
      <c r="E31" s="572">
        <f>E25+C46+C28</f>
        <v>9549015999.666666</v>
      </c>
      <c r="F31" s="576" t="s">
        <v>450</v>
      </c>
      <c r="G31" s="572">
        <f>C8</f>
        <v>770192000</v>
      </c>
    </row>
    <row r="32" spans="1:7" ht="56.25" customHeight="1">
      <c r="A32" s="285">
        <v>1</v>
      </c>
      <c r="B32" s="319" t="s">
        <v>381</v>
      </c>
      <c r="C32" s="286">
        <f>SUM(C33:C35)</f>
        <v>116074908</v>
      </c>
      <c r="D32" s="350" t="s">
        <v>218</v>
      </c>
      <c r="E32" s="572">
        <f>E31+C32+C36+C41+C23+C21+C19</f>
        <v>10756072907.666666</v>
      </c>
      <c r="G32" s="572">
        <f>SUM(G23:G31)</f>
        <v>12153864907.666666</v>
      </c>
    </row>
    <row r="33" spans="1:7" ht="25.5" customHeight="1">
      <c r="A33" s="320" t="s">
        <v>15</v>
      </c>
      <c r="B33" s="318" t="s">
        <v>199</v>
      </c>
      <c r="C33" s="570">
        <f>'01. NQ 05.2020'!G9</f>
        <v>30574908.000000004</v>
      </c>
      <c r="D33" s="767" t="s">
        <v>162</v>
      </c>
      <c r="G33" s="572">
        <f>G32-C7</f>
        <v>-19694707000</v>
      </c>
    </row>
    <row r="34" spans="1:7" ht="25.5" customHeight="1">
      <c r="A34" s="320" t="s">
        <v>15</v>
      </c>
      <c r="B34" s="318" t="s">
        <v>201</v>
      </c>
      <c r="C34" s="570">
        <f>'01. NQ 05.2020'!G11</f>
        <v>17000000</v>
      </c>
      <c r="D34" s="767"/>
    </row>
    <row r="35" spans="1:7" ht="25.5" customHeight="1">
      <c r="A35" s="320" t="s">
        <v>15</v>
      </c>
      <c r="B35" s="318" t="s">
        <v>200</v>
      </c>
      <c r="C35" s="570">
        <f>'01. NQ 05.2020'!G13</f>
        <v>68500000</v>
      </c>
      <c r="D35" s="767"/>
      <c r="F35" s="577">
        <f>'01. NQ 05.2020'!G8+'02. NQ11.2023'!E9+'04. LÂM NGHIỆP'!F9+'05. ASXH-NV'!E9+'09- DT TĐ (lần 2)'!K8</f>
        <v>9978285907.666666</v>
      </c>
    </row>
    <row r="36" spans="1:7" ht="57" customHeight="1">
      <c r="A36" s="285">
        <v>2</v>
      </c>
      <c r="B36" s="319" t="s">
        <v>216</v>
      </c>
      <c r="C36" s="286">
        <f>SUM(C37:C40)</f>
        <v>7000000</v>
      </c>
      <c r="D36" s="350" t="s">
        <v>217</v>
      </c>
      <c r="F36" s="577">
        <f>F35+C41</f>
        <v>10775867907.666666</v>
      </c>
      <c r="G36" s="572">
        <f>C31-G24</f>
        <v>-790925092</v>
      </c>
    </row>
    <row r="37" spans="1:7" ht="25.5" customHeight="1">
      <c r="A37" s="349" t="s">
        <v>15</v>
      </c>
      <c r="B37" s="348" t="s">
        <v>207</v>
      </c>
      <c r="C37" s="570">
        <f>'02. NQ11.2023'!E10</f>
        <v>2500000</v>
      </c>
      <c r="D37" s="767" t="s">
        <v>362</v>
      </c>
      <c r="F37" s="577">
        <f>C7-F36</f>
        <v>21072704000</v>
      </c>
    </row>
    <row r="38" spans="1:7" ht="25.5" customHeight="1">
      <c r="A38" s="349" t="s">
        <v>15</v>
      </c>
      <c r="B38" s="348" t="s">
        <v>206</v>
      </c>
      <c r="C38" s="570">
        <f>'02. NQ11.2023'!E12</f>
        <v>1500000</v>
      </c>
      <c r="D38" s="767"/>
      <c r="G38" s="572">
        <f>F63-G33</f>
        <v>20608707000</v>
      </c>
    </row>
    <row r="39" spans="1:7" ht="25.5" customHeight="1">
      <c r="A39" s="349" t="s">
        <v>15</v>
      </c>
      <c r="B39" s="348" t="s">
        <v>199</v>
      </c>
      <c r="C39" s="570">
        <f>'02. NQ11.2023'!E14</f>
        <v>1500000</v>
      </c>
      <c r="D39" s="767"/>
      <c r="F39" s="577">
        <v>10463016000</v>
      </c>
    </row>
    <row r="40" spans="1:7" ht="25.5" customHeight="1">
      <c r="A40" s="349" t="s">
        <v>15</v>
      </c>
      <c r="B40" s="348" t="s">
        <v>205</v>
      </c>
      <c r="C40" s="570">
        <f>'02. NQ11.2023'!E16</f>
        <v>1500000</v>
      </c>
      <c r="D40" s="767"/>
      <c r="F40" s="577">
        <f>F39+C8+C32+C36+C41</f>
        <v>12153864908</v>
      </c>
    </row>
    <row r="41" spans="1:7" ht="46.5" customHeight="1">
      <c r="A41" s="285">
        <v>3</v>
      </c>
      <c r="B41" s="319" t="s">
        <v>247</v>
      </c>
      <c r="C41" s="286">
        <f>SUM(C42:C45)</f>
        <v>797582000</v>
      </c>
      <c r="D41" s="350" t="s">
        <v>769</v>
      </c>
      <c r="F41" s="577">
        <f>G32-F40</f>
        <v>-0.33333396911621094</v>
      </c>
    </row>
    <row r="42" spans="1:7" ht="25.5" customHeight="1">
      <c r="A42" s="349" t="s">
        <v>15</v>
      </c>
      <c r="B42" s="348" t="s">
        <v>220</v>
      </c>
      <c r="C42" s="570">
        <f>'03. TGBC NĐ 29.2023'!P10*10^3</f>
        <v>180148000</v>
      </c>
      <c r="D42" s="766" t="s">
        <v>363</v>
      </c>
    </row>
    <row r="43" spans="1:7" ht="25.5" customHeight="1">
      <c r="A43" s="349" t="s">
        <v>15</v>
      </c>
      <c r="B43" s="348" t="s">
        <v>200</v>
      </c>
      <c r="C43" s="570">
        <f>'03. TGBC NĐ 29.2023'!P12*10^3</f>
        <v>339871000</v>
      </c>
      <c r="D43" s="766" t="s">
        <v>363</v>
      </c>
    </row>
    <row r="44" spans="1:7" ht="25.5" customHeight="1">
      <c r="A44" s="349" t="s">
        <v>15</v>
      </c>
      <c r="B44" s="348" t="s">
        <v>199</v>
      </c>
      <c r="C44" s="570">
        <f>'03. TGBC NĐ 29.2023'!P16*10^3</f>
        <v>199354000</v>
      </c>
      <c r="D44" s="767" t="s">
        <v>363</v>
      </c>
    </row>
    <row r="45" spans="1:7" ht="25.5" customHeight="1">
      <c r="A45" s="349" t="s">
        <v>15</v>
      </c>
      <c r="B45" s="348" t="s">
        <v>201</v>
      </c>
      <c r="C45" s="570">
        <f>'03. TGBC NĐ 29.2023'!P18*10^3</f>
        <v>78209000</v>
      </c>
      <c r="D45" s="767"/>
    </row>
    <row r="46" spans="1:7" ht="57.75" customHeight="1">
      <c r="A46" s="285">
        <v>4</v>
      </c>
      <c r="B46" s="276" t="s">
        <v>444</v>
      </c>
      <c r="C46" s="286">
        <f>C47</f>
        <v>3015031000</v>
      </c>
      <c r="D46" s="350" t="s">
        <v>769</v>
      </c>
    </row>
    <row r="47" spans="1:7" ht="72.5" customHeight="1">
      <c r="A47" s="580" t="s">
        <v>350</v>
      </c>
      <c r="B47" s="581" t="s">
        <v>445</v>
      </c>
      <c r="C47" s="582">
        <f>C48</f>
        <v>3015031000</v>
      </c>
      <c r="D47" s="580"/>
    </row>
    <row r="48" spans="1:7" ht="40.5" customHeight="1">
      <c r="A48" s="569" t="s">
        <v>15</v>
      </c>
      <c r="B48" s="36" t="s">
        <v>563</v>
      </c>
      <c r="C48" s="287">
        <f>'04. LÂM NGHIỆP'!F10</f>
        <v>3015031000</v>
      </c>
      <c r="D48" s="766" t="s">
        <v>361</v>
      </c>
    </row>
    <row r="49" spans="1:7" ht="46.5">
      <c r="A49" s="285">
        <v>5</v>
      </c>
      <c r="B49" s="276" t="s">
        <v>420</v>
      </c>
      <c r="C49" s="286">
        <f>SUM(C50:C52)</f>
        <v>1512688000</v>
      </c>
      <c r="D49" s="350" t="s">
        <v>769</v>
      </c>
    </row>
    <row r="50" spans="1:7" ht="25" customHeight="1">
      <c r="A50" s="349" t="s">
        <v>15</v>
      </c>
      <c r="B50" s="567" t="s">
        <v>440</v>
      </c>
      <c r="C50" s="287">
        <f>'05. ASXH-NV'!E12</f>
        <v>288231000</v>
      </c>
      <c r="D50" s="767" t="s">
        <v>451</v>
      </c>
    </row>
    <row r="51" spans="1:7" ht="25" customHeight="1">
      <c r="A51" s="349" t="s">
        <v>15</v>
      </c>
      <c r="B51" s="567" t="s">
        <v>441</v>
      </c>
      <c r="C51" s="287">
        <f>'05. ASXH-NV'!E13</f>
        <v>1209281000</v>
      </c>
      <c r="D51" s="767"/>
    </row>
    <row r="52" spans="1:7" ht="25" customHeight="1">
      <c r="A52" s="349" t="s">
        <v>15</v>
      </c>
      <c r="B52" s="567" t="s">
        <v>442</v>
      </c>
      <c r="C52" s="287">
        <f>'05. ASXH-NV'!E14</f>
        <v>15176000</v>
      </c>
      <c r="D52" s="767"/>
    </row>
    <row r="53" spans="1:7" ht="55.5" customHeight="1">
      <c r="A53" s="285">
        <v>6</v>
      </c>
      <c r="B53" s="568" t="s">
        <v>419</v>
      </c>
      <c r="C53" s="286">
        <f>C54</f>
        <v>1115507000</v>
      </c>
      <c r="D53" s="350" t="s">
        <v>769</v>
      </c>
    </row>
    <row r="54" spans="1:7" ht="25" customHeight="1">
      <c r="A54" s="349" t="s">
        <v>15</v>
      </c>
      <c r="B54" s="567" t="s">
        <v>440</v>
      </c>
      <c r="C54" s="287">
        <f>'05. ASXH-NV'!E16</f>
        <v>1115507000</v>
      </c>
      <c r="D54" s="766" t="s">
        <v>451</v>
      </c>
    </row>
    <row r="55" spans="1:7" ht="55.5" customHeight="1">
      <c r="A55" s="285">
        <v>7</v>
      </c>
      <c r="B55" s="568" t="s">
        <v>418</v>
      </c>
      <c r="C55" s="286">
        <f>C56</f>
        <v>18856000</v>
      </c>
      <c r="D55" s="350" t="s">
        <v>769</v>
      </c>
    </row>
    <row r="56" spans="1:7" ht="25" customHeight="1">
      <c r="A56" s="349" t="s">
        <v>15</v>
      </c>
      <c r="B56" s="567" t="s">
        <v>440</v>
      </c>
      <c r="C56" s="287">
        <f>'05. ASXH-NV'!E18</f>
        <v>18856000</v>
      </c>
      <c r="D56" s="766" t="s">
        <v>451</v>
      </c>
    </row>
    <row r="57" spans="1:7" ht="59.25" customHeight="1">
      <c r="A57" s="285">
        <v>8</v>
      </c>
      <c r="B57" s="568" t="s">
        <v>417</v>
      </c>
      <c r="C57" s="286">
        <f>C58</f>
        <v>285944000</v>
      </c>
      <c r="D57" s="350" t="s">
        <v>769</v>
      </c>
    </row>
    <row r="58" spans="1:7" ht="33" customHeight="1">
      <c r="A58" s="349" t="s">
        <v>15</v>
      </c>
      <c r="B58" s="567" t="s">
        <v>440</v>
      </c>
      <c r="C58" s="287">
        <f>'05. ASXH-NV'!E20</f>
        <v>285944000</v>
      </c>
      <c r="D58" s="766" t="s">
        <v>451</v>
      </c>
    </row>
    <row r="59" spans="1:7" ht="54.75" customHeight="1">
      <c r="A59" s="285">
        <v>9</v>
      </c>
      <c r="B59" s="568" t="s">
        <v>415</v>
      </c>
      <c r="C59" s="286">
        <f>C60</f>
        <v>39938000</v>
      </c>
      <c r="D59" s="350" t="s">
        <v>769</v>
      </c>
    </row>
    <row r="60" spans="1:7" ht="32.25" customHeight="1">
      <c r="A60" s="349" t="s">
        <v>15</v>
      </c>
      <c r="B60" s="567" t="s">
        <v>441</v>
      </c>
      <c r="C60" s="287">
        <f>'05. ASXH-NV'!E23</f>
        <v>39938000</v>
      </c>
      <c r="D60" s="766" t="s">
        <v>451</v>
      </c>
      <c r="E60" s="572">
        <v>76938000</v>
      </c>
      <c r="F60" s="577">
        <f>E60-C60</f>
        <v>37000000</v>
      </c>
    </row>
    <row r="61" spans="1:7" ht="57.75" customHeight="1">
      <c r="A61" s="285">
        <v>10</v>
      </c>
      <c r="B61" s="568" t="s">
        <v>414</v>
      </c>
      <c r="C61" s="286">
        <f>C62</f>
        <v>897200000</v>
      </c>
      <c r="D61" s="350" t="s">
        <v>769</v>
      </c>
    </row>
    <row r="62" spans="1:7" ht="31.5" customHeight="1">
      <c r="A62" s="349" t="s">
        <v>15</v>
      </c>
      <c r="B62" s="567" t="s">
        <v>441</v>
      </c>
      <c r="C62" s="287">
        <f>'05. ASXH-NV'!E25</f>
        <v>897200000</v>
      </c>
      <c r="D62" s="766" t="s">
        <v>451</v>
      </c>
      <c r="E62" s="572">
        <v>1774200000</v>
      </c>
      <c r="F62" s="577">
        <f>E62-C62</f>
        <v>877000000</v>
      </c>
    </row>
    <row r="63" spans="1:7" ht="56.25" customHeight="1">
      <c r="A63" s="285">
        <v>11</v>
      </c>
      <c r="B63" s="568" t="s">
        <v>413</v>
      </c>
      <c r="C63" s="286">
        <f>C64</f>
        <v>297985000</v>
      </c>
      <c r="D63" s="350" t="s">
        <v>769</v>
      </c>
      <c r="F63" s="578">
        <f>F62+F60</f>
        <v>914000000</v>
      </c>
      <c r="G63" s="576" t="s">
        <v>452</v>
      </c>
    </row>
    <row r="64" spans="1:7" ht="25" customHeight="1">
      <c r="A64" s="349" t="s">
        <v>15</v>
      </c>
      <c r="B64" s="567" t="s">
        <v>447</v>
      </c>
      <c r="C64" s="287">
        <f>'05. ASXH-NV'!E30</f>
        <v>297985000</v>
      </c>
      <c r="D64" s="766" t="s">
        <v>451</v>
      </c>
    </row>
    <row r="65" spans="1:4" ht="57.75" customHeight="1">
      <c r="A65" s="652" t="s">
        <v>11</v>
      </c>
      <c r="B65" s="319" t="s">
        <v>554</v>
      </c>
      <c r="C65" s="673">
        <f>C66+C70+C73+C75+C87+C94</f>
        <v>20608707000</v>
      </c>
      <c r="D65" s="350" t="s">
        <v>564</v>
      </c>
    </row>
    <row r="66" spans="1:4" ht="25" customHeight="1">
      <c r="A66" s="652">
        <v>1</v>
      </c>
      <c r="B66" s="319" t="s">
        <v>544</v>
      </c>
      <c r="C66" s="653">
        <f>SUM(C67:C69)</f>
        <v>14003656000</v>
      </c>
      <c r="D66" s="683"/>
    </row>
    <row r="67" spans="1:4" ht="25" customHeight="1">
      <c r="A67" s="649" t="s">
        <v>15</v>
      </c>
      <c r="B67" s="650" t="s">
        <v>543</v>
      </c>
      <c r="C67" s="651">
        <f>'06. CCTL HUYỆN'!N10*10^3</f>
        <v>13904945000</v>
      </c>
      <c r="D67" s="767" t="s">
        <v>434</v>
      </c>
    </row>
    <row r="68" spans="1:4" ht="25" customHeight="1">
      <c r="A68" s="649" t="s">
        <v>15</v>
      </c>
      <c r="B68" s="650" t="s">
        <v>542</v>
      </c>
      <c r="C68" s="651">
        <f>'06. CCTL HUYỆN'!N11*10^3</f>
        <v>33081000</v>
      </c>
      <c r="D68" s="767"/>
    </row>
    <row r="69" spans="1:4" ht="25" customHeight="1">
      <c r="A69" s="649" t="s">
        <v>15</v>
      </c>
      <c r="B69" s="650" t="s">
        <v>442</v>
      </c>
      <c r="C69" s="651">
        <f>'06. CCTL HUYỆN'!N12*10^3</f>
        <v>65630000</v>
      </c>
      <c r="D69" s="767"/>
    </row>
    <row r="70" spans="1:4" ht="25" customHeight="1">
      <c r="A70" s="652">
        <v>2</v>
      </c>
      <c r="B70" s="319" t="s">
        <v>524</v>
      </c>
      <c r="C70" s="653">
        <f>SUM(C71:C72)</f>
        <v>62995000</v>
      </c>
      <c r="D70" s="683"/>
    </row>
    <row r="71" spans="1:4" ht="25" customHeight="1">
      <c r="A71" s="649" t="s">
        <v>15</v>
      </c>
      <c r="B71" s="650" t="s">
        <v>523</v>
      </c>
      <c r="C71" s="651">
        <f>'06. CCTL HUYỆN'!N31*10^3</f>
        <v>18390000</v>
      </c>
      <c r="D71" s="766" t="s">
        <v>434</v>
      </c>
    </row>
    <row r="72" spans="1:4" ht="25" customHeight="1">
      <c r="A72" s="649" t="s">
        <v>15</v>
      </c>
      <c r="B72" s="650" t="s">
        <v>522</v>
      </c>
      <c r="C72" s="651">
        <f>'06. CCTL HUYỆN'!N32*10^3</f>
        <v>44605000</v>
      </c>
      <c r="D72" s="766" t="s">
        <v>434</v>
      </c>
    </row>
    <row r="73" spans="1:4" ht="25" customHeight="1">
      <c r="A73" s="652">
        <v>3</v>
      </c>
      <c r="B73" s="319" t="s">
        <v>521</v>
      </c>
      <c r="C73" s="653">
        <f>C74</f>
        <v>10799000</v>
      </c>
      <c r="D73" s="683"/>
    </row>
    <row r="74" spans="1:4" ht="25" customHeight="1">
      <c r="A74" s="649" t="s">
        <v>15</v>
      </c>
      <c r="B74" s="650" t="s">
        <v>520</v>
      </c>
      <c r="C74" s="651">
        <f>'06. CCTL HUYỆN'!N34*10^3</f>
        <v>10799000</v>
      </c>
      <c r="D74" s="766" t="s">
        <v>434</v>
      </c>
    </row>
    <row r="75" spans="1:4" ht="25" customHeight="1">
      <c r="A75" s="652">
        <v>4</v>
      </c>
      <c r="B75" s="319" t="s">
        <v>517</v>
      </c>
      <c r="C75" s="653">
        <f>SUM(C76:C86)</f>
        <v>834577000</v>
      </c>
      <c r="D75" s="683"/>
    </row>
    <row r="76" spans="1:4" ht="25" customHeight="1">
      <c r="A76" s="649" t="s">
        <v>15</v>
      </c>
      <c r="B76" s="650" t="s">
        <v>516</v>
      </c>
      <c r="C76" s="651">
        <f>'06. CCTL HUYỆN'!N38*10^3</f>
        <v>68643000</v>
      </c>
      <c r="D76" s="767" t="s">
        <v>434</v>
      </c>
    </row>
    <row r="77" spans="1:4" ht="25" customHeight="1">
      <c r="A77" s="649" t="s">
        <v>15</v>
      </c>
      <c r="B77" s="654" t="s">
        <v>515</v>
      </c>
      <c r="C77" s="651">
        <f>'06. CCTL HUYỆN'!N39*10^3</f>
        <v>284896000</v>
      </c>
      <c r="D77" s="767"/>
    </row>
    <row r="78" spans="1:4" ht="25" customHeight="1">
      <c r="A78" s="649" t="s">
        <v>15</v>
      </c>
      <c r="B78" s="654" t="s">
        <v>514</v>
      </c>
      <c r="C78" s="651">
        <f>'06. CCTL HUYỆN'!N40*10^3</f>
        <v>56684000</v>
      </c>
      <c r="D78" s="767"/>
    </row>
    <row r="79" spans="1:4" ht="25" customHeight="1">
      <c r="A79" s="649" t="s">
        <v>15</v>
      </c>
      <c r="B79" s="654" t="s">
        <v>513</v>
      </c>
      <c r="C79" s="651">
        <f>'06. CCTL HUYỆN'!N41*10^3</f>
        <v>62708000</v>
      </c>
      <c r="D79" s="767"/>
    </row>
    <row r="80" spans="1:4" ht="25" customHeight="1">
      <c r="A80" s="649" t="s">
        <v>15</v>
      </c>
      <c r="B80" s="654" t="s">
        <v>512</v>
      </c>
      <c r="C80" s="651">
        <f>'06. CCTL HUYỆN'!N42*10^3</f>
        <v>32287000</v>
      </c>
      <c r="D80" s="767"/>
    </row>
    <row r="81" spans="1:4" ht="25" customHeight="1">
      <c r="A81" s="649" t="s">
        <v>15</v>
      </c>
      <c r="B81" s="654" t="s">
        <v>511</v>
      </c>
      <c r="C81" s="651">
        <f>'06. CCTL HUYỆN'!N43*10^3</f>
        <v>67013000</v>
      </c>
      <c r="D81" s="767"/>
    </row>
    <row r="82" spans="1:4" ht="25" customHeight="1">
      <c r="A82" s="649" t="s">
        <v>15</v>
      </c>
      <c r="B82" s="654" t="s">
        <v>510</v>
      </c>
      <c r="C82" s="651">
        <f>'06. CCTL HUYỆN'!N44*10^3</f>
        <v>40361000</v>
      </c>
      <c r="D82" s="767"/>
    </row>
    <row r="83" spans="1:4" ht="25" customHeight="1">
      <c r="A83" s="649" t="s">
        <v>15</v>
      </c>
      <c r="B83" s="654" t="s">
        <v>509</v>
      </c>
      <c r="C83" s="651">
        <f>'06. CCTL HUYỆN'!N45*10^3</f>
        <v>98155000</v>
      </c>
      <c r="D83" s="767"/>
    </row>
    <row r="84" spans="1:4" ht="25" customHeight="1">
      <c r="A84" s="649" t="s">
        <v>15</v>
      </c>
      <c r="B84" s="654" t="s">
        <v>508</v>
      </c>
      <c r="C84" s="651">
        <f>'06. CCTL HUYỆN'!N46*10^3</f>
        <v>26823000</v>
      </c>
      <c r="D84" s="767"/>
    </row>
    <row r="85" spans="1:4" ht="25" customHeight="1">
      <c r="A85" s="649" t="s">
        <v>15</v>
      </c>
      <c r="B85" s="654" t="s">
        <v>507</v>
      </c>
      <c r="C85" s="651">
        <f>'06. CCTL HUYỆN'!N47*10^3</f>
        <v>36887000</v>
      </c>
      <c r="D85" s="767"/>
    </row>
    <row r="86" spans="1:4" ht="25" customHeight="1">
      <c r="A86" s="649" t="s">
        <v>15</v>
      </c>
      <c r="B86" s="654" t="s">
        <v>506</v>
      </c>
      <c r="C86" s="651">
        <f>'06. CCTL HUYỆN'!N48*10^3</f>
        <v>60120000</v>
      </c>
      <c r="D86" s="767"/>
    </row>
    <row r="87" spans="1:4" ht="25" customHeight="1">
      <c r="A87" s="652">
        <v>5</v>
      </c>
      <c r="B87" s="655" t="s">
        <v>505</v>
      </c>
      <c r="C87" s="653">
        <f>SUM(C88:C93)</f>
        <v>722915000</v>
      </c>
      <c r="D87" s="683"/>
    </row>
    <row r="88" spans="1:4" ht="25" customHeight="1">
      <c r="A88" s="649" t="s">
        <v>15</v>
      </c>
      <c r="B88" s="656" t="s">
        <v>504</v>
      </c>
      <c r="C88" s="651">
        <f>'06. CCTL HUYỆN'!N50*10^3</f>
        <v>483918000</v>
      </c>
      <c r="D88" s="767" t="s">
        <v>434</v>
      </c>
    </row>
    <row r="89" spans="1:4" ht="25" customHeight="1">
      <c r="A89" s="649" t="s">
        <v>15</v>
      </c>
      <c r="B89" s="654" t="s">
        <v>503</v>
      </c>
      <c r="C89" s="651">
        <f>'06. CCTL HUYỆN'!N51*10^3</f>
        <v>64561000</v>
      </c>
      <c r="D89" s="767"/>
    </row>
    <row r="90" spans="1:4" ht="25" customHeight="1">
      <c r="A90" s="649" t="s">
        <v>15</v>
      </c>
      <c r="B90" s="654" t="s">
        <v>502</v>
      </c>
      <c r="C90" s="651">
        <f>'06. CCTL HUYỆN'!N52*10^3</f>
        <v>27345000</v>
      </c>
      <c r="D90" s="767"/>
    </row>
    <row r="91" spans="1:4" ht="25" customHeight="1">
      <c r="A91" s="649" t="s">
        <v>15</v>
      </c>
      <c r="B91" s="654" t="s">
        <v>54</v>
      </c>
      <c r="C91" s="651">
        <f>'06. CCTL HUYỆN'!N53*10^3</f>
        <v>52415000</v>
      </c>
      <c r="D91" s="767"/>
    </row>
    <row r="92" spans="1:4" ht="25" customHeight="1">
      <c r="A92" s="649" t="s">
        <v>15</v>
      </c>
      <c r="B92" s="654" t="s">
        <v>501</v>
      </c>
      <c r="C92" s="651">
        <f>'06. CCTL HUYỆN'!N54*10^3</f>
        <v>63418000</v>
      </c>
      <c r="D92" s="767"/>
    </row>
    <row r="93" spans="1:4" ht="25" customHeight="1">
      <c r="A93" s="649" t="s">
        <v>15</v>
      </c>
      <c r="B93" s="654" t="s">
        <v>500</v>
      </c>
      <c r="C93" s="651">
        <f>'06. CCTL HUYỆN'!N55*10^3</f>
        <v>31258000</v>
      </c>
      <c r="D93" s="767"/>
    </row>
    <row r="94" spans="1:4" ht="25" customHeight="1">
      <c r="A94" s="652">
        <v>6</v>
      </c>
      <c r="B94" s="657" t="s">
        <v>550</v>
      </c>
      <c r="C94" s="653">
        <f>SUM(C95:C111)</f>
        <v>4973765000</v>
      </c>
      <c r="D94" s="683"/>
    </row>
    <row r="95" spans="1:4" ht="25" customHeight="1">
      <c r="A95" s="649" t="s">
        <v>15</v>
      </c>
      <c r="B95" s="658" t="s">
        <v>207</v>
      </c>
      <c r="C95" s="651">
        <f>'07. XÃ, THỊ TRẤN'!R9*10^3</f>
        <v>254738000</v>
      </c>
      <c r="D95" s="767" t="s">
        <v>562</v>
      </c>
    </row>
    <row r="96" spans="1:4" ht="25" customHeight="1">
      <c r="A96" s="649" t="s">
        <v>15</v>
      </c>
      <c r="B96" s="658" t="s">
        <v>199</v>
      </c>
      <c r="C96" s="651">
        <f>'07. XÃ, THỊ TRẤN'!R10*10^3</f>
        <v>211509000</v>
      </c>
      <c r="D96" s="767"/>
    </row>
    <row r="97" spans="1:4" ht="25" customHeight="1">
      <c r="A97" s="649" t="s">
        <v>15</v>
      </c>
      <c r="B97" s="658" t="s">
        <v>478</v>
      </c>
      <c r="C97" s="651">
        <f>'07. XÃ, THỊ TRẤN'!R11*10^3</f>
        <v>275658000</v>
      </c>
      <c r="D97" s="767"/>
    </row>
    <row r="98" spans="1:4" ht="25" customHeight="1">
      <c r="A98" s="649"/>
      <c r="B98" s="658" t="s">
        <v>477</v>
      </c>
      <c r="C98" s="651">
        <f>'07. XÃ, THỊ TRẤN'!R12*10^3</f>
        <v>311964000</v>
      </c>
      <c r="D98" s="767"/>
    </row>
    <row r="99" spans="1:4" ht="25" customHeight="1">
      <c r="A99" s="649" t="s">
        <v>15</v>
      </c>
      <c r="B99" s="658" t="s">
        <v>201</v>
      </c>
      <c r="C99" s="651">
        <f>'07. XÃ, THỊ TRẤN'!R13*10^3</f>
        <v>244061000</v>
      </c>
      <c r="D99" s="767"/>
    </row>
    <row r="100" spans="1:4" ht="25" customHeight="1">
      <c r="A100" s="649" t="s">
        <v>15</v>
      </c>
      <c r="B100" s="658" t="s">
        <v>476</v>
      </c>
      <c r="C100" s="651">
        <f>'07. XÃ, THỊ TRẤN'!R14*10^3</f>
        <v>264630000</v>
      </c>
      <c r="D100" s="767"/>
    </row>
    <row r="101" spans="1:4" ht="25" customHeight="1">
      <c r="A101" s="649" t="s">
        <v>15</v>
      </c>
      <c r="B101" s="658" t="s">
        <v>475</v>
      </c>
      <c r="C101" s="651">
        <f>'07. XÃ, THỊ TRẤN'!R15*10^3</f>
        <v>262338000</v>
      </c>
      <c r="D101" s="767"/>
    </row>
    <row r="102" spans="1:4" ht="25" customHeight="1">
      <c r="A102" s="649" t="s">
        <v>15</v>
      </c>
      <c r="B102" s="658" t="s">
        <v>200</v>
      </c>
      <c r="C102" s="651">
        <f>'07. XÃ, THỊ TRẤN'!R16*10^3</f>
        <v>418567000</v>
      </c>
      <c r="D102" s="767"/>
    </row>
    <row r="103" spans="1:4" ht="25" customHeight="1">
      <c r="A103" s="649" t="s">
        <v>15</v>
      </c>
      <c r="B103" s="658" t="s">
        <v>474</v>
      </c>
      <c r="C103" s="651">
        <f>'07. XÃ, THỊ TRẤN'!R17*10^3</f>
        <v>278557000</v>
      </c>
      <c r="D103" s="767"/>
    </row>
    <row r="104" spans="1:4" ht="25" customHeight="1">
      <c r="A104" s="649" t="s">
        <v>15</v>
      </c>
      <c r="B104" s="658" t="s">
        <v>206</v>
      </c>
      <c r="C104" s="651">
        <f>'07. XÃ, THỊ TRẤN'!R18*10^3</f>
        <v>263421000</v>
      </c>
      <c r="D104" s="767"/>
    </row>
    <row r="105" spans="1:4" ht="25" customHeight="1">
      <c r="A105" s="649" t="s">
        <v>15</v>
      </c>
      <c r="B105" s="658" t="s">
        <v>470</v>
      </c>
      <c r="C105" s="651">
        <f>'07. XÃ, THỊ TRẤN'!R19*10^3</f>
        <v>278737000</v>
      </c>
      <c r="D105" s="767"/>
    </row>
    <row r="106" spans="1:4" ht="25" customHeight="1">
      <c r="A106" s="649" t="s">
        <v>15</v>
      </c>
      <c r="B106" s="658" t="s">
        <v>473</v>
      </c>
      <c r="C106" s="651">
        <f>'07. XÃ, THỊ TRẤN'!R20*10^3</f>
        <v>239379000</v>
      </c>
      <c r="D106" s="767"/>
    </row>
    <row r="107" spans="1:4" ht="25" customHeight="1">
      <c r="A107" s="649" t="s">
        <v>15</v>
      </c>
      <c r="B107" s="658" t="s">
        <v>472</v>
      </c>
      <c r="C107" s="651">
        <f>'07. XÃ, THỊ TRẤN'!R21*10^3</f>
        <v>444638000</v>
      </c>
      <c r="D107" s="767"/>
    </row>
    <row r="108" spans="1:4" ht="25" customHeight="1">
      <c r="A108" s="649" t="s">
        <v>15</v>
      </c>
      <c r="B108" s="658" t="s">
        <v>254</v>
      </c>
      <c r="C108" s="651">
        <f>'07. XÃ, THỊ TRẤN'!R22*10^3</f>
        <v>278320000</v>
      </c>
      <c r="D108" s="767"/>
    </row>
    <row r="109" spans="1:4" ht="25" customHeight="1">
      <c r="A109" s="649" t="s">
        <v>15</v>
      </c>
      <c r="B109" s="658" t="s">
        <v>205</v>
      </c>
      <c r="C109" s="651">
        <f>'07. XÃ, THỊ TRẤN'!R23*10^3</f>
        <v>261207000</v>
      </c>
      <c r="D109" s="767"/>
    </row>
    <row r="110" spans="1:4" ht="25" customHeight="1">
      <c r="A110" s="649" t="s">
        <v>15</v>
      </c>
      <c r="B110" s="658" t="s">
        <v>220</v>
      </c>
      <c r="C110" s="651">
        <f>'07. XÃ, THỊ TRẤN'!R24*10^3</f>
        <v>378513000</v>
      </c>
      <c r="D110" s="767"/>
    </row>
    <row r="111" spans="1:4" ht="25" customHeight="1">
      <c r="A111" s="659" t="s">
        <v>15</v>
      </c>
      <c r="B111" s="660" t="s">
        <v>471</v>
      </c>
      <c r="C111" s="661">
        <f>'07. XÃ, THỊ TRẤN'!R25*10^3</f>
        <v>307528000</v>
      </c>
      <c r="D111" s="768"/>
    </row>
  </sheetData>
  <mergeCells count="13">
    <mergeCell ref="D44:D45"/>
    <mergeCell ref="A2:D2"/>
    <mergeCell ref="A3:D3"/>
    <mergeCell ref="C4:D4"/>
    <mergeCell ref="D37:D40"/>
    <mergeCell ref="D33:D35"/>
    <mergeCell ref="D19:D27"/>
    <mergeCell ref="D9:D18"/>
    <mergeCell ref="D67:D69"/>
    <mergeCell ref="D76:D86"/>
    <mergeCell ref="D88:D93"/>
    <mergeCell ref="D95:D111"/>
    <mergeCell ref="D50:D52"/>
  </mergeCells>
  <pageMargins left="0.31496062992125984" right="0.19685039370078741" top="0.35433070866141736" bottom="0.19685039370078741" header="0.19685039370078741" footer="0.23622047244094491"/>
  <pageSetup paperSize="9" scale="75" orientation="portrait" useFirstPageNumber="1" r:id="rId1"/>
  <headerFooter>
    <oddFooter>&amp;C&amp;"Times New Roman,Regular"&amp;10&amp;P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2"/>
  <sheetViews>
    <sheetView zoomScaleNormal="100" workbookViewId="0">
      <selection activeCell="G11" sqref="G11"/>
    </sheetView>
  </sheetViews>
  <sheetFormatPr defaultColWidth="9.1640625" defaultRowHeight="13" outlineLevelCol="1"/>
  <cols>
    <col min="1" max="1" width="6.1640625" style="473" customWidth="1"/>
    <col min="2" max="2" width="32.58203125" style="473" customWidth="1"/>
    <col min="3" max="3" width="14.83203125" style="473" customWidth="1" outlineLevel="1"/>
    <col min="4" max="5" width="11.75" style="473" customWidth="1" outlineLevel="1"/>
    <col min="6" max="6" width="14.83203125" style="473" customWidth="1" outlineLevel="1"/>
    <col min="7" max="7" width="14.25" style="473" customWidth="1" outlineLevel="1"/>
    <col min="8" max="8" width="14.4140625" style="473" customWidth="1" outlineLevel="1"/>
    <col min="9" max="9" width="14" style="473" customWidth="1" outlineLevel="1"/>
    <col min="10" max="10" width="12.25" style="473" customWidth="1" outlineLevel="1"/>
    <col min="11" max="11" width="21" style="473" customWidth="1"/>
    <col min="12" max="12" width="19" style="473" hidden="1" customWidth="1"/>
    <col min="13" max="16384" width="9.1640625" style="473"/>
  </cols>
  <sheetData>
    <row r="1" spans="1:12" s="471" customFormat="1" ht="15.5">
      <c r="A1" s="470"/>
      <c r="K1" s="472" t="s">
        <v>256</v>
      </c>
    </row>
    <row r="2" spans="1:12" ht="33" customHeight="1">
      <c r="A2" s="852" t="s">
        <v>432</v>
      </c>
      <c r="B2" s="853"/>
      <c r="C2" s="853"/>
      <c r="D2" s="853"/>
      <c r="E2" s="853"/>
      <c r="F2" s="853"/>
      <c r="G2" s="853"/>
      <c r="H2" s="853"/>
      <c r="I2" s="853"/>
      <c r="J2" s="853"/>
      <c r="K2" s="853"/>
    </row>
    <row r="3" spans="1:12" ht="21.75" customHeight="1">
      <c r="A3" s="854" t="str">
        <f>'TỔNG HỢP'!A3:D3</f>
        <v>(Kèm theo Tờ trình số         /TTr-UBND ngày       /12/2024 của UBND huyện Na Rì)</v>
      </c>
      <c r="B3" s="854"/>
      <c r="C3" s="854"/>
      <c r="D3" s="854"/>
      <c r="E3" s="854"/>
      <c r="F3" s="854"/>
      <c r="G3" s="854"/>
      <c r="H3" s="854"/>
      <c r="I3" s="854"/>
      <c r="J3" s="854"/>
      <c r="K3" s="854"/>
    </row>
    <row r="4" spans="1:12" ht="14">
      <c r="A4" s="474"/>
      <c r="B4" s="474"/>
      <c r="C4" s="474"/>
      <c r="D4" s="474"/>
      <c r="E4" s="474"/>
      <c r="F4" s="474"/>
      <c r="G4" s="474"/>
      <c r="H4" s="474"/>
      <c r="I4" s="474"/>
      <c r="J4" s="474"/>
      <c r="K4" s="475" t="s">
        <v>22</v>
      </c>
    </row>
    <row r="5" spans="1:12" s="476" customFormat="1" ht="14">
      <c r="A5" s="855" t="s">
        <v>13</v>
      </c>
      <c r="B5" s="855" t="s">
        <v>6</v>
      </c>
      <c r="C5" s="856" t="s">
        <v>412</v>
      </c>
      <c r="D5" s="856"/>
      <c r="E5" s="856"/>
      <c r="F5" s="857" t="s">
        <v>35</v>
      </c>
      <c r="G5" s="858"/>
      <c r="H5" s="858"/>
      <c r="I5" s="858"/>
      <c r="J5" s="859"/>
      <c r="K5" s="856" t="s">
        <v>0</v>
      </c>
    </row>
    <row r="6" spans="1:12" s="476" customFormat="1" ht="14">
      <c r="A6" s="855"/>
      <c r="B6" s="855"/>
      <c r="C6" s="856"/>
      <c r="D6" s="856"/>
      <c r="E6" s="856"/>
      <c r="F6" s="860" t="s">
        <v>411</v>
      </c>
      <c r="G6" s="856" t="s">
        <v>410</v>
      </c>
      <c r="H6" s="856"/>
      <c r="I6" s="856"/>
      <c r="J6" s="856" t="s">
        <v>409</v>
      </c>
      <c r="K6" s="856"/>
    </row>
    <row r="7" spans="1:12" s="476" customFormat="1" ht="22.5" customHeight="1">
      <c r="A7" s="855"/>
      <c r="B7" s="855"/>
      <c r="C7" s="426" t="s">
        <v>408</v>
      </c>
      <c r="D7" s="426" t="s">
        <v>407</v>
      </c>
      <c r="E7" s="426" t="s">
        <v>406</v>
      </c>
      <c r="F7" s="861"/>
      <c r="G7" s="426" t="s">
        <v>408</v>
      </c>
      <c r="H7" s="426" t="s">
        <v>407</v>
      </c>
      <c r="I7" s="426" t="s">
        <v>406</v>
      </c>
      <c r="J7" s="856"/>
      <c r="K7" s="856"/>
    </row>
    <row r="8" spans="1:12" s="476" customFormat="1" ht="14">
      <c r="A8" s="684" t="s">
        <v>1</v>
      </c>
      <c r="B8" s="684" t="s">
        <v>5</v>
      </c>
      <c r="C8" s="684" t="s">
        <v>405</v>
      </c>
      <c r="D8" s="684">
        <v>2</v>
      </c>
      <c r="E8" s="684">
        <v>3</v>
      </c>
      <c r="F8" s="684" t="s">
        <v>404</v>
      </c>
      <c r="G8" s="684" t="s">
        <v>403</v>
      </c>
      <c r="H8" s="684">
        <v>6</v>
      </c>
      <c r="I8" s="684">
        <v>7</v>
      </c>
      <c r="J8" s="684">
        <v>8</v>
      </c>
      <c r="K8" s="684">
        <v>9</v>
      </c>
    </row>
    <row r="9" spans="1:12" s="479" customFormat="1" ht="22.5" customHeight="1">
      <c r="A9" s="486"/>
      <c r="B9" s="486" t="s">
        <v>23</v>
      </c>
      <c r="C9" s="500">
        <f>C10+C17</f>
        <v>13629.091400000001</v>
      </c>
      <c r="D9" s="500">
        <f t="shared" ref="D9:E9" si="0">D10+D17</f>
        <v>5655.4913999999999</v>
      </c>
      <c r="E9" s="500">
        <f t="shared" si="0"/>
        <v>7973.6</v>
      </c>
      <c r="F9" s="501">
        <f>F10+F17</f>
        <v>5380897999.666666</v>
      </c>
      <c r="G9" s="501">
        <f t="shared" ref="G9:J9" si="1">G10+G17</f>
        <v>5028876226.666666</v>
      </c>
      <c r="H9" s="501">
        <f>H10+H17</f>
        <v>2044083560</v>
      </c>
      <c r="I9" s="501">
        <f t="shared" si="1"/>
        <v>2984792666.666667</v>
      </c>
      <c r="J9" s="501">
        <f t="shared" si="1"/>
        <v>352021773</v>
      </c>
      <c r="K9" s="487"/>
      <c r="L9" s="478"/>
    </row>
    <row r="10" spans="1:12" s="479" customFormat="1" ht="22.5" customHeight="1">
      <c r="A10" s="488" t="s">
        <v>2</v>
      </c>
      <c r="B10" s="510" t="s">
        <v>431</v>
      </c>
      <c r="C10" s="502">
        <f t="shared" ref="C10:D10" si="2">SUM(C11:C16)</f>
        <v>7038.4883675000001</v>
      </c>
      <c r="D10" s="502">
        <f t="shared" si="2"/>
        <v>3233.1055447526101</v>
      </c>
      <c r="E10" s="502">
        <f>SUM(E11:E16)</f>
        <v>3805.38282274739</v>
      </c>
      <c r="F10" s="503">
        <f>SUM(F11:F16)</f>
        <v>3015031000</v>
      </c>
      <c r="G10" s="503">
        <f t="shared" ref="G10:J10" si="3">SUM(G11:G16)</f>
        <v>2815395347</v>
      </c>
      <c r="H10" s="503">
        <f t="shared" si="3"/>
        <v>1293242217.9010441</v>
      </c>
      <c r="I10" s="503">
        <f t="shared" si="3"/>
        <v>1522153129.0989559</v>
      </c>
      <c r="J10" s="503">
        <f t="shared" si="3"/>
        <v>199635653.00000003</v>
      </c>
      <c r="K10" s="489"/>
      <c r="L10" s="478"/>
    </row>
    <row r="11" spans="1:12" s="476" customFormat="1" ht="20.149999999999999" customHeight="1">
      <c r="A11" s="490">
        <v>1</v>
      </c>
      <c r="B11" s="499" t="s">
        <v>402</v>
      </c>
      <c r="C11" s="504">
        <f t="shared" ref="C11:C16" si="4">D11+E11</f>
        <v>921.27</v>
      </c>
      <c r="D11" s="504">
        <v>466.03000000000003</v>
      </c>
      <c r="E11" s="504">
        <v>455.24</v>
      </c>
      <c r="F11" s="505">
        <f t="shared" ref="F11:F16" si="5">G11+J11</f>
        <v>394304000</v>
      </c>
      <c r="G11" s="505">
        <f t="shared" ref="G11:G16" si="6">H11+I11</f>
        <v>368508000</v>
      </c>
      <c r="H11" s="505">
        <f t="shared" ref="H11:I16" si="7">D11*400000</f>
        <v>186412000</v>
      </c>
      <c r="I11" s="505">
        <f t="shared" si="7"/>
        <v>182096000</v>
      </c>
      <c r="J11" s="505">
        <v>25796000</v>
      </c>
      <c r="K11" s="491" t="s">
        <v>388</v>
      </c>
      <c r="L11" s="481"/>
    </row>
    <row r="12" spans="1:12" s="476" customFormat="1" ht="20.149999999999999" customHeight="1">
      <c r="A12" s="490">
        <v>2</v>
      </c>
      <c r="B12" s="497" t="s">
        <v>401</v>
      </c>
      <c r="C12" s="504">
        <f t="shared" si="4"/>
        <v>1350.24</v>
      </c>
      <c r="D12" s="504">
        <v>946.08</v>
      </c>
      <c r="E12" s="504">
        <v>404.16</v>
      </c>
      <c r="F12" s="505">
        <f t="shared" si="5"/>
        <v>577902700</v>
      </c>
      <c r="G12" s="505">
        <f t="shared" si="6"/>
        <v>540096000</v>
      </c>
      <c r="H12" s="505">
        <f t="shared" si="7"/>
        <v>378432000</v>
      </c>
      <c r="I12" s="505">
        <f t="shared" si="7"/>
        <v>161664000</v>
      </c>
      <c r="J12" s="505">
        <v>37806700</v>
      </c>
      <c r="K12" s="491" t="s">
        <v>388</v>
      </c>
      <c r="L12" s="482"/>
    </row>
    <row r="13" spans="1:12" s="476" customFormat="1" ht="20.149999999999999" customHeight="1">
      <c r="A13" s="490">
        <v>3</v>
      </c>
      <c r="B13" s="497" t="s">
        <v>400</v>
      </c>
      <c r="C13" s="504">
        <f t="shared" si="4"/>
        <v>510.96</v>
      </c>
      <c r="D13" s="504">
        <v>169.76999999999998</v>
      </c>
      <c r="E13" s="504">
        <v>341.19</v>
      </c>
      <c r="F13" s="505">
        <f t="shared" si="5"/>
        <v>218690873</v>
      </c>
      <c r="G13" s="505">
        <f t="shared" si="6"/>
        <v>204384000</v>
      </c>
      <c r="H13" s="505">
        <f t="shared" si="7"/>
        <v>67908000</v>
      </c>
      <c r="I13" s="505">
        <f t="shared" si="7"/>
        <v>136476000</v>
      </c>
      <c r="J13" s="505">
        <f>14306880-7</f>
        <v>14306873</v>
      </c>
      <c r="K13" s="491" t="s">
        <v>388</v>
      </c>
      <c r="L13" s="482"/>
    </row>
    <row r="14" spans="1:12" s="476" customFormat="1" ht="20.149999999999999" customHeight="1">
      <c r="A14" s="490">
        <v>4</v>
      </c>
      <c r="B14" s="497" t="s">
        <v>399</v>
      </c>
      <c r="C14" s="504">
        <f t="shared" si="4"/>
        <v>1602.55</v>
      </c>
      <c r="D14" s="504">
        <v>906.19999999999993</v>
      </c>
      <c r="E14" s="504">
        <v>696.35</v>
      </c>
      <c r="F14" s="505">
        <f t="shared" si="5"/>
        <v>685891400</v>
      </c>
      <c r="G14" s="505">
        <f t="shared" si="6"/>
        <v>641020000</v>
      </c>
      <c r="H14" s="505">
        <f t="shared" si="7"/>
        <v>362480000</v>
      </c>
      <c r="I14" s="505">
        <f t="shared" si="7"/>
        <v>278540000</v>
      </c>
      <c r="J14" s="505">
        <v>44871400.000000007</v>
      </c>
      <c r="K14" s="491" t="s">
        <v>388</v>
      </c>
    </row>
    <row r="15" spans="1:12" s="476" customFormat="1" ht="20.149999999999999" customHeight="1">
      <c r="A15" s="490">
        <v>5</v>
      </c>
      <c r="B15" s="497" t="s">
        <v>398</v>
      </c>
      <c r="C15" s="504">
        <f t="shared" si="4"/>
        <v>2321.4900000000002</v>
      </c>
      <c r="D15" s="504">
        <v>700.16000000000008</v>
      </c>
      <c r="E15" s="504">
        <v>1621.3300000000002</v>
      </c>
      <c r="F15" s="505">
        <f t="shared" si="5"/>
        <v>993597720.00000024</v>
      </c>
      <c r="G15" s="505">
        <f t="shared" si="6"/>
        <v>928596000.00000024</v>
      </c>
      <c r="H15" s="505">
        <f t="shared" si="7"/>
        <v>280064000.00000006</v>
      </c>
      <c r="I15" s="505">
        <f t="shared" si="7"/>
        <v>648532000.00000012</v>
      </c>
      <c r="J15" s="505">
        <v>65001720.000000022</v>
      </c>
      <c r="K15" s="491" t="s">
        <v>388</v>
      </c>
    </row>
    <row r="16" spans="1:12" s="476" customFormat="1" ht="20.149999999999999" customHeight="1">
      <c r="A16" s="490">
        <v>6</v>
      </c>
      <c r="B16" s="497" t="s">
        <v>397</v>
      </c>
      <c r="C16" s="504">
        <f t="shared" si="4"/>
        <v>331.97836750000005</v>
      </c>
      <c r="D16" s="504">
        <f>57.21-(57.21*L20)</f>
        <v>44.865544752610319</v>
      </c>
      <c r="E16" s="504">
        <f>366.11-(366.11*L20)</f>
        <v>287.11282274738971</v>
      </c>
      <c r="F16" s="505">
        <f t="shared" si="5"/>
        <v>144644307</v>
      </c>
      <c r="G16" s="505">
        <f t="shared" si="6"/>
        <v>132791347.00000001</v>
      </c>
      <c r="H16" s="505">
        <f t="shared" si="7"/>
        <v>17946217.901044127</v>
      </c>
      <c r="I16" s="505">
        <f t="shared" si="7"/>
        <v>114845129.09895588</v>
      </c>
      <c r="J16" s="505">
        <v>11852960</v>
      </c>
      <c r="K16" s="491" t="s">
        <v>388</v>
      </c>
    </row>
    <row r="17" spans="1:12" s="476" customFormat="1" ht="32.25" customHeight="1">
      <c r="A17" s="492" t="s">
        <v>3</v>
      </c>
      <c r="B17" s="560" t="s">
        <v>453</v>
      </c>
      <c r="C17" s="502">
        <f t="shared" ref="C17:J17" si="8">SUM(C18:C28)</f>
        <v>6590.6030325000002</v>
      </c>
      <c r="D17" s="502">
        <f t="shared" si="8"/>
        <v>2422.3858552473898</v>
      </c>
      <c r="E17" s="502">
        <f t="shared" si="8"/>
        <v>4168.2171772526108</v>
      </c>
      <c r="F17" s="503">
        <f t="shared" si="8"/>
        <v>2365866999.6666665</v>
      </c>
      <c r="G17" s="503">
        <f t="shared" si="8"/>
        <v>2213480879.6666665</v>
      </c>
      <c r="H17" s="503">
        <f t="shared" si="8"/>
        <v>750841342.09895587</v>
      </c>
      <c r="I17" s="503">
        <f t="shared" si="8"/>
        <v>1462639537.5677111</v>
      </c>
      <c r="J17" s="503">
        <f t="shared" si="8"/>
        <v>152386120</v>
      </c>
      <c r="K17" s="493"/>
      <c r="L17" s="508">
        <f>F10-C30</f>
        <v>0</v>
      </c>
    </row>
    <row r="18" spans="1:12" s="476" customFormat="1" ht="20.149999999999999" customHeight="1">
      <c r="A18" s="490">
        <v>1</v>
      </c>
      <c r="B18" s="497" t="s">
        <v>397</v>
      </c>
      <c r="C18" s="504">
        <f t="shared" ref="C18:C28" si="9">D18+E18</f>
        <v>91.341632499999974</v>
      </c>
      <c r="D18" s="504">
        <f>57.21-D16</f>
        <v>12.344455247389682</v>
      </c>
      <c r="E18" s="504">
        <f>366.11-E16</f>
        <v>78.9971772526103</v>
      </c>
      <c r="F18" s="505">
        <f t="shared" ref="F18:F28" si="10">G18+J18</f>
        <v>36536652.999999993</v>
      </c>
      <c r="G18" s="505">
        <f t="shared" ref="G18:G28" si="11">H18+I18</f>
        <v>36536652.999999993</v>
      </c>
      <c r="H18" s="505">
        <f t="shared" ref="H18:H26" si="12">D18*400000</f>
        <v>4937782.0989558725</v>
      </c>
      <c r="I18" s="505">
        <f t="shared" ref="I18:I26" si="13">E18*400000</f>
        <v>31598870.901044119</v>
      </c>
      <c r="J18" s="505"/>
      <c r="K18" s="491" t="s">
        <v>388</v>
      </c>
      <c r="L18" s="509">
        <f>L17/400000</f>
        <v>0</v>
      </c>
    </row>
    <row r="19" spans="1:12" s="476" customFormat="1" ht="20.149999999999999" customHeight="1">
      <c r="A19" s="490">
        <v>2</v>
      </c>
      <c r="B19" s="497" t="s">
        <v>396</v>
      </c>
      <c r="C19" s="504">
        <f t="shared" si="9"/>
        <v>438.25</v>
      </c>
      <c r="D19" s="504">
        <v>327.60000000000002</v>
      </c>
      <c r="E19" s="504">
        <v>110.65</v>
      </c>
      <c r="F19" s="505">
        <f t="shared" si="10"/>
        <v>187571000</v>
      </c>
      <c r="G19" s="505">
        <f t="shared" si="11"/>
        <v>175300000</v>
      </c>
      <c r="H19" s="505">
        <f t="shared" si="12"/>
        <v>131040000.00000001</v>
      </c>
      <c r="I19" s="505">
        <f t="shared" si="13"/>
        <v>44260000</v>
      </c>
      <c r="J19" s="505">
        <v>12271000.000000002</v>
      </c>
      <c r="K19" s="491" t="s">
        <v>388</v>
      </c>
      <c r="L19" s="511">
        <f>L18/C16</f>
        <v>0</v>
      </c>
    </row>
    <row r="20" spans="1:12" s="476" customFormat="1" ht="20.149999999999999" customHeight="1">
      <c r="A20" s="490">
        <v>3</v>
      </c>
      <c r="B20" s="497" t="s">
        <v>395</v>
      </c>
      <c r="C20" s="504">
        <f t="shared" si="9"/>
        <v>528.08000000000004</v>
      </c>
      <c r="D20" s="504">
        <v>257.70000000000005</v>
      </c>
      <c r="E20" s="504">
        <v>270.38</v>
      </c>
      <c r="F20" s="505">
        <f t="shared" si="10"/>
        <v>226018240</v>
      </c>
      <c r="G20" s="505">
        <f t="shared" si="11"/>
        <v>211232000</v>
      </c>
      <c r="H20" s="505">
        <f t="shared" si="12"/>
        <v>103080000.00000001</v>
      </c>
      <c r="I20" s="505">
        <f t="shared" si="13"/>
        <v>108152000</v>
      </c>
      <c r="J20" s="505">
        <v>14786240.000000002</v>
      </c>
      <c r="K20" s="491" t="s">
        <v>388</v>
      </c>
      <c r="L20" s="476">
        <v>0.21577443187187001</v>
      </c>
    </row>
    <row r="21" spans="1:12" s="476" customFormat="1" ht="20.149999999999999" customHeight="1">
      <c r="A21" s="490">
        <v>4</v>
      </c>
      <c r="B21" s="497" t="s">
        <v>394</v>
      </c>
      <c r="C21" s="504">
        <f t="shared" si="9"/>
        <v>848.20139999999992</v>
      </c>
      <c r="D21" s="504">
        <v>329.9914</v>
      </c>
      <c r="E21" s="504">
        <v>518.20999999999992</v>
      </c>
      <c r="F21" s="505">
        <f t="shared" si="10"/>
        <v>363030560</v>
      </c>
      <c r="G21" s="505">
        <f t="shared" si="11"/>
        <v>339280560</v>
      </c>
      <c r="H21" s="505">
        <f t="shared" si="12"/>
        <v>131996560</v>
      </c>
      <c r="I21" s="505">
        <f t="shared" si="13"/>
        <v>207283999.99999997</v>
      </c>
      <c r="J21" s="505">
        <v>23750000</v>
      </c>
      <c r="K21" s="491" t="s">
        <v>388</v>
      </c>
    </row>
    <row r="22" spans="1:12" s="476" customFormat="1" ht="20.149999999999999" customHeight="1">
      <c r="A22" s="490">
        <v>5</v>
      </c>
      <c r="B22" s="497" t="s">
        <v>393</v>
      </c>
      <c r="C22" s="504">
        <f t="shared" si="9"/>
        <v>1925.1000000000001</v>
      </c>
      <c r="D22" s="504">
        <v>509.78</v>
      </c>
      <c r="E22" s="504">
        <v>1415.3200000000002</v>
      </c>
      <c r="F22" s="505">
        <f t="shared" si="10"/>
        <v>823942800.00000012</v>
      </c>
      <c r="G22" s="505">
        <f t="shared" si="11"/>
        <v>770040000.00000012</v>
      </c>
      <c r="H22" s="505">
        <f t="shared" si="12"/>
        <v>203912000</v>
      </c>
      <c r="I22" s="505">
        <f t="shared" si="13"/>
        <v>566128000.00000012</v>
      </c>
      <c r="J22" s="505">
        <v>53902800.000000015</v>
      </c>
      <c r="K22" s="491" t="s">
        <v>388</v>
      </c>
    </row>
    <row r="23" spans="1:12" s="476" customFormat="1" ht="20.149999999999999" customHeight="1">
      <c r="A23" s="490">
        <v>6</v>
      </c>
      <c r="B23" s="497" t="s">
        <v>392</v>
      </c>
      <c r="C23" s="504">
        <f t="shared" si="9"/>
        <v>386.90999999999997</v>
      </c>
      <c r="D23" s="504"/>
      <c r="E23" s="504">
        <v>386.90999999999997</v>
      </c>
      <c r="F23" s="505">
        <f t="shared" si="10"/>
        <v>165597480</v>
      </c>
      <c r="G23" s="505">
        <f t="shared" si="11"/>
        <v>154764000</v>
      </c>
      <c r="H23" s="505">
        <f t="shared" si="12"/>
        <v>0</v>
      </c>
      <c r="I23" s="505">
        <f t="shared" si="13"/>
        <v>154764000</v>
      </c>
      <c r="J23" s="505">
        <v>10833480.000000002</v>
      </c>
      <c r="K23" s="491" t="s">
        <v>388</v>
      </c>
    </row>
    <row r="24" spans="1:12" s="476" customFormat="1" ht="20.149999999999999" customHeight="1">
      <c r="A24" s="490">
        <v>7</v>
      </c>
      <c r="B24" s="497" t="s">
        <v>391</v>
      </c>
      <c r="C24" s="504">
        <f t="shared" si="9"/>
        <v>381.43</v>
      </c>
      <c r="D24" s="504"/>
      <c r="E24" s="504">
        <v>381.43</v>
      </c>
      <c r="F24" s="505">
        <f t="shared" si="10"/>
        <v>163252000</v>
      </c>
      <c r="G24" s="505">
        <f t="shared" si="11"/>
        <v>152572000</v>
      </c>
      <c r="H24" s="505">
        <f t="shared" si="12"/>
        <v>0</v>
      </c>
      <c r="I24" s="505">
        <f t="shared" si="13"/>
        <v>152572000</v>
      </c>
      <c r="J24" s="505">
        <v>10680000</v>
      </c>
      <c r="K24" s="491" t="s">
        <v>388</v>
      </c>
    </row>
    <row r="25" spans="1:12" s="476" customFormat="1" ht="20.149999999999999" customHeight="1">
      <c r="A25" s="490">
        <v>8</v>
      </c>
      <c r="B25" s="497" t="s">
        <v>390</v>
      </c>
      <c r="C25" s="504">
        <f t="shared" si="9"/>
        <v>129.26</v>
      </c>
      <c r="D25" s="504"/>
      <c r="E25" s="504">
        <v>129.26</v>
      </c>
      <c r="F25" s="505">
        <f t="shared" si="10"/>
        <v>55323000</v>
      </c>
      <c r="G25" s="505">
        <f t="shared" si="11"/>
        <v>51704000</v>
      </c>
      <c r="H25" s="505">
        <f t="shared" si="12"/>
        <v>0</v>
      </c>
      <c r="I25" s="505">
        <f t="shared" si="13"/>
        <v>51704000</v>
      </c>
      <c r="J25" s="505">
        <v>3619000</v>
      </c>
      <c r="K25" s="491" t="s">
        <v>388</v>
      </c>
    </row>
    <row r="26" spans="1:12" s="476" customFormat="1" ht="20.149999999999999" customHeight="1">
      <c r="A26" s="490">
        <v>9</v>
      </c>
      <c r="B26" s="497" t="s">
        <v>389</v>
      </c>
      <c r="C26" s="504">
        <f t="shared" si="9"/>
        <v>50.2</v>
      </c>
      <c r="D26" s="504">
        <v>50.2</v>
      </c>
      <c r="E26" s="504"/>
      <c r="F26" s="505">
        <f t="shared" si="10"/>
        <v>21485600</v>
      </c>
      <c r="G26" s="505">
        <f t="shared" si="11"/>
        <v>20080000</v>
      </c>
      <c r="H26" s="505">
        <f t="shared" si="12"/>
        <v>20080000</v>
      </c>
      <c r="I26" s="505">
        <f t="shared" si="13"/>
        <v>0</v>
      </c>
      <c r="J26" s="505">
        <v>1405600.0000000002</v>
      </c>
      <c r="K26" s="491" t="s">
        <v>388</v>
      </c>
    </row>
    <row r="27" spans="1:12" s="476" customFormat="1" ht="42.75" customHeight="1">
      <c r="A27" s="490">
        <v>10</v>
      </c>
      <c r="B27" s="497" t="s">
        <v>387</v>
      </c>
      <c r="C27" s="504">
        <f t="shared" si="9"/>
        <v>1756.05</v>
      </c>
      <c r="D27" s="504">
        <v>878.99</v>
      </c>
      <c r="E27" s="504">
        <v>877.06</v>
      </c>
      <c r="F27" s="505">
        <f t="shared" si="10"/>
        <v>313162000</v>
      </c>
      <c r="G27" s="505">
        <f t="shared" si="11"/>
        <v>292675000</v>
      </c>
      <c r="H27" s="505">
        <f>D27*(400000/12)*5</f>
        <v>146498333.33333334</v>
      </c>
      <c r="I27" s="505">
        <f>E27*(400000/12)*5</f>
        <v>146176666.66666666</v>
      </c>
      <c r="J27" s="505">
        <v>20487000</v>
      </c>
      <c r="K27" s="494" t="s">
        <v>386</v>
      </c>
    </row>
    <row r="28" spans="1:12" s="476" customFormat="1" ht="34.5">
      <c r="A28" s="495">
        <v>11</v>
      </c>
      <c r="B28" s="498" t="s">
        <v>106</v>
      </c>
      <c r="C28" s="506">
        <f t="shared" si="9"/>
        <v>55.78</v>
      </c>
      <c r="D28" s="506">
        <v>55.78</v>
      </c>
      <c r="E28" s="506"/>
      <c r="F28" s="507">
        <f t="shared" si="10"/>
        <v>9947666.6666666679</v>
      </c>
      <c r="G28" s="507">
        <f t="shared" si="11"/>
        <v>9296666.6666666679</v>
      </c>
      <c r="H28" s="507">
        <f>D28*(400000/12*5)</f>
        <v>9296666.6666666679</v>
      </c>
      <c r="I28" s="507">
        <f>E28*400000</f>
        <v>0</v>
      </c>
      <c r="J28" s="507">
        <v>651000</v>
      </c>
      <c r="K28" s="496" t="s">
        <v>385</v>
      </c>
    </row>
    <row r="29" spans="1:12">
      <c r="B29" s="473" t="s">
        <v>384</v>
      </c>
      <c r="F29" s="483"/>
    </row>
    <row r="30" spans="1:12" ht="14">
      <c r="B30" s="484" t="s">
        <v>383</v>
      </c>
      <c r="C30" s="480">
        <f>+'[2]Biểu Tổng hợp'!C8</f>
        <v>3015031000</v>
      </c>
      <c r="F30" s="483"/>
    </row>
    <row r="31" spans="1:12" ht="14">
      <c r="B31" s="484" t="s">
        <v>382</v>
      </c>
      <c r="C31" s="480">
        <f>+'[2]Biểu Tổng hợp'!C29</f>
        <v>2365867000</v>
      </c>
    </row>
    <row r="32" spans="1:12" ht="14">
      <c r="B32" s="485" t="s">
        <v>190</v>
      </c>
      <c r="C32" s="477">
        <f>SUM(C30:C31)</f>
        <v>5380898000</v>
      </c>
    </row>
  </sheetData>
  <mergeCells count="10">
    <mergeCell ref="A2:K2"/>
    <mergeCell ref="A3:K3"/>
    <mergeCell ref="A5:A7"/>
    <mergeCell ref="B5:B7"/>
    <mergeCell ref="C5:E6"/>
    <mergeCell ref="F5:J5"/>
    <mergeCell ref="K5:K7"/>
    <mergeCell ref="F6:F7"/>
    <mergeCell ref="G6:I6"/>
    <mergeCell ref="J6:J7"/>
  </mergeCells>
  <pageMargins left="0.35433070866141736" right="7.874015748031496E-2" top="0.23622047244094491" bottom="3.937007874015748E-2" header="0.19685039370078741" footer="0.19685039370078741"/>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30"/>
  <sheetViews>
    <sheetView workbookViewId="0">
      <selection activeCell="A4" sqref="A4"/>
    </sheetView>
  </sheetViews>
  <sheetFormatPr defaultColWidth="10.25" defaultRowHeight="16.5"/>
  <cols>
    <col min="1" max="1" width="7.25" style="435" customWidth="1"/>
    <col min="2" max="2" width="70.83203125" style="434" customWidth="1"/>
    <col min="3" max="3" width="18" style="433" customWidth="1"/>
    <col min="4" max="4" width="18.4140625" style="433" customWidth="1"/>
    <col min="5" max="5" width="18.58203125" style="432" customWidth="1"/>
    <col min="6" max="6" width="13.75" style="431" customWidth="1"/>
    <col min="7" max="7" width="16.58203125" style="431" hidden="1" customWidth="1"/>
    <col min="8" max="8" width="15.75" style="431" hidden="1" customWidth="1"/>
    <col min="9" max="9" width="26.4140625" style="431" hidden="1" customWidth="1"/>
    <col min="10" max="10" width="29.25" style="427" hidden="1" customWidth="1"/>
    <col min="11" max="11" width="15.75" style="430" hidden="1" customWidth="1"/>
    <col min="12" max="12" width="10.83203125" style="430" hidden="1" customWidth="1"/>
    <col min="13" max="13" width="6.83203125" style="430" hidden="1" customWidth="1"/>
    <col min="14" max="14" width="13.75" style="429" hidden="1" customWidth="1"/>
    <col min="15" max="15" width="59.83203125" style="428" hidden="1" customWidth="1"/>
    <col min="16" max="17" width="10.25" style="427"/>
    <col min="18" max="18" width="19.75" style="427" customWidth="1"/>
    <col min="19" max="16384" width="10.25" style="427"/>
  </cols>
  <sheetData>
    <row r="1" spans="1:18" ht="17.5">
      <c r="F1" s="527" t="s">
        <v>435</v>
      </c>
      <c r="G1" s="469"/>
      <c r="H1" s="469"/>
      <c r="I1" s="469"/>
      <c r="O1" s="427"/>
    </row>
    <row r="2" spans="1:18" ht="39.75" customHeight="1">
      <c r="A2" s="862" t="s">
        <v>430</v>
      </c>
      <c r="B2" s="862"/>
      <c r="C2" s="862"/>
      <c r="D2" s="862"/>
      <c r="E2" s="862"/>
      <c r="F2" s="862"/>
      <c r="G2" s="468"/>
      <c r="H2" s="468"/>
      <c r="I2" s="468"/>
      <c r="O2" s="427"/>
    </row>
    <row r="3" spans="1:18" ht="18">
      <c r="A3" s="863" t="str">
        <f>'04. LÂM NGHIỆP'!A3:K3</f>
        <v>(Kèm theo Tờ trình số         /TTr-UBND ngày       /12/2024 của UBND huyện Na Rì)</v>
      </c>
      <c r="B3" s="863"/>
      <c r="C3" s="863"/>
      <c r="D3" s="863"/>
      <c r="E3" s="863"/>
      <c r="F3" s="863"/>
      <c r="G3" s="467"/>
      <c r="H3" s="467"/>
      <c r="I3" s="467"/>
      <c r="O3" s="427"/>
    </row>
    <row r="4" spans="1:18" ht="15" customHeight="1">
      <c r="A4" s="467"/>
      <c r="B4" s="467"/>
      <c r="C4" s="466"/>
      <c r="D4" s="466"/>
      <c r="E4" s="465"/>
      <c r="O4" s="427"/>
    </row>
    <row r="5" spans="1:18" ht="20.25" customHeight="1">
      <c r="E5" s="869" t="s">
        <v>22</v>
      </c>
      <c r="F5" s="869"/>
      <c r="G5" s="869"/>
      <c r="H5" s="464"/>
      <c r="I5" s="464"/>
      <c r="O5" s="427"/>
    </row>
    <row r="6" spans="1:18">
      <c r="A6" s="864" t="s">
        <v>13</v>
      </c>
      <c r="B6" s="865" t="s">
        <v>429</v>
      </c>
      <c r="C6" s="866" t="s">
        <v>428</v>
      </c>
      <c r="D6" s="866" t="s">
        <v>427</v>
      </c>
      <c r="E6" s="867" t="s">
        <v>426</v>
      </c>
      <c r="F6" s="868" t="s">
        <v>0</v>
      </c>
      <c r="G6" s="463"/>
      <c r="H6" s="463"/>
      <c r="I6" s="463"/>
      <c r="O6" s="427"/>
    </row>
    <row r="7" spans="1:18" ht="29.25" customHeight="1">
      <c r="A7" s="864"/>
      <c r="B7" s="865"/>
      <c r="C7" s="866"/>
      <c r="D7" s="866"/>
      <c r="E7" s="867"/>
      <c r="F7" s="868"/>
      <c r="G7" s="463" t="s">
        <v>425</v>
      </c>
      <c r="H7" s="463" t="s">
        <v>424</v>
      </c>
      <c r="I7" s="463"/>
      <c r="O7" s="427"/>
    </row>
    <row r="8" spans="1:18" s="459" customFormat="1" ht="20.25" customHeight="1">
      <c r="A8" s="528" t="s">
        <v>1</v>
      </c>
      <c r="B8" s="529" t="s">
        <v>5</v>
      </c>
      <c r="C8" s="530">
        <v>1</v>
      </c>
      <c r="D8" s="530">
        <v>2</v>
      </c>
      <c r="E8" s="530" t="s">
        <v>423</v>
      </c>
      <c r="F8" s="531">
        <v>4</v>
      </c>
      <c r="G8" s="462"/>
      <c r="H8" s="462"/>
      <c r="I8" s="462"/>
      <c r="K8" s="461"/>
      <c r="L8" s="461"/>
      <c r="M8" s="461"/>
      <c r="N8" s="460"/>
    </row>
    <row r="9" spans="1:18" s="450" customFormat="1" ht="25" customHeight="1">
      <c r="A9" s="532" t="s">
        <v>1</v>
      </c>
      <c r="B9" s="533" t="s">
        <v>203</v>
      </c>
      <c r="C9" s="561">
        <f>C10+C21+C28</f>
        <v>48277080000</v>
      </c>
      <c r="D9" s="561">
        <f>D10+D21+D28</f>
        <v>52445198000</v>
      </c>
      <c r="E9" s="561">
        <f>E10+E21+E28</f>
        <v>4168118000</v>
      </c>
      <c r="F9" s="534"/>
      <c r="G9" s="458" t="e">
        <f>G10+G21+G28</f>
        <v>#REF!</v>
      </c>
      <c r="H9" s="458" t="e">
        <f>H10+H21+H28</f>
        <v>#REF!</v>
      </c>
      <c r="I9" s="457"/>
      <c r="J9" s="454"/>
      <c r="K9" s="453" t="s">
        <v>422</v>
      </c>
      <c r="L9" s="453" t="s">
        <v>421</v>
      </c>
      <c r="M9" s="452"/>
      <c r="N9" s="451"/>
      <c r="R9" s="454">
        <f>E9+'04. LÂM NGHIỆP'!F9</f>
        <v>9549015999.666666</v>
      </c>
    </row>
    <row r="10" spans="1:18" s="450" customFormat="1" ht="24.75" customHeight="1">
      <c r="A10" s="535" t="s">
        <v>2</v>
      </c>
      <c r="B10" s="562" t="s">
        <v>443</v>
      </c>
      <c r="C10" s="563">
        <f>+C11+C15+C17+C19</f>
        <v>25198000000</v>
      </c>
      <c r="D10" s="563">
        <f>+D11+D15+D17+D19</f>
        <v>28130995000</v>
      </c>
      <c r="E10" s="563">
        <f>+E11+E15+E17+E19</f>
        <v>2932995000</v>
      </c>
      <c r="F10" s="564"/>
      <c r="G10" s="456" t="e">
        <f>G11+#REF!+#REF!+G15+G17+G19+#REF!+#REF!+#REF!+#REF!</f>
        <v>#REF!</v>
      </c>
      <c r="H10" s="456" t="e">
        <f>H11+#REF!+#REF!+H15+H17+H19+#REF!+#REF!+#REF!+#REF!+#REF!</f>
        <v>#REF!</v>
      </c>
      <c r="I10" s="455"/>
      <c r="J10" s="454"/>
      <c r="K10" s="453"/>
      <c r="L10" s="453"/>
      <c r="M10" s="452"/>
      <c r="N10" s="451"/>
    </row>
    <row r="11" spans="1:18" ht="39" customHeight="1">
      <c r="A11" s="539">
        <v>1</v>
      </c>
      <c r="B11" s="540" t="s">
        <v>420</v>
      </c>
      <c r="C11" s="541">
        <f>SUM(C12:C14)</f>
        <v>10347000000</v>
      </c>
      <c r="D11" s="541">
        <f>SUM(D12:D14)</f>
        <v>11859688000</v>
      </c>
      <c r="E11" s="541">
        <f>SUM(E12:E14)</f>
        <v>1512688000</v>
      </c>
      <c r="F11" s="447"/>
      <c r="G11" s="449">
        <f>E11</f>
        <v>1512688000</v>
      </c>
      <c r="H11" s="449"/>
      <c r="I11" s="449"/>
      <c r="J11" s="448" t="s">
        <v>408</v>
      </c>
      <c r="K11" s="430">
        <f>SUM(K12:K14)</f>
        <v>0</v>
      </c>
      <c r="L11" s="430">
        <f>SUM(L12:L14)</f>
        <v>0</v>
      </c>
      <c r="M11" s="430">
        <f>K11+L11</f>
        <v>0</v>
      </c>
      <c r="N11" s="427"/>
      <c r="O11" s="427"/>
    </row>
    <row r="12" spans="1:18" ht="25" customHeight="1">
      <c r="A12" s="536" t="s">
        <v>18</v>
      </c>
      <c r="B12" s="537" t="s">
        <v>440</v>
      </c>
      <c r="C12" s="538">
        <v>8734000000</v>
      </c>
      <c r="D12" s="538">
        <v>9022231000</v>
      </c>
      <c r="E12" s="538">
        <f>D12-C12</f>
        <v>288231000</v>
      </c>
      <c r="F12" s="447"/>
      <c r="G12" s="447"/>
      <c r="H12" s="447"/>
      <c r="I12" s="447"/>
      <c r="J12" s="442"/>
      <c r="N12" s="427"/>
      <c r="O12" s="427"/>
    </row>
    <row r="13" spans="1:18" ht="25" customHeight="1">
      <c r="A13" s="536" t="s">
        <v>18</v>
      </c>
      <c r="B13" s="537" t="s">
        <v>441</v>
      </c>
      <c r="C13" s="538">
        <v>1487000000</v>
      </c>
      <c r="D13" s="538">
        <v>2696281000</v>
      </c>
      <c r="E13" s="538">
        <f>D13-C13</f>
        <v>1209281000</v>
      </c>
      <c r="F13" s="447"/>
      <c r="G13" s="447"/>
      <c r="H13" s="447"/>
      <c r="I13" s="447"/>
      <c r="J13" s="442"/>
      <c r="N13" s="427"/>
      <c r="O13" s="427"/>
    </row>
    <row r="14" spans="1:18" ht="25" customHeight="1">
      <c r="A14" s="536" t="s">
        <v>18</v>
      </c>
      <c r="B14" s="537" t="s">
        <v>442</v>
      </c>
      <c r="C14" s="538">
        <v>126000000</v>
      </c>
      <c r="D14" s="538">
        <v>141176000</v>
      </c>
      <c r="E14" s="538">
        <f>D14-C14</f>
        <v>15176000</v>
      </c>
      <c r="F14" s="447"/>
      <c r="G14" s="447"/>
      <c r="H14" s="447"/>
      <c r="I14" s="447"/>
      <c r="J14" s="442"/>
      <c r="N14" s="427"/>
      <c r="O14" s="427"/>
    </row>
    <row r="15" spans="1:18" ht="39.75" customHeight="1">
      <c r="A15" s="539">
        <v>2</v>
      </c>
      <c r="B15" s="540" t="s">
        <v>419</v>
      </c>
      <c r="C15" s="541">
        <f>SUM(C16:C16)</f>
        <v>9856000000</v>
      </c>
      <c r="D15" s="541">
        <f>SUM(D16:D16)</f>
        <v>10971507000</v>
      </c>
      <c r="E15" s="541">
        <f>SUM(E16:E16)</f>
        <v>1115507000</v>
      </c>
      <c r="F15" s="542"/>
      <c r="G15" s="446">
        <f>E15</f>
        <v>1115507000</v>
      </c>
      <c r="H15" s="446"/>
      <c r="I15" s="446"/>
      <c r="N15" s="427"/>
    </row>
    <row r="16" spans="1:18" ht="28.5" customHeight="1">
      <c r="A16" s="536" t="s">
        <v>15</v>
      </c>
      <c r="B16" s="537" t="s">
        <v>440</v>
      </c>
      <c r="C16" s="538">
        <v>9856000000</v>
      </c>
      <c r="D16" s="538">
        <v>10971507000</v>
      </c>
      <c r="E16" s="538">
        <f>D16-C16</f>
        <v>1115507000</v>
      </c>
      <c r="F16" s="542"/>
      <c r="G16" s="446"/>
      <c r="H16" s="446"/>
      <c r="I16" s="446"/>
      <c r="N16" s="427"/>
    </row>
    <row r="17" spans="1:15" ht="42" customHeight="1">
      <c r="A17" s="539">
        <v>3</v>
      </c>
      <c r="B17" s="540" t="s">
        <v>418</v>
      </c>
      <c r="C17" s="541">
        <f>SUM(C18:C18)</f>
        <v>157000000</v>
      </c>
      <c r="D17" s="541">
        <f>SUM(D18:D18)</f>
        <v>175856000</v>
      </c>
      <c r="E17" s="541">
        <f>SUM(E18:E18)</f>
        <v>18856000</v>
      </c>
      <c r="F17" s="542"/>
      <c r="G17" s="446"/>
      <c r="H17" s="446">
        <f>E17</f>
        <v>18856000</v>
      </c>
      <c r="I17" s="446"/>
      <c r="N17" s="427"/>
    </row>
    <row r="18" spans="1:15" ht="25" customHeight="1">
      <c r="A18" s="536" t="s">
        <v>15</v>
      </c>
      <c r="B18" s="537" t="s">
        <v>440</v>
      </c>
      <c r="C18" s="538">
        <v>157000000</v>
      </c>
      <c r="D18" s="538">
        <v>175856000</v>
      </c>
      <c r="E18" s="538">
        <f>D18-C18</f>
        <v>18856000</v>
      </c>
      <c r="F18" s="542"/>
      <c r="G18" s="446"/>
      <c r="H18" s="446"/>
      <c r="I18" s="446"/>
      <c r="N18" s="427"/>
    </row>
    <row r="19" spans="1:15" ht="53.25" customHeight="1">
      <c r="A19" s="539">
        <v>5</v>
      </c>
      <c r="B19" s="540" t="s">
        <v>417</v>
      </c>
      <c r="C19" s="541">
        <f>SUM(C20:C20)</f>
        <v>4838000000</v>
      </c>
      <c r="D19" s="541">
        <f>SUM(D20:D20)</f>
        <v>5123944000</v>
      </c>
      <c r="E19" s="541">
        <f>SUM(E20:E20)</f>
        <v>285944000</v>
      </c>
      <c r="F19" s="542"/>
      <c r="G19" s="446">
        <f>E19</f>
        <v>285944000</v>
      </c>
      <c r="H19" s="446"/>
      <c r="I19" s="446"/>
      <c r="N19" s="427"/>
    </row>
    <row r="20" spans="1:15" ht="28.5" customHeight="1">
      <c r="A20" s="536" t="s">
        <v>15</v>
      </c>
      <c r="B20" s="537" t="s">
        <v>440</v>
      </c>
      <c r="C20" s="538">
        <v>4838000000</v>
      </c>
      <c r="D20" s="538">
        <v>5123944000</v>
      </c>
      <c r="E20" s="538">
        <f>D20-C20</f>
        <v>285944000</v>
      </c>
      <c r="F20" s="542"/>
      <c r="G20" s="446"/>
      <c r="H20" s="446"/>
      <c r="I20" s="446"/>
      <c r="N20" s="427"/>
    </row>
    <row r="21" spans="1:15" s="437" customFormat="1" ht="30" customHeight="1">
      <c r="A21" s="583" t="s">
        <v>3</v>
      </c>
      <c r="B21" s="584" t="s">
        <v>416</v>
      </c>
      <c r="C21" s="585">
        <f>+C22+C24</f>
        <v>21900080000</v>
      </c>
      <c r="D21" s="585">
        <f>+D22+D24</f>
        <v>22837218000</v>
      </c>
      <c r="E21" s="585">
        <f>+E22+E24</f>
        <v>937138000</v>
      </c>
      <c r="F21" s="586"/>
      <c r="G21" s="444" t="e">
        <f>G22+G24+#REF!</f>
        <v>#REF!</v>
      </c>
      <c r="H21" s="444" t="e">
        <f>H22+H24+#REF!</f>
        <v>#REF!</v>
      </c>
      <c r="I21" s="443"/>
      <c r="K21" s="440"/>
      <c r="L21" s="440"/>
      <c r="M21" s="440"/>
      <c r="N21" s="439"/>
      <c r="O21" s="438"/>
    </row>
    <row r="22" spans="1:15" s="437" customFormat="1" ht="39.75" customHeight="1">
      <c r="A22" s="583">
        <v>1</v>
      </c>
      <c r="B22" s="584" t="s">
        <v>415</v>
      </c>
      <c r="C22" s="585">
        <f>SUM(C23:C23)</f>
        <v>200000000</v>
      </c>
      <c r="D22" s="585">
        <f>SUM(D23:D23)</f>
        <v>239938000</v>
      </c>
      <c r="E22" s="585">
        <f>SUM(E23:E23)</f>
        <v>39938000</v>
      </c>
      <c r="F22" s="586"/>
      <c r="G22" s="441">
        <f>E22</f>
        <v>39938000</v>
      </c>
      <c r="H22" s="441"/>
      <c r="I22" s="441"/>
      <c r="K22" s="440"/>
      <c r="L22" s="440"/>
      <c r="M22" s="440"/>
      <c r="N22" s="439"/>
      <c r="O22" s="438"/>
    </row>
    <row r="23" spans="1:15" ht="25" customHeight="1">
      <c r="A23" s="587" t="s">
        <v>15</v>
      </c>
      <c r="B23" s="588" t="s">
        <v>441</v>
      </c>
      <c r="C23" s="589">
        <v>200000000</v>
      </c>
      <c r="D23" s="589">
        <v>239938000</v>
      </c>
      <c r="E23" s="589">
        <f>D23-C23</f>
        <v>39938000</v>
      </c>
      <c r="F23" s="590"/>
      <c r="G23" s="436"/>
      <c r="H23" s="436"/>
      <c r="I23" s="436"/>
    </row>
    <row r="24" spans="1:15" s="437" customFormat="1" ht="55.5" customHeight="1">
      <c r="A24" s="583">
        <v>2</v>
      </c>
      <c r="B24" s="584" t="s">
        <v>414</v>
      </c>
      <c r="C24" s="585">
        <f>SUM(C25:C25)</f>
        <v>21700080000</v>
      </c>
      <c r="D24" s="585">
        <f>SUM(D25:D25)</f>
        <v>22597280000</v>
      </c>
      <c r="E24" s="585">
        <f>SUM(E25:E25)</f>
        <v>897200000</v>
      </c>
      <c r="F24" s="586"/>
      <c r="G24" s="441">
        <f>E24</f>
        <v>897200000</v>
      </c>
      <c r="H24" s="441"/>
      <c r="I24" s="441"/>
      <c r="K24" s="440"/>
      <c r="L24" s="440"/>
      <c r="M24" s="440"/>
      <c r="N24" s="439"/>
      <c r="O24" s="438"/>
    </row>
    <row r="25" spans="1:15" ht="25" customHeight="1">
      <c r="A25" s="587" t="s">
        <v>15</v>
      </c>
      <c r="B25" s="588" t="s">
        <v>441</v>
      </c>
      <c r="C25" s="589">
        <f>SUM(C26:C27)</f>
        <v>21700080000</v>
      </c>
      <c r="D25" s="589">
        <f>SUM(D26:D27)</f>
        <v>22597280000</v>
      </c>
      <c r="E25" s="589">
        <f>SUM(E26:E27)</f>
        <v>897200000</v>
      </c>
      <c r="F25" s="590"/>
      <c r="G25" s="436"/>
      <c r="H25" s="436"/>
      <c r="I25" s="436"/>
      <c r="J25" s="445"/>
    </row>
    <row r="26" spans="1:15" ht="33" customHeight="1">
      <c r="A26" s="591" t="s">
        <v>438</v>
      </c>
      <c r="B26" s="592" t="s">
        <v>437</v>
      </c>
      <c r="C26" s="589">
        <v>19629000000</v>
      </c>
      <c r="D26" s="589">
        <v>20116200000</v>
      </c>
      <c r="E26" s="589">
        <f>D26-C26</f>
        <v>487200000</v>
      </c>
      <c r="F26" s="590"/>
      <c r="G26" s="436"/>
      <c r="H26" s="436"/>
      <c r="I26" s="436"/>
      <c r="J26" s="445"/>
    </row>
    <row r="27" spans="1:15" ht="41.25" customHeight="1">
      <c r="A27" s="591" t="s">
        <v>438</v>
      </c>
      <c r="B27" s="588" t="s">
        <v>439</v>
      </c>
      <c r="C27" s="589">
        <f>645000000+1426080000</f>
        <v>2071080000</v>
      </c>
      <c r="D27" s="589">
        <f>+C27+410000000</f>
        <v>2481080000</v>
      </c>
      <c r="E27" s="589">
        <f>D27-C27</f>
        <v>410000000</v>
      </c>
      <c r="F27" s="590"/>
      <c r="G27" s="436"/>
      <c r="H27" s="436"/>
      <c r="I27" s="436"/>
      <c r="J27" s="445"/>
    </row>
    <row r="28" spans="1:15" s="437" customFormat="1" ht="25" customHeight="1">
      <c r="A28" s="583" t="s">
        <v>4</v>
      </c>
      <c r="B28" s="584" t="s">
        <v>436</v>
      </c>
      <c r="C28" s="585">
        <f>C29</f>
        <v>1179000000</v>
      </c>
      <c r="D28" s="585">
        <f>D29</f>
        <v>1476985000</v>
      </c>
      <c r="E28" s="585">
        <f>E29</f>
        <v>297985000</v>
      </c>
      <c r="F28" s="586"/>
      <c r="G28" s="444">
        <f>G29</f>
        <v>0</v>
      </c>
      <c r="H28" s="444">
        <f>H29</f>
        <v>297985000</v>
      </c>
      <c r="I28" s="443"/>
      <c r="K28" s="440"/>
      <c r="L28" s="440"/>
      <c r="M28" s="440"/>
      <c r="N28" s="439"/>
      <c r="O28" s="438"/>
    </row>
    <row r="29" spans="1:15" s="437" customFormat="1" ht="29.25" customHeight="1">
      <c r="A29" s="583">
        <v>1</v>
      </c>
      <c r="B29" s="584" t="s">
        <v>413</v>
      </c>
      <c r="C29" s="585">
        <f>SUM(C30:C30)</f>
        <v>1179000000</v>
      </c>
      <c r="D29" s="585">
        <f>SUM(D30:D30)</f>
        <v>1476985000</v>
      </c>
      <c r="E29" s="585">
        <f>SUM(E30:E30)</f>
        <v>297985000</v>
      </c>
      <c r="F29" s="586"/>
      <c r="G29" s="441"/>
      <c r="H29" s="441">
        <f>E29</f>
        <v>297985000</v>
      </c>
      <c r="I29" s="441"/>
      <c r="K29" s="440"/>
      <c r="L29" s="440"/>
      <c r="M29" s="440"/>
      <c r="N29" s="439"/>
      <c r="O29" s="438"/>
    </row>
    <row r="30" spans="1:15" ht="25" customHeight="1">
      <c r="A30" s="593" t="s">
        <v>15</v>
      </c>
      <c r="B30" s="594" t="s">
        <v>447</v>
      </c>
      <c r="C30" s="595">
        <v>1179000000</v>
      </c>
      <c r="D30" s="595">
        <v>1476985000</v>
      </c>
      <c r="E30" s="595">
        <f>D30-C30</f>
        <v>297985000</v>
      </c>
      <c r="F30" s="596"/>
      <c r="G30" s="436"/>
      <c r="H30" s="436"/>
      <c r="I30" s="436"/>
    </row>
  </sheetData>
  <mergeCells count="9">
    <mergeCell ref="A2:F2"/>
    <mergeCell ref="A3:F3"/>
    <mergeCell ref="A6:A7"/>
    <mergeCell ref="B6:B7"/>
    <mergeCell ref="C6:C7"/>
    <mergeCell ref="D6:D7"/>
    <mergeCell ref="E6:E7"/>
    <mergeCell ref="F6:F7"/>
    <mergeCell ref="E5:G5"/>
  </mergeCells>
  <pageMargins left="0.39370078740157483" right="0.23622047244094491" top="0.39370078740157483" bottom="0.39370078740157483" header="0.31496062992125984" footer="0.19685039370078741"/>
  <pageSetup paperSize="9" scale="95" orientation="landscape" r:id="rId1"/>
  <headerFooter>
    <oddFooter>&amp;C&amp;"Times New Roman,Regular"&amp;10&amp;P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Q61"/>
  <sheetViews>
    <sheetView zoomScale="110" zoomScaleNormal="110" zoomScaleSheetLayoutView="100" workbookViewId="0">
      <pane ySplit="7" topLeftCell="A44" activePane="bottomLeft" state="frozen"/>
      <selection activeCell="B61" sqref="B61"/>
      <selection pane="bottomLeft" activeCell="G16" sqref="G16"/>
    </sheetView>
  </sheetViews>
  <sheetFormatPr defaultRowHeight="13"/>
  <cols>
    <col min="1" max="1" width="5.58203125" style="599" customWidth="1"/>
    <col min="2" max="2" width="43.58203125" style="599" customWidth="1"/>
    <col min="3" max="3" width="12.58203125" style="599" customWidth="1"/>
    <col min="4" max="4" width="12.75" style="602" customWidth="1"/>
    <col min="5" max="5" width="10.1640625" style="602" customWidth="1"/>
    <col min="6" max="6" width="10.4140625" style="602" customWidth="1"/>
    <col min="7" max="7" width="12.4140625" style="602" customWidth="1"/>
    <col min="8" max="8" width="9.25" style="602" customWidth="1"/>
    <col min="9" max="9" width="9.1640625" style="602" customWidth="1"/>
    <col min="10" max="10" width="10.25" style="602" customWidth="1"/>
    <col min="11" max="11" width="13.1640625" style="601" customWidth="1"/>
    <col min="12" max="12" width="12.58203125" style="600" customWidth="1"/>
    <col min="13" max="13" width="11" style="599" customWidth="1"/>
    <col min="14" max="14" width="12.25" style="599" customWidth="1"/>
    <col min="15" max="15" width="11.75" style="599" customWidth="1"/>
    <col min="16" max="16" width="14.4140625" style="599" customWidth="1"/>
    <col min="17" max="221" width="9.1640625" style="599"/>
    <col min="222" max="222" width="3.4140625" style="599" customWidth="1"/>
    <col min="223" max="223" width="29.58203125" style="599" customWidth="1"/>
    <col min="224" max="224" width="8.1640625" style="599" customWidth="1"/>
    <col min="225" max="225" width="7.75" style="599" customWidth="1"/>
    <col min="226" max="226" width="5.83203125" style="599" customWidth="1"/>
    <col min="227" max="227" width="5.75" style="599" customWidth="1"/>
    <col min="228" max="228" width="5.58203125" style="599" customWidth="1"/>
    <col min="229" max="230" width="6.25" style="599" customWidth="1"/>
    <col min="231" max="231" width="7.25" style="599" customWidth="1"/>
    <col min="232" max="232" width="5.83203125" style="599" customWidth="1"/>
    <col min="233" max="233" width="6.25" style="599" customWidth="1"/>
    <col min="234" max="238" width="6.83203125" style="599" customWidth="1"/>
    <col min="239" max="239" width="7.1640625" style="599" customWidth="1"/>
    <col min="240" max="241" width="7.4140625" style="599" customWidth="1"/>
    <col min="242" max="242" width="7.1640625" style="599" customWidth="1"/>
    <col min="243" max="243" width="5.1640625" style="599" customWidth="1"/>
    <col min="244" max="244" width="6.25" style="599" customWidth="1"/>
    <col min="245" max="245" width="6.4140625" style="599" customWidth="1"/>
    <col min="246" max="246" width="5.75" style="599" customWidth="1"/>
    <col min="247" max="247" width="6.25" style="599" customWidth="1"/>
    <col min="248" max="252" width="6.83203125" style="599" customWidth="1"/>
    <col min="253" max="253" width="6.58203125" style="599" customWidth="1"/>
    <col min="254" max="255" width="7.58203125" style="599" customWidth="1"/>
    <col min="256" max="477" width="9.1640625" style="599"/>
    <col min="478" max="478" width="3.4140625" style="599" customWidth="1"/>
    <col min="479" max="479" width="29.58203125" style="599" customWidth="1"/>
    <col min="480" max="480" width="8.1640625" style="599" customWidth="1"/>
    <col min="481" max="481" width="7.75" style="599" customWidth="1"/>
    <col min="482" max="482" width="5.83203125" style="599" customWidth="1"/>
    <col min="483" max="483" width="5.75" style="599" customWidth="1"/>
    <col min="484" max="484" width="5.58203125" style="599" customWidth="1"/>
    <col min="485" max="486" width="6.25" style="599" customWidth="1"/>
    <col min="487" max="487" width="7.25" style="599" customWidth="1"/>
    <col min="488" max="488" width="5.83203125" style="599" customWidth="1"/>
    <col min="489" max="489" width="6.25" style="599" customWidth="1"/>
    <col min="490" max="494" width="6.83203125" style="599" customWidth="1"/>
    <col min="495" max="495" width="7.1640625" style="599" customWidth="1"/>
    <col min="496" max="497" width="7.4140625" style="599" customWidth="1"/>
    <col min="498" max="498" width="7.1640625" style="599" customWidth="1"/>
    <col min="499" max="499" width="5.1640625" style="599" customWidth="1"/>
    <col min="500" max="500" width="6.25" style="599" customWidth="1"/>
    <col min="501" max="501" width="6.4140625" style="599" customWidth="1"/>
    <col min="502" max="502" width="5.75" style="599" customWidth="1"/>
    <col min="503" max="503" width="6.25" style="599" customWidth="1"/>
    <col min="504" max="508" width="6.83203125" style="599" customWidth="1"/>
    <col min="509" max="509" width="6.58203125" style="599" customWidth="1"/>
    <col min="510" max="511" width="7.58203125" style="599" customWidth="1"/>
    <col min="512" max="733" width="9.1640625" style="599"/>
    <col min="734" max="734" width="3.4140625" style="599" customWidth="1"/>
    <col min="735" max="735" width="29.58203125" style="599" customWidth="1"/>
    <col min="736" max="736" width="8.1640625" style="599" customWidth="1"/>
    <col min="737" max="737" width="7.75" style="599" customWidth="1"/>
    <col min="738" max="738" width="5.83203125" style="599" customWidth="1"/>
    <col min="739" max="739" width="5.75" style="599" customWidth="1"/>
    <col min="740" max="740" width="5.58203125" style="599" customWidth="1"/>
    <col min="741" max="742" width="6.25" style="599" customWidth="1"/>
    <col min="743" max="743" width="7.25" style="599" customWidth="1"/>
    <col min="744" max="744" width="5.83203125" style="599" customWidth="1"/>
    <col min="745" max="745" width="6.25" style="599" customWidth="1"/>
    <col min="746" max="750" width="6.83203125" style="599" customWidth="1"/>
    <col min="751" max="751" width="7.1640625" style="599" customWidth="1"/>
    <col min="752" max="753" width="7.4140625" style="599" customWidth="1"/>
    <col min="754" max="754" width="7.1640625" style="599" customWidth="1"/>
    <col min="755" max="755" width="5.1640625" style="599" customWidth="1"/>
    <col min="756" max="756" width="6.25" style="599" customWidth="1"/>
    <col min="757" max="757" width="6.4140625" style="599" customWidth="1"/>
    <col min="758" max="758" width="5.75" style="599" customWidth="1"/>
    <col min="759" max="759" width="6.25" style="599" customWidth="1"/>
    <col min="760" max="764" width="6.83203125" style="599" customWidth="1"/>
    <col min="765" max="765" width="6.58203125" style="599" customWidth="1"/>
    <col min="766" max="767" width="7.58203125" style="599" customWidth="1"/>
    <col min="768" max="989" width="9.1640625" style="599"/>
    <col min="990" max="990" width="3.4140625" style="599" customWidth="1"/>
    <col min="991" max="991" width="29.58203125" style="599" customWidth="1"/>
    <col min="992" max="992" width="8.1640625" style="599" customWidth="1"/>
    <col min="993" max="993" width="7.75" style="599" customWidth="1"/>
    <col min="994" max="994" width="5.83203125" style="599" customWidth="1"/>
    <col min="995" max="995" width="5.75" style="599" customWidth="1"/>
    <col min="996" max="996" width="5.58203125" style="599" customWidth="1"/>
    <col min="997" max="998" width="6.25" style="599" customWidth="1"/>
    <col min="999" max="999" width="7.25" style="599" customWidth="1"/>
    <col min="1000" max="1000" width="5.83203125" style="599" customWidth="1"/>
    <col min="1001" max="1001" width="6.25" style="599" customWidth="1"/>
    <col min="1002" max="1006" width="6.83203125" style="599" customWidth="1"/>
    <col min="1007" max="1007" width="7.1640625" style="599" customWidth="1"/>
    <col min="1008" max="1009" width="7.4140625" style="599" customWidth="1"/>
    <col min="1010" max="1010" width="7.1640625" style="599" customWidth="1"/>
    <col min="1011" max="1011" width="5.1640625" style="599" customWidth="1"/>
    <col min="1012" max="1012" width="6.25" style="599" customWidth="1"/>
    <col min="1013" max="1013" width="6.4140625" style="599" customWidth="1"/>
    <col min="1014" max="1014" width="5.75" style="599" customWidth="1"/>
    <col min="1015" max="1015" width="6.25" style="599" customWidth="1"/>
    <col min="1016" max="1020" width="6.83203125" style="599" customWidth="1"/>
    <col min="1021" max="1021" width="6.58203125" style="599" customWidth="1"/>
    <col min="1022" max="1023" width="7.58203125" style="599" customWidth="1"/>
    <col min="1024" max="1245" width="9.1640625" style="599"/>
    <col min="1246" max="1246" width="3.4140625" style="599" customWidth="1"/>
    <col min="1247" max="1247" width="29.58203125" style="599" customWidth="1"/>
    <col min="1248" max="1248" width="8.1640625" style="599" customWidth="1"/>
    <col min="1249" max="1249" width="7.75" style="599" customWidth="1"/>
    <col min="1250" max="1250" width="5.83203125" style="599" customWidth="1"/>
    <col min="1251" max="1251" width="5.75" style="599" customWidth="1"/>
    <col min="1252" max="1252" width="5.58203125" style="599" customWidth="1"/>
    <col min="1253" max="1254" width="6.25" style="599" customWidth="1"/>
    <col min="1255" max="1255" width="7.25" style="599" customWidth="1"/>
    <col min="1256" max="1256" width="5.83203125" style="599" customWidth="1"/>
    <col min="1257" max="1257" width="6.25" style="599" customWidth="1"/>
    <col min="1258" max="1262" width="6.83203125" style="599" customWidth="1"/>
    <col min="1263" max="1263" width="7.1640625" style="599" customWidth="1"/>
    <col min="1264" max="1265" width="7.4140625" style="599" customWidth="1"/>
    <col min="1266" max="1266" width="7.1640625" style="599" customWidth="1"/>
    <col min="1267" max="1267" width="5.1640625" style="599" customWidth="1"/>
    <col min="1268" max="1268" width="6.25" style="599" customWidth="1"/>
    <col min="1269" max="1269" width="6.4140625" style="599" customWidth="1"/>
    <col min="1270" max="1270" width="5.75" style="599" customWidth="1"/>
    <col min="1271" max="1271" width="6.25" style="599" customWidth="1"/>
    <col min="1272" max="1276" width="6.83203125" style="599" customWidth="1"/>
    <col min="1277" max="1277" width="6.58203125" style="599" customWidth="1"/>
    <col min="1278" max="1279" width="7.58203125" style="599" customWidth="1"/>
    <col min="1280" max="1501" width="9.1640625" style="599"/>
    <col min="1502" max="1502" width="3.4140625" style="599" customWidth="1"/>
    <col min="1503" max="1503" width="29.58203125" style="599" customWidth="1"/>
    <col min="1504" max="1504" width="8.1640625" style="599" customWidth="1"/>
    <col min="1505" max="1505" width="7.75" style="599" customWidth="1"/>
    <col min="1506" max="1506" width="5.83203125" style="599" customWidth="1"/>
    <col min="1507" max="1507" width="5.75" style="599" customWidth="1"/>
    <col min="1508" max="1508" width="5.58203125" style="599" customWidth="1"/>
    <col min="1509" max="1510" width="6.25" style="599" customWidth="1"/>
    <col min="1511" max="1511" width="7.25" style="599" customWidth="1"/>
    <col min="1512" max="1512" width="5.83203125" style="599" customWidth="1"/>
    <col min="1513" max="1513" width="6.25" style="599" customWidth="1"/>
    <col min="1514" max="1518" width="6.83203125" style="599" customWidth="1"/>
    <col min="1519" max="1519" width="7.1640625" style="599" customWidth="1"/>
    <col min="1520" max="1521" width="7.4140625" style="599" customWidth="1"/>
    <col min="1522" max="1522" width="7.1640625" style="599" customWidth="1"/>
    <col min="1523" max="1523" width="5.1640625" style="599" customWidth="1"/>
    <col min="1524" max="1524" width="6.25" style="599" customWidth="1"/>
    <col min="1525" max="1525" width="6.4140625" style="599" customWidth="1"/>
    <col min="1526" max="1526" width="5.75" style="599" customWidth="1"/>
    <col min="1527" max="1527" width="6.25" style="599" customWidth="1"/>
    <col min="1528" max="1532" width="6.83203125" style="599" customWidth="1"/>
    <col min="1533" max="1533" width="6.58203125" style="599" customWidth="1"/>
    <col min="1534" max="1535" width="7.58203125" style="599" customWidth="1"/>
    <col min="1536" max="1757" width="9.1640625" style="599"/>
    <col min="1758" max="1758" width="3.4140625" style="599" customWidth="1"/>
    <col min="1759" max="1759" width="29.58203125" style="599" customWidth="1"/>
    <col min="1760" max="1760" width="8.1640625" style="599" customWidth="1"/>
    <col min="1761" max="1761" width="7.75" style="599" customWidth="1"/>
    <col min="1762" max="1762" width="5.83203125" style="599" customWidth="1"/>
    <col min="1763" max="1763" width="5.75" style="599" customWidth="1"/>
    <col min="1764" max="1764" width="5.58203125" style="599" customWidth="1"/>
    <col min="1765" max="1766" width="6.25" style="599" customWidth="1"/>
    <col min="1767" max="1767" width="7.25" style="599" customWidth="1"/>
    <col min="1768" max="1768" width="5.83203125" style="599" customWidth="1"/>
    <col min="1769" max="1769" width="6.25" style="599" customWidth="1"/>
    <col min="1770" max="1774" width="6.83203125" style="599" customWidth="1"/>
    <col min="1775" max="1775" width="7.1640625" style="599" customWidth="1"/>
    <col min="1776" max="1777" width="7.4140625" style="599" customWidth="1"/>
    <col min="1778" max="1778" width="7.1640625" style="599" customWidth="1"/>
    <col min="1779" max="1779" width="5.1640625" style="599" customWidth="1"/>
    <col min="1780" max="1780" width="6.25" style="599" customWidth="1"/>
    <col min="1781" max="1781" width="6.4140625" style="599" customWidth="1"/>
    <col min="1782" max="1782" width="5.75" style="599" customWidth="1"/>
    <col min="1783" max="1783" width="6.25" style="599" customWidth="1"/>
    <col min="1784" max="1788" width="6.83203125" style="599" customWidth="1"/>
    <col min="1789" max="1789" width="6.58203125" style="599" customWidth="1"/>
    <col min="1790" max="1791" width="7.58203125" style="599" customWidth="1"/>
    <col min="1792" max="2013" width="9.1640625" style="599"/>
    <col min="2014" max="2014" width="3.4140625" style="599" customWidth="1"/>
    <col min="2015" max="2015" width="29.58203125" style="599" customWidth="1"/>
    <col min="2016" max="2016" width="8.1640625" style="599" customWidth="1"/>
    <col min="2017" max="2017" width="7.75" style="599" customWidth="1"/>
    <col min="2018" max="2018" width="5.83203125" style="599" customWidth="1"/>
    <col min="2019" max="2019" width="5.75" style="599" customWidth="1"/>
    <col min="2020" max="2020" width="5.58203125" style="599" customWidth="1"/>
    <col min="2021" max="2022" width="6.25" style="599" customWidth="1"/>
    <col min="2023" max="2023" width="7.25" style="599" customWidth="1"/>
    <col min="2024" max="2024" width="5.83203125" style="599" customWidth="1"/>
    <col min="2025" max="2025" width="6.25" style="599" customWidth="1"/>
    <col min="2026" max="2030" width="6.83203125" style="599" customWidth="1"/>
    <col min="2031" max="2031" width="7.1640625" style="599" customWidth="1"/>
    <col min="2032" max="2033" width="7.4140625" style="599" customWidth="1"/>
    <col min="2034" max="2034" width="7.1640625" style="599" customWidth="1"/>
    <col min="2035" max="2035" width="5.1640625" style="599" customWidth="1"/>
    <col min="2036" max="2036" width="6.25" style="599" customWidth="1"/>
    <col min="2037" max="2037" width="6.4140625" style="599" customWidth="1"/>
    <col min="2038" max="2038" width="5.75" style="599" customWidth="1"/>
    <col min="2039" max="2039" width="6.25" style="599" customWidth="1"/>
    <col min="2040" max="2044" width="6.83203125" style="599" customWidth="1"/>
    <col min="2045" max="2045" width="6.58203125" style="599" customWidth="1"/>
    <col min="2046" max="2047" width="7.58203125" style="599" customWidth="1"/>
    <col min="2048" max="2269" width="9.1640625" style="599"/>
    <col min="2270" max="2270" width="3.4140625" style="599" customWidth="1"/>
    <col min="2271" max="2271" width="29.58203125" style="599" customWidth="1"/>
    <col min="2272" max="2272" width="8.1640625" style="599" customWidth="1"/>
    <col min="2273" max="2273" width="7.75" style="599" customWidth="1"/>
    <col min="2274" max="2274" width="5.83203125" style="599" customWidth="1"/>
    <col min="2275" max="2275" width="5.75" style="599" customWidth="1"/>
    <col min="2276" max="2276" width="5.58203125" style="599" customWidth="1"/>
    <col min="2277" max="2278" width="6.25" style="599" customWidth="1"/>
    <col min="2279" max="2279" width="7.25" style="599" customWidth="1"/>
    <col min="2280" max="2280" width="5.83203125" style="599" customWidth="1"/>
    <col min="2281" max="2281" width="6.25" style="599" customWidth="1"/>
    <col min="2282" max="2286" width="6.83203125" style="599" customWidth="1"/>
    <col min="2287" max="2287" width="7.1640625" style="599" customWidth="1"/>
    <col min="2288" max="2289" width="7.4140625" style="599" customWidth="1"/>
    <col min="2290" max="2290" width="7.1640625" style="599" customWidth="1"/>
    <col min="2291" max="2291" width="5.1640625" style="599" customWidth="1"/>
    <col min="2292" max="2292" width="6.25" style="599" customWidth="1"/>
    <col min="2293" max="2293" width="6.4140625" style="599" customWidth="1"/>
    <col min="2294" max="2294" width="5.75" style="599" customWidth="1"/>
    <col min="2295" max="2295" width="6.25" style="599" customWidth="1"/>
    <col min="2296" max="2300" width="6.83203125" style="599" customWidth="1"/>
    <col min="2301" max="2301" width="6.58203125" style="599" customWidth="1"/>
    <col min="2302" max="2303" width="7.58203125" style="599" customWidth="1"/>
    <col min="2304" max="2525" width="9.1640625" style="599"/>
    <col min="2526" max="2526" width="3.4140625" style="599" customWidth="1"/>
    <col min="2527" max="2527" width="29.58203125" style="599" customWidth="1"/>
    <col min="2528" max="2528" width="8.1640625" style="599" customWidth="1"/>
    <col min="2529" max="2529" width="7.75" style="599" customWidth="1"/>
    <col min="2530" max="2530" width="5.83203125" style="599" customWidth="1"/>
    <col min="2531" max="2531" width="5.75" style="599" customWidth="1"/>
    <col min="2532" max="2532" width="5.58203125" style="599" customWidth="1"/>
    <col min="2533" max="2534" width="6.25" style="599" customWidth="1"/>
    <col min="2535" max="2535" width="7.25" style="599" customWidth="1"/>
    <col min="2536" max="2536" width="5.83203125" style="599" customWidth="1"/>
    <col min="2537" max="2537" width="6.25" style="599" customWidth="1"/>
    <col min="2538" max="2542" width="6.83203125" style="599" customWidth="1"/>
    <col min="2543" max="2543" width="7.1640625" style="599" customWidth="1"/>
    <col min="2544" max="2545" width="7.4140625" style="599" customWidth="1"/>
    <col min="2546" max="2546" width="7.1640625" style="599" customWidth="1"/>
    <col min="2547" max="2547" width="5.1640625" style="599" customWidth="1"/>
    <col min="2548" max="2548" width="6.25" style="599" customWidth="1"/>
    <col min="2549" max="2549" width="6.4140625" style="599" customWidth="1"/>
    <col min="2550" max="2550" width="5.75" style="599" customWidth="1"/>
    <col min="2551" max="2551" width="6.25" style="599" customWidth="1"/>
    <col min="2552" max="2556" width="6.83203125" style="599" customWidth="1"/>
    <col min="2557" max="2557" width="6.58203125" style="599" customWidth="1"/>
    <col min="2558" max="2559" width="7.58203125" style="599" customWidth="1"/>
    <col min="2560" max="2781" width="9.1640625" style="599"/>
    <col min="2782" max="2782" width="3.4140625" style="599" customWidth="1"/>
    <col min="2783" max="2783" width="29.58203125" style="599" customWidth="1"/>
    <col min="2784" max="2784" width="8.1640625" style="599" customWidth="1"/>
    <col min="2785" max="2785" width="7.75" style="599" customWidth="1"/>
    <col min="2786" max="2786" width="5.83203125" style="599" customWidth="1"/>
    <col min="2787" max="2787" width="5.75" style="599" customWidth="1"/>
    <col min="2788" max="2788" width="5.58203125" style="599" customWidth="1"/>
    <col min="2789" max="2790" width="6.25" style="599" customWidth="1"/>
    <col min="2791" max="2791" width="7.25" style="599" customWidth="1"/>
    <col min="2792" max="2792" width="5.83203125" style="599" customWidth="1"/>
    <col min="2793" max="2793" width="6.25" style="599" customWidth="1"/>
    <col min="2794" max="2798" width="6.83203125" style="599" customWidth="1"/>
    <col min="2799" max="2799" width="7.1640625" style="599" customWidth="1"/>
    <col min="2800" max="2801" width="7.4140625" style="599" customWidth="1"/>
    <col min="2802" max="2802" width="7.1640625" style="599" customWidth="1"/>
    <col min="2803" max="2803" width="5.1640625" style="599" customWidth="1"/>
    <col min="2804" max="2804" width="6.25" style="599" customWidth="1"/>
    <col min="2805" max="2805" width="6.4140625" style="599" customWidth="1"/>
    <col min="2806" max="2806" width="5.75" style="599" customWidth="1"/>
    <col min="2807" max="2807" width="6.25" style="599" customWidth="1"/>
    <col min="2808" max="2812" width="6.83203125" style="599" customWidth="1"/>
    <col min="2813" max="2813" width="6.58203125" style="599" customWidth="1"/>
    <col min="2814" max="2815" width="7.58203125" style="599" customWidth="1"/>
    <col min="2816" max="3037" width="9.1640625" style="599"/>
    <col min="3038" max="3038" width="3.4140625" style="599" customWidth="1"/>
    <col min="3039" max="3039" width="29.58203125" style="599" customWidth="1"/>
    <col min="3040" max="3040" width="8.1640625" style="599" customWidth="1"/>
    <col min="3041" max="3041" width="7.75" style="599" customWidth="1"/>
    <col min="3042" max="3042" width="5.83203125" style="599" customWidth="1"/>
    <col min="3043" max="3043" width="5.75" style="599" customWidth="1"/>
    <col min="3044" max="3044" width="5.58203125" style="599" customWidth="1"/>
    <col min="3045" max="3046" width="6.25" style="599" customWidth="1"/>
    <col min="3047" max="3047" width="7.25" style="599" customWidth="1"/>
    <col min="3048" max="3048" width="5.83203125" style="599" customWidth="1"/>
    <col min="3049" max="3049" width="6.25" style="599" customWidth="1"/>
    <col min="3050" max="3054" width="6.83203125" style="599" customWidth="1"/>
    <col min="3055" max="3055" width="7.1640625" style="599" customWidth="1"/>
    <col min="3056" max="3057" width="7.4140625" style="599" customWidth="1"/>
    <col min="3058" max="3058" width="7.1640625" style="599" customWidth="1"/>
    <col min="3059" max="3059" width="5.1640625" style="599" customWidth="1"/>
    <col min="3060" max="3060" width="6.25" style="599" customWidth="1"/>
    <col min="3061" max="3061" width="6.4140625" style="599" customWidth="1"/>
    <col min="3062" max="3062" width="5.75" style="599" customWidth="1"/>
    <col min="3063" max="3063" width="6.25" style="599" customWidth="1"/>
    <col min="3064" max="3068" width="6.83203125" style="599" customWidth="1"/>
    <col min="3069" max="3069" width="6.58203125" style="599" customWidth="1"/>
    <col min="3070" max="3071" width="7.58203125" style="599" customWidth="1"/>
    <col min="3072" max="3293" width="9.1640625" style="599"/>
    <col min="3294" max="3294" width="3.4140625" style="599" customWidth="1"/>
    <col min="3295" max="3295" width="29.58203125" style="599" customWidth="1"/>
    <col min="3296" max="3296" width="8.1640625" style="599" customWidth="1"/>
    <col min="3297" max="3297" width="7.75" style="599" customWidth="1"/>
    <col min="3298" max="3298" width="5.83203125" style="599" customWidth="1"/>
    <col min="3299" max="3299" width="5.75" style="599" customWidth="1"/>
    <col min="3300" max="3300" width="5.58203125" style="599" customWidth="1"/>
    <col min="3301" max="3302" width="6.25" style="599" customWidth="1"/>
    <col min="3303" max="3303" width="7.25" style="599" customWidth="1"/>
    <col min="3304" max="3304" width="5.83203125" style="599" customWidth="1"/>
    <col min="3305" max="3305" width="6.25" style="599" customWidth="1"/>
    <col min="3306" max="3310" width="6.83203125" style="599" customWidth="1"/>
    <col min="3311" max="3311" width="7.1640625" style="599" customWidth="1"/>
    <col min="3312" max="3313" width="7.4140625" style="599" customWidth="1"/>
    <col min="3314" max="3314" width="7.1640625" style="599" customWidth="1"/>
    <col min="3315" max="3315" width="5.1640625" style="599" customWidth="1"/>
    <col min="3316" max="3316" width="6.25" style="599" customWidth="1"/>
    <col min="3317" max="3317" width="6.4140625" style="599" customWidth="1"/>
    <col min="3318" max="3318" width="5.75" style="599" customWidth="1"/>
    <col min="3319" max="3319" width="6.25" style="599" customWidth="1"/>
    <col min="3320" max="3324" width="6.83203125" style="599" customWidth="1"/>
    <col min="3325" max="3325" width="6.58203125" style="599" customWidth="1"/>
    <col min="3326" max="3327" width="7.58203125" style="599" customWidth="1"/>
    <col min="3328" max="3549" width="9.1640625" style="599"/>
    <col min="3550" max="3550" width="3.4140625" style="599" customWidth="1"/>
    <col min="3551" max="3551" width="29.58203125" style="599" customWidth="1"/>
    <col min="3552" max="3552" width="8.1640625" style="599" customWidth="1"/>
    <col min="3553" max="3553" width="7.75" style="599" customWidth="1"/>
    <col min="3554" max="3554" width="5.83203125" style="599" customWidth="1"/>
    <col min="3555" max="3555" width="5.75" style="599" customWidth="1"/>
    <col min="3556" max="3556" width="5.58203125" style="599" customWidth="1"/>
    <col min="3557" max="3558" width="6.25" style="599" customWidth="1"/>
    <col min="3559" max="3559" width="7.25" style="599" customWidth="1"/>
    <col min="3560" max="3560" width="5.83203125" style="599" customWidth="1"/>
    <col min="3561" max="3561" width="6.25" style="599" customWidth="1"/>
    <col min="3562" max="3566" width="6.83203125" style="599" customWidth="1"/>
    <col min="3567" max="3567" width="7.1640625" style="599" customWidth="1"/>
    <col min="3568" max="3569" width="7.4140625" style="599" customWidth="1"/>
    <col min="3570" max="3570" width="7.1640625" style="599" customWidth="1"/>
    <col min="3571" max="3571" width="5.1640625" style="599" customWidth="1"/>
    <col min="3572" max="3572" width="6.25" style="599" customWidth="1"/>
    <col min="3573" max="3573" width="6.4140625" style="599" customWidth="1"/>
    <col min="3574" max="3574" width="5.75" style="599" customWidth="1"/>
    <col min="3575" max="3575" width="6.25" style="599" customWidth="1"/>
    <col min="3576" max="3580" width="6.83203125" style="599" customWidth="1"/>
    <col min="3581" max="3581" width="6.58203125" style="599" customWidth="1"/>
    <col min="3582" max="3583" width="7.58203125" style="599" customWidth="1"/>
    <col min="3584" max="3805" width="9.1640625" style="599"/>
    <col min="3806" max="3806" width="3.4140625" style="599" customWidth="1"/>
    <col min="3807" max="3807" width="29.58203125" style="599" customWidth="1"/>
    <col min="3808" max="3808" width="8.1640625" style="599" customWidth="1"/>
    <col min="3809" max="3809" width="7.75" style="599" customWidth="1"/>
    <col min="3810" max="3810" width="5.83203125" style="599" customWidth="1"/>
    <col min="3811" max="3811" width="5.75" style="599" customWidth="1"/>
    <col min="3812" max="3812" width="5.58203125" style="599" customWidth="1"/>
    <col min="3813" max="3814" width="6.25" style="599" customWidth="1"/>
    <col min="3815" max="3815" width="7.25" style="599" customWidth="1"/>
    <col min="3816" max="3816" width="5.83203125" style="599" customWidth="1"/>
    <col min="3817" max="3817" width="6.25" style="599" customWidth="1"/>
    <col min="3818" max="3822" width="6.83203125" style="599" customWidth="1"/>
    <col min="3823" max="3823" width="7.1640625" style="599" customWidth="1"/>
    <col min="3824" max="3825" width="7.4140625" style="599" customWidth="1"/>
    <col min="3826" max="3826" width="7.1640625" style="599" customWidth="1"/>
    <col min="3827" max="3827" width="5.1640625" style="599" customWidth="1"/>
    <col min="3828" max="3828" width="6.25" style="599" customWidth="1"/>
    <col min="3829" max="3829" width="6.4140625" style="599" customWidth="1"/>
    <col min="3830" max="3830" width="5.75" style="599" customWidth="1"/>
    <col min="3831" max="3831" width="6.25" style="599" customWidth="1"/>
    <col min="3832" max="3836" width="6.83203125" style="599" customWidth="1"/>
    <col min="3837" max="3837" width="6.58203125" style="599" customWidth="1"/>
    <col min="3838" max="3839" width="7.58203125" style="599" customWidth="1"/>
    <col min="3840" max="4061" width="9.1640625" style="599"/>
    <col min="4062" max="4062" width="3.4140625" style="599" customWidth="1"/>
    <col min="4063" max="4063" width="29.58203125" style="599" customWidth="1"/>
    <col min="4064" max="4064" width="8.1640625" style="599" customWidth="1"/>
    <col min="4065" max="4065" width="7.75" style="599" customWidth="1"/>
    <col min="4066" max="4066" width="5.83203125" style="599" customWidth="1"/>
    <col min="4067" max="4067" width="5.75" style="599" customWidth="1"/>
    <col min="4068" max="4068" width="5.58203125" style="599" customWidth="1"/>
    <col min="4069" max="4070" width="6.25" style="599" customWidth="1"/>
    <col min="4071" max="4071" width="7.25" style="599" customWidth="1"/>
    <col min="4072" max="4072" width="5.83203125" style="599" customWidth="1"/>
    <col min="4073" max="4073" width="6.25" style="599" customWidth="1"/>
    <col min="4074" max="4078" width="6.83203125" style="599" customWidth="1"/>
    <col min="4079" max="4079" width="7.1640625" style="599" customWidth="1"/>
    <col min="4080" max="4081" width="7.4140625" style="599" customWidth="1"/>
    <col min="4082" max="4082" width="7.1640625" style="599" customWidth="1"/>
    <col min="4083" max="4083" width="5.1640625" style="599" customWidth="1"/>
    <col min="4084" max="4084" width="6.25" style="599" customWidth="1"/>
    <col min="4085" max="4085" width="6.4140625" style="599" customWidth="1"/>
    <col min="4086" max="4086" width="5.75" style="599" customWidth="1"/>
    <col min="4087" max="4087" width="6.25" style="599" customWidth="1"/>
    <col min="4088" max="4092" width="6.83203125" style="599" customWidth="1"/>
    <col min="4093" max="4093" width="6.58203125" style="599" customWidth="1"/>
    <col min="4094" max="4095" width="7.58203125" style="599" customWidth="1"/>
    <col min="4096" max="4317" width="9.1640625" style="599"/>
    <col min="4318" max="4318" width="3.4140625" style="599" customWidth="1"/>
    <col min="4319" max="4319" width="29.58203125" style="599" customWidth="1"/>
    <col min="4320" max="4320" width="8.1640625" style="599" customWidth="1"/>
    <col min="4321" max="4321" width="7.75" style="599" customWidth="1"/>
    <col min="4322" max="4322" width="5.83203125" style="599" customWidth="1"/>
    <col min="4323" max="4323" width="5.75" style="599" customWidth="1"/>
    <col min="4324" max="4324" width="5.58203125" style="599" customWidth="1"/>
    <col min="4325" max="4326" width="6.25" style="599" customWidth="1"/>
    <col min="4327" max="4327" width="7.25" style="599" customWidth="1"/>
    <col min="4328" max="4328" width="5.83203125" style="599" customWidth="1"/>
    <col min="4329" max="4329" width="6.25" style="599" customWidth="1"/>
    <col min="4330" max="4334" width="6.83203125" style="599" customWidth="1"/>
    <col min="4335" max="4335" width="7.1640625" style="599" customWidth="1"/>
    <col min="4336" max="4337" width="7.4140625" style="599" customWidth="1"/>
    <col min="4338" max="4338" width="7.1640625" style="599" customWidth="1"/>
    <col min="4339" max="4339" width="5.1640625" style="599" customWidth="1"/>
    <col min="4340" max="4340" width="6.25" style="599" customWidth="1"/>
    <col min="4341" max="4341" width="6.4140625" style="599" customWidth="1"/>
    <col min="4342" max="4342" width="5.75" style="599" customWidth="1"/>
    <col min="4343" max="4343" width="6.25" style="599" customWidth="1"/>
    <col min="4344" max="4348" width="6.83203125" style="599" customWidth="1"/>
    <col min="4349" max="4349" width="6.58203125" style="599" customWidth="1"/>
    <col min="4350" max="4351" width="7.58203125" style="599" customWidth="1"/>
    <col min="4352" max="4573" width="9.1640625" style="599"/>
    <col min="4574" max="4574" width="3.4140625" style="599" customWidth="1"/>
    <col min="4575" max="4575" width="29.58203125" style="599" customWidth="1"/>
    <col min="4576" max="4576" width="8.1640625" style="599" customWidth="1"/>
    <col min="4577" max="4577" width="7.75" style="599" customWidth="1"/>
    <col min="4578" max="4578" width="5.83203125" style="599" customWidth="1"/>
    <col min="4579" max="4579" width="5.75" style="599" customWidth="1"/>
    <col min="4580" max="4580" width="5.58203125" style="599" customWidth="1"/>
    <col min="4581" max="4582" width="6.25" style="599" customWidth="1"/>
    <col min="4583" max="4583" width="7.25" style="599" customWidth="1"/>
    <col min="4584" max="4584" width="5.83203125" style="599" customWidth="1"/>
    <col min="4585" max="4585" width="6.25" style="599" customWidth="1"/>
    <col min="4586" max="4590" width="6.83203125" style="599" customWidth="1"/>
    <col min="4591" max="4591" width="7.1640625" style="599" customWidth="1"/>
    <col min="4592" max="4593" width="7.4140625" style="599" customWidth="1"/>
    <col min="4594" max="4594" width="7.1640625" style="599" customWidth="1"/>
    <col min="4595" max="4595" width="5.1640625" style="599" customWidth="1"/>
    <col min="4596" max="4596" width="6.25" style="599" customWidth="1"/>
    <col min="4597" max="4597" width="6.4140625" style="599" customWidth="1"/>
    <col min="4598" max="4598" width="5.75" style="599" customWidth="1"/>
    <col min="4599" max="4599" width="6.25" style="599" customWidth="1"/>
    <col min="4600" max="4604" width="6.83203125" style="599" customWidth="1"/>
    <col min="4605" max="4605" width="6.58203125" style="599" customWidth="1"/>
    <col min="4606" max="4607" width="7.58203125" style="599" customWidth="1"/>
    <col min="4608" max="4829" width="9.1640625" style="599"/>
    <col min="4830" max="4830" width="3.4140625" style="599" customWidth="1"/>
    <col min="4831" max="4831" width="29.58203125" style="599" customWidth="1"/>
    <col min="4832" max="4832" width="8.1640625" style="599" customWidth="1"/>
    <col min="4833" max="4833" width="7.75" style="599" customWidth="1"/>
    <col min="4834" max="4834" width="5.83203125" style="599" customWidth="1"/>
    <col min="4835" max="4835" width="5.75" style="599" customWidth="1"/>
    <col min="4836" max="4836" width="5.58203125" style="599" customWidth="1"/>
    <col min="4837" max="4838" width="6.25" style="599" customWidth="1"/>
    <col min="4839" max="4839" width="7.25" style="599" customWidth="1"/>
    <col min="4840" max="4840" width="5.83203125" style="599" customWidth="1"/>
    <col min="4841" max="4841" width="6.25" style="599" customWidth="1"/>
    <col min="4842" max="4846" width="6.83203125" style="599" customWidth="1"/>
    <col min="4847" max="4847" width="7.1640625" style="599" customWidth="1"/>
    <col min="4848" max="4849" width="7.4140625" style="599" customWidth="1"/>
    <col min="4850" max="4850" width="7.1640625" style="599" customWidth="1"/>
    <col min="4851" max="4851" width="5.1640625" style="599" customWidth="1"/>
    <col min="4852" max="4852" width="6.25" style="599" customWidth="1"/>
    <col min="4853" max="4853" width="6.4140625" style="599" customWidth="1"/>
    <col min="4854" max="4854" width="5.75" style="599" customWidth="1"/>
    <col min="4855" max="4855" width="6.25" style="599" customWidth="1"/>
    <col min="4856" max="4860" width="6.83203125" style="599" customWidth="1"/>
    <col min="4861" max="4861" width="6.58203125" style="599" customWidth="1"/>
    <col min="4862" max="4863" width="7.58203125" style="599" customWidth="1"/>
    <col min="4864" max="5085" width="9.1640625" style="599"/>
    <col min="5086" max="5086" width="3.4140625" style="599" customWidth="1"/>
    <col min="5087" max="5087" width="29.58203125" style="599" customWidth="1"/>
    <col min="5088" max="5088" width="8.1640625" style="599" customWidth="1"/>
    <col min="5089" max="5089" width="7.75" style="599" customWidth="1"/>
    <col min="5090" max="5090" width="5.83203125" style="599" customWidth="1"/>
    <col min="5091" max="5091" width="5.75" style="599" customWidth="1"/>
    <col min="5092" max="5092" width="5.58203125" style="599" customWidth="1"/>
    <col min="5093" max="5094" width="6.25" style="599" customWidth="1"/>
    <col min="5095" max="5095" width="7.25" style="599" customWidth="1"/>
    <col min="5096" max="5096" width="5.83203125" style="599" customWidth="1"/>
    <col min="5097" max="5097" width="6.25" style="599" customWidth="1"/>
    <col min="5098" max="5102" width="6.83203125" style="599" customWidth="1"/>
    <col min="5103" max="5103" width="7.1640625" style="599" customWidth="1"/>
    <col min="5104" max="5105" width="7.4140625" style="599" customWidth="1"/>
    <col min="5106" max="5106" width="7.1640625" style="599" customWidth="1"/>
    <col min="5107" max="5107" width="5.1640625" style="599" customWidth="1"/>
    <col min="5108" max="5108" width="6.25" style="599" customWidth="1"/>
    <col min="5109" max="5109" width="6.4140625" style="599" customWidth="1"/>
    <col min="5110" max="5110" width="5.75" style="599" customWidth="1"/>
    <col min="5111" max="5111" width="6.25" style="599" customWidth="1"/>
    <col min="5112" max="5116" width="6.83203125" style="599" customWidth="1"/>
    <col min="5117" max="5117" width="6.58203125" style="599" customWidth="1"/>
    <col min="5118" max="5119" width="7.58203125" style="599" customWidth="1"/>
    <col min="5120" max="5341" width="9.1640625" style="599"/>
    <col min="5342" max="5342" width="3.4140625" style="599" customWidth="1"/>
    <col min="5343" max="5343" width="29.58203125" style="599" customWidth="1"/>
    <col min="5344" max="5344" width="8.1640625" style="599" customWidth="1"/>
    <col min="5345" max="5345" width="7.75" style="599" customWidth="1"/>
    <col min="5346" max="5346" width="5.83203125" style="599" customWidth="1"/>
    <col min="5347" max="5347" width="5.75" style="599" customWidth="1"/>
    <col min="5348" max="5348" width="5.58203125" style="599" customWidth="1"/>
    <col min="5349" max="5350" width="6.25" style="599" customWidth="1"/>
    <col min="5351" max="5351" width="7.25" style="599" customWidth="1"/>
    <col min="5352" max="5352" width="5.83203125" style="599" customWidth="1"/>
    <col min="5353" max="5353" width="6.25" style="599" customWidth="1"/>
    <col min="5354" max="5358" width="6.83203125" style="599" customWidth="1"/>
    <col min="5359" max="5359" width="7.1640625" style="599" customWidth="1"/>
    <col min="5360" max="5361" width="7.4140625" style="599" customWidth="1"/>
    <col min="5362" max="5362" width="7.1640625" style="599" customWidth="1"/>
    <col min="5363" max="5363" width="5.1640625" style="599" customWidth="1"/>
    <col min="5364" max="5364" width="6.25" style="599" customWidth="1"/>
    <col min="5365" max="5365" width="6.4140625" style="599" customWidth="1"/>
    <col min="5366" max="5366" width="5.75" style="599" customWidth="1"/>
    <col min="5367" max="5367" width="6.25" style="599" customWidth="1"/>
    <col min="5368" max="5372" width="6.83203125" style="599" customWidth="1"/>
    <col min="5373" max="5373" width="6.58203125" style="599" customWidth="1"/>
    <col min="5374" max="5375" width="7.58203125" style="599" customWidth="1"/>
    <col min="5376" max="5597" width="9.1640625" style="599"/>
    <col min="5598" max="5598" width="3.4140625" style="599" customWidth="1"/>
    <col min="5599" max="5599" width="29.58203125" style="599" customWidth="1"/>
    <col min="5600" max="5600" width="8.1640625" style="599" customWidth="1"/>
    <col min="5601" max="5601" width="7.75" style="599" customWidth="1"/>
    <col min="5602" max="5602" width="5.83203125" style="599" customWidth="1"/>
    <col min="5603" max="5603" width="5.75" style="599" customWidth="1"/>
    <col min="5604" max="5604" width="5.58203125" style="599" customWidth="1"/>
    <col min="5605" max="5606" width="6.25" style="599" customWidth="1"/>
    <col min="5607" max="5607" width="7.25" style="599" customWidth="1"/>
    <col min="5608" max="5608" width="5.83203125" style="599" customWidth="1"/>
    <col min="5609" max="5609" width="6.25" style="599" customWidth="1"/>
    <col min="5610" max="5614" width="6.83203125" style="599" customWidth="1"/>
    <col min="5615" max="5615" width="7.1640625" style="599" customWidth="1"/>
    <col min="5616" max="5617" width="7.4140625" style="599" customWidth="1"/>
    <col min="5618" max="5618" width="7.1640625" style="599" customWidth="1"/>
    <col min="5619" max="5619" width="5.1640625" style="599" customWidth="1"/>
    <col min="5620" max="5620" width="6.25" style="599" customWidth="1"/>
    <col min="5621" max="5621" width="6.4140625" style="599" customWidth="1"/>
    <col min="5622" max="5622" width="5.75" style="599" customWidth="1"/>
    <col min="5623" max="5623" width="6.25" style="599" customWidth="1"/>
    <col min="5624" max="5628" width="6.83203125" style="599" customWidth="1"/>
    <col min="5629" max="5629" width="6.58203125" style="599" customWidth="1"/>
    <col min="5630" max="5631" width="7.58203125" style="599" customWidth="1"/>
    <col min="5632" max="5853" width="9.1640625" style="599"/>
    <col min="5854" max="5854" width="3.4140625" style="599" customWidth="1"/>
    <col min="5855" max="5855" width="29.58203125" style="599" customWidth="1"/>
    <col min="5856" max="5856" width="8.1640625" style="599" customWidth="1"/>
    <col min="5857" max="5857" width="7.75" style="599" customWidth="1"/>
    <col min="5858" max="5858" width="5.83203125" style="599" customWidth="1"/>
    <col min="5859" max="5859" width="5.75" style="599" customWidth="1"/>
    <col min="5860" max="5860" width="5.58203125" style="599" customWidth="1"/>
    <col min="5861" max="5862" width="6.25" style="599" customWidth="1"/>
    <col min="5863" max="5863" width="7.25" style="599" customWidth="1"/>
    <col min="5864" max="5864" width="5.83203125" style="599" customWidth="1"/>
    <col min="5865" max="5865" width="6.25" style="599" customWidth="1"/>
    <col min="5866" max="5870" width="6.83203125" style="599" customWidth="1"/>
    <col min="5871" max="5871" width="7.1640625" style="599" customWidth="1"/>
    <col min="5872" max="5873" width="7.4140625" style="599" customWidth="1"/>
    <col min="5874" max="5874" width="7.1640625" style="599" customWidth="1"/>
    <col min="5875" max="5875" width="5.1640625" style="599" customWidth="1"/>
    <col min="5876" max="5876" width="6.25" style="599" customWidth="1"/>
    <col min="5877" max="5877" width="6.4140625" style="599" customWidth="1"/>
    <col min="5878" max="5878" width="5.75" style="599" customWidth="1"/>
    <col min="5879" max="5879" width="6.25" style="599" customWidth="1"/>
    <col min="5880" max="5884" width="6.83203125" style="599" customWidth="1"/>
    <col min="5885" max="5885" width="6.58203125" style="599" customWidth="1"/>
    <col min="5886" max="5887" width="7.58203125" style="599" customWidth="1"/>
    <col min="5888" max="6109" width="9.1640625" style="599"/>
    <col min="6110" max="6110" width="3.4140625" style="599" customWidth="1"/>
    <col min="6111" max="6111" width="29.58203125" style="599" customWidth="1"/>
    <col min="6112" max="6112" width="8.1640625" style="599" customWidth="1"/>
    <col min="6113" max="6113" width="7.75" style="599" customWidth="1"/>
    <col min="6114" max="6114" width="5.83203125" style="599" customWidth="1"/>
    <col min="6115" max="6115" width="5.75" style="599" customWidth="1"/>
    <col min="6116" max="6116" width="5.58203125" style="599" customWidth="1"/>
    <col min="6117" max="6118" width="6.25" style="599" customWidth="1"/>
    <col min="6119" max="6119" width="7.25" style="599" customWidth="1"/>
    <col min="6120" max="6120" width="5.83203125" style="599" customWidth="1"/>
    <col min="6121" max="6121" width="6.25" style="599" customWidth="1"/>
    <col min="6122" max="6126" width="6.83203125" style="599" customWidth="1"/>
    <col min="6127" max="6127" width="7.1640625" style="599" customWidth="1"/>
    <col min="6128" max="6129" width="7.4140625" style="599" customWidth="1"/>
    <col min="6130" max="6130" width="7.1640625" style="599" customWidth="1"/>
    <col min="6131" max="6131" width="5.1640625" style="599" customWidth="1"/>
    <col min="6132" max="6132" width="6.25" style="599" customWidth="1"/>
    <col min="6133" max="6133" width="6.4140625" style="599" customWidth="1"/>
    <col min="6134" max="6134" width="5.75" style="599" customWidth="1"/>
    <col min="6135" max="6135" width="6.25" style="599" customWidth="1"/>
    <col min="6136" max="6140" width="6.83203125" style="599" customWidth="1"/>
    <col min="6141" max="6141" width="6.58203125" style="599" customWidth="1"/>
    <col min="6142" max="6143" width="7.58203125" style="599" customWidth="1"/>
    <col min="6144" max="6365" width="9.1640625" style="599"/>
    <col min="6366" max="6366" width="3.4140625" style="599" customWidth="1"/>
    <col min="6367" max="6367" width="29.58203125" style="599" customWidth="1"/>
    <col min="6368" max="6368" width="8.1640625" style="599" customWidth="1"/>
    <col min="6369" max="6369" width="7.75" style="599" customWidth="1"/>
    <col min="6370" max="6370" width="5.83203125" style="599" customWidth="1"/>
    <col min="6371" max="6371" width="5.75" style="599" customWidth="1"/>
    <col min="6372" max="6372" width="5.58203125" style="599" customWidth="1"/>
    <col min="6373" max="6374" width="6.25" style="599" customWidth="1"/>
    <col min="6375" max="6375" width="7.25" style="599" customWidth="1"/>
    <col min="6376" max="6376" width="5.83203125" style="599" customWidth="1"/>
    <col min="6377" max="6377" width="6.25" style="599" customWidth="1"/>
    <col min="6378" max="6382" width="6.83203125" style="599" customWidth="1"/>
    <col min="6383" max="6383" width="7.1640625" style="599" customWidth="1"/>
    <col min="6384" max="6385" width="7.4140625" style="599" customWidth="1"/>
    <col min="6386" max="6386" width="7.1640625" style="599" customWidth="1"/>
    <col min="6387" max="6387" width="5.1640625" style="599" customWidth="1"/>
    <col min="6388" max="6388" width="6.25" style="599" customWidth="1"/>
    <col min="6389" max="6389" width="6.4140625" style="599" customWidth="1"/>
    <col min="6390" max="6390" width="5.75" style="599" customWidth="1"/>
    <col min="6391" max="6391" width="6.25" style="599" customWidth="1"/>
    <col min="6392" max="6396" width="6.83203125" style="599" customWidth="1"/>
    <col min="6397" max="6397" width="6.58203125" style="599" customWidth="1"/>
    <col min="6398" max="6399" width="7.58203125" style="599" customWidth="1"/>
    <col min="6400" max="6621" width="9.1640625" style="599"/>
    <col min="6622" max="6622" width="3.4140625" style="599" customWidth="1"/>
    <col min="6623" max="6623" width="29.58203125" style="599" customWidth="1"/>
    <col min="6624" max="6624" width="8.1640625" style="599" customWidth="1"/>
    <col min="6625" max="6625" width="7.75" style="599" customWidth="1"/>
    <col min="6626" max="6626" width="5.83203125" style="599" customWidth="1"/>
    <col min="6627" max="6627" width="5.75" style="599" customWidth="1"/>
    <col min="6628" max="6628" width="5.58203125" style="599" customWidth="1"/>
    <col min="6629" max="6630" width="6.25" style="599" customWidth="1"/>
    <col min="6631" max="6631" width="7.25" style="599" customWidth="1"/>
    <col min="6632" max="6632" width="5.83203125" style="599" customWidth="1"/>
    <col min="6633" max="6633" width="6.25" style="599" customWidth="1"/>
    <col min="6634" max="6638" width="6.83203125" style="599" customWidth="1"/>
    <col min="6639" max="6639" width="7.1640625" style="599" customWidth="1"/>
    <col min="6640" max="6641" width="7.4140625" style="599" customWidth="1"/>
    <col min="6642" max="6642" width="7.1640625" style="599" customWidth="1"/>
    <col min="6643" max="6643" width="5.1640625" style="599" customWidth="1"/>
    <col min="6644" max="6644" width="6.25" style="599" customWidth="1"/>
    <col min="6645" max="6645" width="6.4140625" style="599" customWidth="1"/>
    <col min="6646" max="6646" width="5.75" style="599" customWidth="1"/>
    <col min="6647" max="6647" width="6.25" style="599" customWidth="1"/>
    <col min="6648" max="6652" width="6.83203125" style="599" customWidth="1"/>
    <col min="6653" max="6653" width="6.58203125" style="599" customWidth="1"/>
    <col min="6654" max="6655" width="7.58203125" style="599" customWidth="1"/>
    <col min="6656" max="6877" width="9.1640625" style="599"/>
    <col min="6878" max="6878" width="3.4140625" style="599" customWidth="1"/>
    <col min="6879" max="6879" width="29.58203125" style="599" customWidth="1"/>
    <col min="6880" max="6880" width="8.1640625" style="599" customWidth="1"/>
    <col min="6881" max="6881" width="7.75" style="599" customWidth="1"/>
    <col min="6882" max="6882" width="5.83203125" style="599" customWidth="1"/>
    <col min="6883" max="6883" width="5.75" style="599" customWidth="1"/>
    <col min="6884" max="6884" width="5.58203125" style="599" customWidth="1"/>
    <col min="6885" max="6886" width="6.25" style="599" customWidth="1"/>
    <col min="6887" max="6887" width="7.25" style="599" customWidth="1"/>
    <col min="6888" max="6888" width="5.83203125" style="599" customWidth="1"/>
    <col min="6889" max="6889" width="6.25" style="599" customWidth="1"/>
    <col min="6890" max="6894" width="6.83203125" style="599" customWidth="1"/>
    <col min="6895" max="6895" width="7.1640625" style="599" customWidth="1"/>
    <col min="6896" max="6897" width="7.4140625" style="599" customWidth="1"/>
    <col min="6898" max="6898" width="7.1640625" style="599" customWidth="1"/>
    <col min="6899" max="6899" width="5.1640625" style="599" customWidth="1"/>
    <col min="6900" max="6900" width="6.25" style="599" customWidth="1"/>
    <col min="6901" max="6901" width="6.4140625" style="599" customWidth="1"/>
    <col min="6902" max="6902" width="5.75" style="599" customWidth="1"/>
    <col min="6903" max="6903" width="6.25" style="599" customWidth="1"/>
    <col min="6904" max="6908" width="6.83203125" style="599" customWidth="1"/>
    <col min="6909" max="6909" width="6.58203125" style="599" customWidth="1"/>
    <col min="6910" max="6911" width="7.58203125" style="599" customWidth="1"/>
    <col min="6912" max="7133" width="9.1640625" style="599"/>
    <col min="7134" max="7134" width="3.4140625" style="599" customWidth="1"/>
    <col min="7135" max="7135" width="29.58203125" style="599" customWidth="1"/>
    <col min="7136" max="7136" width="8.1640625" style="599" customWidth="1"/>
    <col min="7137" max="7137" width="7.75" style="599" customWidth="1"/>
    <col min="7138" max="7138" width="5.83203125" style="599" customWidth="1"/>
    <col min="7139" max="7139" width="5.75" style="599" customWidth="1"/>
    <col min="7140" max="7140" width="5.58203125" style="599" customWidth="1"/>
    <col min="7141" max="7142" width="6.25" style="599" customWidth="1"/>
    <col min="7143" max="7143" width="7.25" style="599" customWidth="1"/>
    <col min="7144" max="7144" width="5.83203125" style="599" customWidth="1"/>
    <col min="7145" max="7145" width="6.25" style="599" customWidth="1"/>
    <col min="7146" max="7150" width="6.83203125" style="599" customWidth="1"/>
    <col min="7151" max="7151" width="7.1640625" style="599" customWidth="1"/>
    <col min="7152" max="7153" width="7.4140625" style="599" customWidth="1"/>
    <col min="7154" max="7154" width="7.1640625" style="599" customWidth="1"/>
    <col min="7155" max="7155" width="5.1640625" style="599" customWidth="1"/>
    <col min="7156" max="7156" width="6.25" style="599" customWidth="1"/>
    <col min="7157" max="7157" width="6.4140625" style="599" customWidth="1"/>
    <col min="7158" max="7158" width="5.75" style="599" customWidth="1"/>
    <col min="7159" max="7159" width="6.25" style="599" customWidth="1"/>
    <col min="7160" max="7164" width="6.83203125" style="599" customWidth="1"/>
    <col min="7165" max="7165" width="6.58203125" style="599" customWidth="1"/>
    <col min="7166" max="7167" width="7.58203125" style="599" customWidth="1"/>
    <col min="7168" max="7389" width="9.1640625" style="599"/>
    <col min="7390" max="7390" width="3.4140625" style="599" customWidth="1"/>
    <col min="7391" max="7391" width="29.58203125" style="599" customWidth="1"/>
    <col min="7392" max="7392" width="8.1640625" style="599" customWidth="1"/>
    <col min="7393" max="7393" width="7.75" style="599" customWidth="1"/>
    <col min="7394" max="7394" width="5.83203125" style="599" customWidth="1"/>
    <col min="7395" max="7395" width="5.75" style="599" customWidth="1"/>
    <col min="7396" max="7396" width="5.58203125" style="599" customWidth="1"/>
    <col min="7397" max="7398" width="6.25" style="599" customWidth="1"/>
    <col min="7399" max="7399" width="7.25" style="599" customWidth="1"/>
    <col min="7400" max="7400" width="5.83203125" style="599" customWidth="1"/>
    <col min="7401" max="7401" width="6.25" style="599" customWidth="1"/>
    <col min="7402" max="7406" width="6.83203125" style="599" customWidth="1"/>
    <col min="7407" max="7407" width="7.1640625" style="599" customWidth="1"/>
    <col min="7408" max="7409" width="7.4140625" style="599" customWidth="1"/>
    <col min="7410" max="7410" width="7.1640625" style="599" customWidth="1"/>
    <col min="7411" max="7411" width="5.1640625" style="599" customWidth="1"/>
    <col min="7412" max="7412" width="6.25" style="599" customWidth="1"/>
    <col min="7413" max="7413" width="6.4140625" style="599" customWidth="1"/>
    <col min="7414" max="7414" width="5.75" style="599" customWidth="1"/>
    <col min="7415" max="7415" width="6.25" style="599" customWidth="1"/>
    <col min="7416" max="7420" width="6.83203125" style="599" customWidth="1"/>
    <col min="7421" max="7421" width="6.58203125" style="599" customWidth="1"/>
    <col min="7422" max="7423" width="7.58203125" style="599" customWidth="1"/>
    <col min="7424" max="7645" width="9.1640625" style="599"/>
    <col min="7646" max="7646" width="3.4140625" style="599" customWidth="1"/>
    <col min="7647" max="7647" width="29.58203125" style="599" customWidth="1"/>
    <col min="7648" max="7648" width="8.1640625" style="599" customWidth="1"/>
    <col min="7649" max="7649" width="7.75" style="599" customWidth="1"/>
    <col min="7650" max="7650" width="5.83203125" style="599" customWidth="1"/>
    <col min="7651" max="7651" width="5.75" style="599" customWidth="1"/>
    <col min="7652" max="7652" width="5.58203125" style="599" customWidth="1"/>
    <col min="7653" max="7654" width="6.25" style="599" customWidth="1"/>
    <col min="7655" max="7655" width="7.25" style="599" customWidth="1"/>
    <col min="7656" max="7656" width="5.83203125" style="599" customWidth="1"/>
    <col min="7657" max="7657" width="6.25" style="599" customWidth="1"/>
    <col min="7658" max="7662" width="6.83203125" style="599" customWidth="1"/>
    <col min="7663" max="7663" width="7.1640625" style="599" customWidth="1"/>
    <col min="7664" max="7665" width="7.4140625" style="599" customWidth="1"/>
    <col min="7666" max="7666" width="7.1640625" style="599" customWidth="1"/>
    <col min="7667" max="7667" width="5.1640625" style="599" customWidth="1"/>
    <col min="7668" max="7668" width="6.25" style="599" customWidth="1"/>
    <col min="7669" max="7669" width="6.4140625" style="599" customWidth="1"/>
    <col min="7670" max="7670" width="5.75" style="599" customWidth="1"/>
    <col min="7671" max="7671" width="6.25" style="599" customWidth="1"/>
    <col min="7672" max="7676" width="6.83203125" style="599" customWidth="1"/>
    <col min="7677" max="7677" width="6.58203125" style="599" customWidth="1"/>
    <col min="7678" max="7679" width="7.58203125" style="599" customWidth="1"/>
    <col min="7680" max="7901" width="9.1640625" style="599"/>
    <col min="7902" max="7902" width="3.4140625" style="599" customWidth="1"/>
    <col min="7903" max="7903" width="29.58203125" style="599" customWidth="1"/>
    <col min="7904" max="7904" width="8.1640625" style="599" customWidth="1"/>
    <col min="7905" max="7905" width="7.75" style="599" customWidth="1"/>
    <col min="7906" max="7906" width="5.83203125" style="599" customWidth="1"/>
    <col min="7907" max="7907" width="5.75" style="599" customWidth="1"/>
    <col min="7908" max="7908" width="5.58203125" style="599" customWidth="1"/>
    <col min="7909" max="7910" width="6.25" style="599" customWidth="1"/>
    <col min="7911" max="7911" width="7.25" style="599" customWidth="1"/>
    <col min="7912" max="7912" width="5.83203125" style="599" customWidth="1"/>
    <col min="7913" max="7913" width="6.25" style="599" customWidth="1"/>
    <col min="7914" max="7918" width="6.83203125" style="599" customWidth="1"/>
    <col min="7919" max="7919" width="7.1640625" style="599" customWidth="1"/>
    <col min="7920" max="7921" width="7.4140625" style="599" customWidth="1"/>
    <col min="7922" max="7922" width="7.1640625" style="599" customWidth="1"/>
    <col min="7923" max="7923" width="5.1640625" style="599" customWidth="1"/>
    <col min="7924" max="7924" width="6.25" style="599" customWidth="1"/>
    <col min="7925" max="7925" width="6.4140625" style="599" customWidth="1"/>
    <col min="7926" max="7926" width="5.75" style="599" customWidth="1"/>
    <col min="7927" max="7927" width="6.25" style="599" customWidth="1"/>
    <col min="7928" max="7932" width="6.83203125" style="599" customWidth="1"/>
    <col min="7933" max="7933" width="6.58203125" style="599" customWidth="1"/>
    <col min="7934" max="7935" width="7.58203125" style="599" customWidth="1"/>
    <col min="7936" max="8157" width="9.1640625" style="599"/>
    <col min="8158" max="8158" width="3.4140625" style="599" customWidth="1"/>
    <col min="8159" max="8159" width="29.58203125" style="599" customWidth="1"/>
    <col min="8160" max="8160" width="8.1640625" style="599" customWidth="1"/>
    <col min="8161" max="8161" width="7.75" style="599" customWidth="1"/>
    <col min="8162" max="8162" width="5.83203125" style="599" customWidth="1"/>
    <col min="8163" max="8163" width="5.75" style="599" customWidth="1"/>
    <col min="8164" max="8164" width="5.58203125" style="599" customWidth="1"/>
    <col min="8165" max="8166" width="6.25" style="599" customWidth="1"/>
    <col min="8167" max="8167" width="7.25" style="599" customWidth="1"/>
    <col min="8168" max="8168" width="5.83203125" style="599" customWidth="1"/>
    <col min="8169" max="8169" width="6.25" style="599" customWidth="1"/>
    <col min="8170" max="8174" width="6.83203125" style="599" customWidth="1"/>
    <col min="8175" max="8175" width="7.1640625" style="599" customWidth="1"/>
    <col min="8176" max="8177" width="7.4140625" style="599" customWidth="1"/>
    <col min="8178" max="8178" width="7.1640625" style="599" customWidth="1"/>
    <col min="8179" max="8179" width="5.1640625" style="599" customWidth="1"/>
    <col min="8180" max="8180" width="6.25" style="599" customWidth="1"/>
    <col min="8181" max="8181" width="6.4140625" style="599" customWidth="1"/>
    <col min="8182" max="8182" width="5.75" style="599" customWidth="1"/>
    <col min="8183" max="8183" width="6.25" style="599" customWidth="1"/>
    <col min="8184" max="8188" width="6.83203125" style="599" customWidth="1"/>
    <col min="8189" max="8189" width="6.58203125" style="599" customWidth="1"/>
    <col min="8190" max="8191" width="7.58203125" style="599" customWidth="1"/>
    <col min="8192" max="8413" width="9.1640625" style="599"/>
    <col min="8414" max="8414" width="3.4140625" style="599" customWidth="1"/>
    <col min="8415" max="8415" width="29.58203125" style="599" customWidth="1"/>
    <col min="8416" max="8416" width="8.1640625" style="599" customWidth="1"/>
    <col min="8417" max="8417" width="7.75" style="599" customWidth="1"/>
    <col min="8418" max="8418" width="5.83203125" style="599" customWidth="1"/>
    <col min="8419" max="8419" width="5.75" style="599" customWidth="1"/>
    <col min="8420" max="8420" width="5.58203125" style="599" customWidth="1"/>
    <col min="8421" max="8422" width="6.25" style="599" customWidth="1"/>
    <col min="8423" max="8423" width="7.25" style="599" customWidth="1"/>
    <col min="8424" max="8424" width="5.83203125" style="599" customWidth="1"/>
    <col min="8425" max="8425" width="6.25" style="599" customWidth="1"/>
    <col min="8426" max="8430" width="6.83203125" style="599" customWidth="1"/>
    <col min="8431" max="8431" width="7.1640625" style="599" customWidth="1"/>
    <col min="8432" max="8433" width="7.4140625" style="599" customWidth="1"/>
    <col min="8434" max="8434" width="7.1640625" style="599" customWidth="1"/>
    <col min="8435" max="8435" width="5.1640625" style="599" customWidth="1"/>
    <col min="8436" max="8436" width="6.25" style="599" customWidth="1"/>
    <col min="8437" max="8437" width="6.4140625" style="599" customWidth="1"/>
    <col min="8438" max="8438" width="5.75" style="599" customWidth="1"/>
    <col min="8439" max="8439" width="6.25" style="599" customWidth="1"/>
    <col min="8440" max="8444" width="6.83203125" style="599" customWidth="1"/>
    <col min="8445" max="8445" width="6.58203125" style="599" customWidth="1"/>
    <col min="8446" max="8447" width="7.58203125" style="599" customWidth="1"/>
    <col min="8448" max="8669" width="9.1640625" style="599"/>
    <col min="8670" max="8670" width="3.4140625" style="599" customWidth="1"/>
    <col min="8671" max="8671" width="29.58203125" style="599" customWidth="1"/>
    <col min="8672" max="8672" width="8.1640625" style="599" customWidth="1"/>
    <col min="8673" max="8673" width="7.75" style="599" customWidth="1"/>
    <col min="8674" max="8674" width="5.83203125" style="599" customWidth="1"/>
    <col min="8675" max="8675" width="5.75" style="599" customWidth="1"/>
    <col min="8676" max="8676" width="5.58203125" style="599" customWidth="1"/>
    <col min="8677" max="8678" width="6.25" style="599" customWidth="1"/>
    <col min="8679" max="8679" width="7.25" style="599" customWidth="1"/>
    <col min="8680" max="8680" width="5.83203125" style="599" customWidth="1"/>
    <col min="8681" max="8681" width="6.25" style="599" customWidth="1"/>
    <col min="8682" max="8686" width="6.83203125" style="599" customWidth="1"/>
    <col min="8687" max="8687" width="7.1640625" style="599" customWidth="1"/>
    <col min="8688" max="8689" width="7.4140625" style="599" customWidth="1"/>
    <col min="8690" max="8690" width="7.1640625" style="599" customWidth="1"/>
    <col min="8691" max="8691" width="5.1640625" style="599" customWidth="1"/>
    <col min="8692" max="8692" width="6.25" style="599" customWidth="1"/>
    <col min="8693" max="8693" width="6.4140625" style="599" customWidth="1"/>
    <col min="8694" max="8694" width="5.75" style="599" customWidth="1"/>
    <col min="8695" max="8695" width="6.25" style="599" customWidth="1"/>
    <col min="8696" max="8700" width="6.83203125" style="599" customWidth="1"/>
    <col min="8701" max="8701" width="6.58203125" style="599" customWidth="1"/>
    <col min="8702" max="8703" width="7.58203125" style="599" customWidth="1"/>
    <col min="8704" max="8925" width="9.1640625" style="599"/>
    <col min="8926" max="8926" width="3.4140625" style="599" customWidth="1"/>
    <col min="8927" max="8927" width="29.58203125" style="599" customWidth="1"/>
    <col min="8928" max="8928" width="8.1640625" style="599" customWidth="1"/>
    <col min="8929" max="8929" width="7.75" style="599" customWidth="1"/>
    <col min="8930" max="8930" width="5.83203125" style="599" customWidth="1"/>
    <col min="8931" max="8931" width="5.75" style="599" customWidth="1"/>
    <col min="8932" max="8932" width="5.58203125" style="599" customWidth="1"/>
    <col min="8933" max="8934" width="6.25" style="599" customWidth="1"/>
    <col min="8935" max="8935" width="7.25" style="599" customWidth="1"/>
    <col min="8936" max="8936" width="5.83203125" style="599" customWidth="1"/>
    <col min="8937" max="8937" width="6.25" style="599" customWidth="1"/>
    <col min="8938" max="8942" width="6.83203125" style="599" customWidth="1"/>
    <col min="8943" max="8943" width="7.1640625" style="599" customWidth="1"/>
    <col min="8944" max="8945" width="7.4140625" style="599" customWidth="1"/>
    <col min="8946" max="8946" width="7.1640625" style="599" customWidth="1"/>
    <col min="8947" max="8947" width="5.1640625" style="599" customWidth="1"/>
    <col min="8948" max="8948" width="6.25" style="599" customWidth="1"/>
    <col min="8949" max="8949" width="6.4140625" style="599" customWidth="1"/>
    <col min="8950" max="8950" width="5.75" style="599" customWidth="1"/>
    <col min="8951" max="8951" width="6.25" style="599" customWidth="1"/>
    <col min="8952" max="8956" width="6.83203125" style="599" customWidth="1"/>
    <col min="8957" max="8957" width="6.58203125" style="599" customWidth="1"/>
    <col min="8958" max="8959" width="7.58203125" style="599" customWidth="1"/>
    <col min="8960" max="9181" width="9.1640625" style="599"/>
    <col min="9182" max="9182" width="3.4140625" style="599" customWidth="1"/>
    <col min="9183" max="9183" width="29.58203125" style="599" customWidth="1"/>
    <col min="9184" max="9184" width="8.1640625" style="599" customWidth="1"/>
    <col min="9185" max="9185" width="7.75" style="599" customWidth="1"/>
    <col min="9186" max="9186" width="5.83203125" style="599" customWidth="1"/>
    <col min="9187" max="9187" width="5.75" style="599" customWidth="1"/>
    <col min="9188" max="9188" width="5.58203125" style="599" customWidth="1"/>
    <col min="9189" max="9190" width="6.25" style="599" customWidth="1"/>
    <col min="9191" max="9191" width="7.25" style="599" customWidth="1"/>
    <col min="9192" max="9192" width="5.83203125" style="599" customWidth="1"/>
    <col min="9193" max="9193" width="6.25" style="599" customWidth="1"/>
    <col min="9194" max="9198" width="6.83203125" style="599" customWidth="1"/>
    <col min="9199" max="9199" width="7.1640625" style="599" customWidth="1"/>
    <col min="9200" max="9201" width="7.4140625" style="599" customWidth="1"/>
    <col min="9202" max="9202" width="7.1640625" style="599" customWidth="1"/>
    <col min="9203" max="9203" width="5.1640625" style="599" customWidth="1"/>
    <col min="9204" max="9204" width="6.25" style="599" customWidth="1"/>
    <col min="9205" max="9205" width="6.4140625" style="599" customWidth="1"/>
    <col min="9206" max="9206" width="5.75" style="599" customWidth="1"/>
    <col min="9207" max="9207" width="6.25" style="599" customWidth="1"/>
    <col min="9208" max="9212" width="6.83203125" style="599" customWidth="1"/>
    <col min="9213" max="9213" width="6.58203125" style="599" customWidth="1"/>
    <col min="9214" max="9215" width="7.58203125" style="599" customWidth="1"/>
    <col min="9216" max="9437" width="9.1640625" style="599"/>
    <col min="9438" max="9438" width="3.4140625" style="599" customWidth="1"/>
    <col min="9439" max="9439" width="29.58203125" style="599" customWidth="1"/>
    <col min="9440" max="9440" width="8.1640625" style="599" customWidth="1"/>
    <col min="9441" max="9441" width="7.75" style="599" customWidth="1"/>
    <col min="9442" max="9442" width="5.83203125" style="599" customWidth="1"/>
    <col min="9443" max="9443" width="5.75" style="599" customWidth="1"/>
    <col min="9444" max="9444" width="5.58203125" style="599" customWidth="1"/>
    <col min="9445" max="9446" width="6.25" style="599" customWidth="1"/>
    <col min="9447" max="9447" width="7.25" style="599" customWidth="1"/>
    <col min="9448" max="9448" width="5.83203125" style="599" customWidth="1"/>
    <col min="9449" max="9449" width="6.25" style="599" customWidth="1"/>
    <col min="9450" max="9454" width="6.83203125" style="599" customWidth="1"/>
    <col min="9455" max="9455" width="7.1640625" style="599" customWidth="1"/>
    <col min="9456" max="9457" width="7.4140625" style="599" customWidth="1"/>
    <col min="9458" max="9458" width="7.1640625" style="599" customWidth="1"/>
    <col min="9459" max="9459" width="5.1640625" style="599" customWidth="1"/>
    <col min="9460" max="9460" width="6.25" style="599" customWidth="1"/>
    <col min="9461" max="9461" width="6.4140625" style="599" customWidth="1"/>
    <col min="9462" max="9462" width="5.75" style="599" customWidth="1"/>
    <col min="9463" max="9463" width="6.25" style="599" customWidth="1"/>
    <col min="9464" max="9468" width="6.83203125" style="599" customWidth="1"/>
    <col min="9469" max="9469" width="6.58203125" style="599" customWidth="1"/>
    <col min="9470" max="9471" width="7.58203125" style="599" customWidth="1"/>
    <col min="9472" max="9693" width="9.1640625" style="599"/>
    <col min="9694" max="9694" width="3.4140625" style="599" customWidth="1"/>
    <col min="9695" max="9695" width="29.58203125" style="599" customWidth="1"/>
    <col min="9696" max="9696" width="8.1640625" style="599" customWidth="1"/>
    <col min="9697" max="9697" width="7.75" style="599" customWidth="1"/>
    <col min="9698" max="9698" width="5.83203125" style="599" customWidth="1"/>
    <col min="9699" max="9699" width="5.75" style="599" customWidth="1"/>
    <col min="9700" max="9700" width="5.58203125" style="599" customWidth="1"/>
    <col min="9701" max="9702" width="6.25" style="599" customWidth="1"/>
    <col min="9703" max="9703" width="7.25" style="599" customWidth="1"/>
    <col min="9704" max="9704" width="5.83203125" style="599" customWidth="1"/>
    <col min="9705" max="9705" width="6.25" style="599" customWidth="1"/>
    <col min="9706" max="9710" width="6.83203125" style="599" customWidth="1"/>
    <col min="9711" max="9711" width="7.1640625" style="599" customWidth="1"/>
    <col min="9712" max="9713" width="7.4140625" style="599" customWidth="1"/>
    <col min="9714" max="9714" width="7.1640625" style="599" customWidth="1"/>
    <col min="9715" max="9715" width="5.1640625" style="599" customWidth="1"/>
    <col min="9716" max="9716" width="6.25" style="599" customWidth="1"/>
    <col min="9717" max="9717" width="6.4140625" style="599" customWidth="1"/>
    <col min="9718" max="9718" width="5.75" style="599" customWidth="1"/>
    <col min="9719" max="9719" width="6.25" style="599" customWidth="1"/>
    <col min="9720" max="9724" width="6.83203125" style="599" customWidth="1"/>
    <col min="9725" max="9725" width="6.58203125" style="599" customWidth="1"/>
    <col min="9726" max="9727" width="7.58203125" style="599" customWidth="1"/>
    <col min="9728" max="9949" width="9.1640625" style="599"/>
    <col min="9950" max="9950" width="3.4140625" style="599" customWidth="1"/>
    <col min="9951" max="9951" width="29.58203125" style="599" customWidth="1"/>
    <col min="9952" max="9952" width="8.1640625" style="599" customWidth="1"/>
    <col min="9953" max="9953" width="7.75" style="599" customWidth="1"/>
    <col min="9954" max="9954" width="5.83203125" style="599" customWidth="1"/>
    <col min="9955" max="9955" width="5.75" style="599" customWidth="1"/>
    <col min="9956" max="9956" width="5.58203125" style="599" customWidth="1"/>
    <col min="9957" max="9958" width="6.25" style="599" customWidth="1"/>
    <col min="9959" max="9959" width="7.25" style="599" customWidth="1"/>
    <col min="9960" max="9960" width="5.83203125" style="599" customWidth="1"/>
    <col min="9961" max="9961" width="6.25" style="599" customWidth="1"/>
    <col min="9962" max="9966" width="6.83203125" style="599" customWidth="1"/>
    <col min="9967" max="9967" width="7.1640625" style="599" customWidth="1"/>
    <col min="9968" max="9969" width="7.4140625" style="599" customWidth="1"/>
    <col min="9970" max="9970" width="7.1640625" style="599" customWidth="1"/>
    <col min="9971" max="9971" width="5.1640625" style="599" customWidth="1"/>
    <col min="9972" max="9972" width="6.25" style="599" customWidth="1"/>
    <col min="9973" max="9973" width="6.4140625" style="599" customWidth="1"/>
    <col min="9974" max="9974" width="5.75" style="599" customWidth="1"/>
    <col min="9975" max="9975" width="6.25" style="599" customWidth="1"/>
    <col min="9976" max="9980" width="6.83203125" style="599" customWidth="1"/>
    <col min="9981" max="9981" width="6.58203125" style="599" customWidth="1"/>
    <col min="9982" max="9983" width="7.58203125" style="599" customWidth="1"/>
    <col min="9984" max="10205" width="9.1640625" style="599"/>
    <col min="10206" max="10206" width="3.4140625" style="599" customWidth="1"/>
    <col min="10207" max="10207" width="29.58203125" style="599" customWidth="1"/>
    <col min="10208" max="10208" width="8.1640625" style="599" customWidth="1"/>
    <col min="10209" max="10209" width="7.75" style="599" customWidth="1"/>
    <col min="10210" max="10210" width="5.83203125" style="599" customWidth="1"/>
    <col min="10211" max="10211" width="5.75" style="599" customWidth="1"/>
    <col min="10212" max="10212" width="5.58203125" style="599" customWidth="1"/>
    <col min="10213" max="10214" width="6.25" style="599" customWidth="1"/>
    <col min="10215" max="10215" width="7.25" style="599" customWidth="1"/>
    <col min="10216" max="10216" width="5.83203125" style="599" customWidth="1"/>
    <col min="10217" max="10217" width="6.25" style="599" customWidth="1"/>
    <col min="10218" max="10222" width="6.83203125" style="599" customWidth="1"/>
    <col min="10223" max="10223" width="7.1640625" style="599" customWidth="1"/>
    <col min="10224" max="10225" width="7.4140625" style="599" customWidth="1"/>
    <col min="10226" max="10226" width="7.1640625" style="599" customWidth="1"/>
    <col min="10227" max="10227" width="5.1640625" style="599" customWidth="1"/>
    <col min="10228" max="10228" width="6.25" style="599" customWidth="1"/>
    <col min="10229" max="10229" width="6.4140625" style="599" customWidth="1"/>
    <col min="10230" max="10230" width="5.75" style="599" customWidth="1"/>
    <col min="10231" max="10231" width="6.25" style="599" customWidth="1"/>
    <col min="10232" max="10236" width="6.83203125" style="599" customWidth="1"/>
    <col min="10237" max="10237" width="6.58203125" style="599" customWidth="1"/>
    <col min="10238" max="10239" width="7.58203125" style="599" customWidth="1"/>
    <col min="10240" max="10461" width="9.1640625" style="599"/>
    <col min="10462" max="10462" width="3.4140625" style="599" customWidth="1"/>
    <col min="10463" max="10463" width="29.58203125" style="599" customWidth="1"/>
    <col min="10464" max="10464" width="8.1640625" style="599" customWidth="1"/>
    <col min="10465" max="10465" width="7.75" style="599" customWidth="1"/>
    <col min="10466" max="10466" width="5.83203125" style="599" customWidth="1"/>
    <col min="10467" max="10467" width="5.75" style="599" customWidth="1"/>
    <col min="10468" max="10468" width="5.58203125" style="599" customWidth="1"/>
    <col min="10469" max="10470" width="6.25" style="599" customWidth="1"/>
    <col min="10471" max="10471" width="7.25" style="599" customWidth="1"/>
    <col min="10472" max="10472" width="5.83203125" style="599" customWidth="1"/>
    <col min="10473" max="10473" width="6.25" style="599" customWidth="1"/>
    <col min="10474" max="10478" width="6.83203125" style="599" customWidth="1"/>
    <col min="10479" max="10479" width="7.1640625" style="599" customWidth="1"/>
    <col min="10480" max="10481" width="7.4140625" style="599" customWidth="1"/>
    <col min="10482" max="10482" width="7.1640625" style="599" customWidth="1"/>
    <col min="10483" max="10483" width="5.1640625" style="599" customWidth="1"/>
    <col min="10484" max="10484" width="6.25" style="599" customWidth="1"/>
    <col min="10485" max="10485" width="6.4140625" style="599" customWidth="1"/>
    <col min="10486" max="10486" width="5.75" style="599" customWidth="1"/>
    <col min="10487" max="10487" width="6.25" style="599" customWidth="1"/>
    <col min="10488" max="10492" width="6.83203125" style="599" customWidth="1"/>
    <col min="10493" max="10493" width="6.58203125" style="599" customWidth="1"/>
    <col min="10494" max="10495" width="7.58203125" style="599" customWidth="1"/>
    <col min="10496" max="10717" width="9.1640625" style="599"/>
    <col min="10718" max="10718" width="3.4140625" style="599" customWidth="1"/>
    <col min="10719" max="10719" width="29.58203125" style="599" customWidth="1"/>
    <col min="10720" max="10720" width="8.1640625" style="599" customWidth="1"/>
    <col min="10721" max="10721" width="7.75" style="599" customWidth="1"/>
    <col min="10722" max="10722" width="5.83203125" style="599" customWidth="1"/>
    <col min="10723" max="10723" width="5.75" style="599" customWidth="1"/>
    <col min="10724" max="10724" width="5.58203125" style="599" customWidth="1"/>
    <col min="10725" max="10726" width="6.25" style="599" customWidth="1"/>
    <col min="10727" max="10727" width="7.25" style="599" customWidth="1"/>
    <col min="10728" max="10728" width="5.83203125" style="599" customWidth="1"/>
    <col min="10729" max="10729" width="6.25" style="599" customWidth="1"/>
    <col min="10730" max="10734" width="6.83203125" style="599" customWidth="1"/>
    <col min="10735" max="10735" width="7.1640625" style="599" customWidth="1"/>
    <col min="10736" max="10737" width="7.4140625" style="599" customWidth="1"/>
    <col min="10738" max="10738" width="7.1640625" style="599" customWidth="1"/>
    <col min="10739" max="10739" width="5.1640625" style="599" customWidth="1"/>
    <col min="10740" max="10740" width="6.25" style="599" customWidth="1"/>
    <col min="10741" max="10741" width="6.4140625" style="599" customWidth="1"/>
    <col min="10742" max="10742" width="5.75" style="599" customWidth="1"/>
    <col min="10743" max="10743" width="6.25" style="599" customWidth="1"/>
    <col min="10744" max="10748" width="6.83203125" style="599" customWidth="1"/>
    <col min="10749" max="10749" width="6.58203125" style="599" customWidth="1"/>
    <col min="10750" max="10751" width="7.58203125" style="599" customWidth="1"/>
    <col min="10752" max="10973" width="9.1640625" style="599"/>
    <col min="10974" max="10974" width="3.4140625" style="599" customWidth="1"/>
    <col min="10975" max="10975" width="29.58203125" style="599" customWidth="1"/>
    <col min="10976" max="10976" width="8.1640625" style="599" customWidth="1"/>
    <col min="10977" max="10977" width="7.75" style="599" customWidth="1"/>
    <col min="10978" max="10978" width="5.83203125" style="599" customWidth="1"/>
    <col min="10979" max="10979" width="5.75" style="599" customWidth="1"/>
    <col min="10980" max="10980" width="5.58203125" style="599" customWidth="1"/>
    <col min="10981" max="10982" width="6.25" style="599" customWidth="1"/>
    <col min="10983" max="10983" width="7.25" style="599" customWidth="1"/>
    <col min="10984" max="10984" width="5.83203125" style="599" customWidth="1"/>
    <col min="10985" max="10985" width="6.25" style="599" customWidth="1"/>
    <col min="10986" max="10990" width="6.83203125" style="599" customWidth="1"/>
    <col min="10991" max="10991" width="7.1640625" style="599" customWidth="1"/>
    <col min="10992" max="10993" width="7.4140625" style="599" customWidth="1"/>
    <col min="10994" max="10994" width="7.1640625" style="599" customWidth="1"/>
    <col min="10995" max="10995" width="5.1640625" style="599" customWidth="1"/>
    <col min="10996" max="10996" width="6.25" style="599" customWidth="1"/>
    <col min="10997" max="10997" width="6.4140625" style="599" customWidth="1"/>
    <col min="10998" max="10998" width="5.75" style="599" customWidth="1"/>
    <col min="10999" max="10999" width="6.25" style="599" customWidth="1"/>
    <col min="11000" max="11004" width="6.83203125" style="599" customWidth="1"/>
    <col min="11005" max="11005" width="6.58203125" style="599" customWidth="1"/>
    <col min="11006" max="11007" width="7.58203125" style="599" customWidth="1"/>
    <col min="11008" max="11229" width="9.1640625" style="599"/>
    <col min="11230" max="11230" width="3.4140625" style="599" customWidth="1"/>
    <col min="11231" max="11231" width="29.58203125" style="599" customWidth="1"/>
    <col min="11232" max="11232" width="8.1640625" style="599" customWidth="1"/>
    <col min="11233" max="11233" width="7.75" style="599" customWidth="1"/>
    <col min="11234" max="11234" width="5.83203125" style="599" customWidth="1"/>
    <col min="11235" max="11235" width="5.75" style="599" customWidth="1"/>
    <col min="11236" max="11236" width="5.58203125" style="599" customWidth="1"/>
    <col min="11237" max="11238" width="6.25" style="599" customWidth="1"/>
    <col min="11239" max="11239" width="7.25" style="599" customWidth="1"/>
    <col min="11240" max="11240" width="5.83203125" style="599" customWidth="1"/>
    <col min="11241" max="11241" width="6.25" style="599" customWidth="1"/>
    <col min="11242" max="11246" width="6.83203125" style="599" customWidth="1"/>
    <col min="11247" max="11247" width="7.1640625" style="599" customWidth="1"/>
    <col min="11248" max="11249" width="7.4140625" style="599" customWidth="1"/>
    <col min="11250" max="11250" width="7.1640625" style="599" customWidth="1"/>
    <col min="11251" max="11251" width="5.1640625" style="599" customWidth="1"/>
    <col min="11252" max="11252" width="6.25" style="599" customWidth="1"/>
    <col min="11253" max="11253" width="6.4140625" style="599" customWidth="1"/>
    <col min="11254" max="11254" width="5.75" style="599" customWidth="1"/>
    <col min="11255" max="11255" width="6.25" style="599" customWidth="1"/>
    <col min="11256" max="11260" width="6.83203125" style="599" customWidth="1"/>
    <col min="11261" max="11261" width="6.58203125" style="599" customWidth="1"/>
    <col min="11262" max="11263" width="7.58203125" style="599" customWidth="1"/>
    <col min="11264" max="11485" width="9.1640625" style="599"/>
    <col min="11486" max="11486" width="3.4140625" style="599" customWidth="1"/>
    <col min="11487" max="11487" width="29.58203125" style="599" customWidth="1"/>
    <col min="11488" max="11488" width="8.1640625" style="599" customWidth="1"/>
    <col min="11489" max="11489" width="7.75" style="599" customWidth="1"/>
    <col min="11490" max="11490" width="5.83203125" style="599" customWidth="1"/>
    <col min="11491" max="11491" width="5.75" style="599" customWidth="1"/>
    <col min="11492" max="11492" width="5.58203125" style="599" customWidth="1"/>
    <col min="11493" max="11494" width="6.25" style="599" customWidth="1"/>
    <col min="11495" max="11495" width="7.25" style="599" customWidth="1"/>
    <col min="11496" max="11496" width="5.83203125" style="599" customWidth="1"/>
    <col min="11497" max="11497" width="6.25" style="599" customWidth="1"/>
    <col min="11498" max="11502" width="6.83203125" style="599" customWidth="1"/>
    <col min="11503" max="11503" width="7.1640625" style="599" customWidth="1"/>
    <col min="11504" max="11505" width="7.4140625" style="599" customWidth="1"/>
    <col min="11506" max="11506" width="7.1640625" style="599" customWidth="1"/>
    <col min="11507" max="11507" width="5.1640625" style="599" customWidth="1"/>
    <col min="11508" max="11508" width="6.25" style="599" customWidth="1"/>
    <col min="11509" max="11509" width="6.4140625" style="599" customWidth="1"/>
    <col min="11510" max="11510" width="5.75" style="599" customWidth="1"/>
    <col min="11511" max="11511" width="6.25" style="599" customWidth="1"/>
    <col min="11512" max="11516" width="6.83203125" style="599" customWidth="1"/>
    <col min="11517" max="11517" width="6.58203125" style="599" customWidth="1"/>
    <col min="11518" max="11519" width="7.58203125" style="599" customWidth="1"/>
    <col min="11520" max="11741" width="9.1640625" style="599"/>
    <col min="11742" max="11742" width="3.4140625" style="599" customWidth="1"/>
    <col min="11743" max="11743" width="29.58203125" style="599" customWidth="1"/>
    <col min="11744" max="11744" width="8.1640625" style="599" customWidth="1"/>
    <col min="11745" max="11745" width="7.75" style="599" customWidth="1"/>
    <col min="11746" max="11746" width="5.83203125" style="599" customWidth="1"/>
    <col min="11747" max="11747" width="5.75" style="599" customWidth="1"/>
    <col min="11748" max="11748" width="5.58203125" style="599" customWidth="1"/>
    <col min="11749" max="11750" width="6.25" style="599" customWidth="1"/>
    <col min="11751" max="11751" width="7.25" style="599" customWidth="1"/>
    <col min="11752" max="11752" width="5.83203125" style="599" customWidth="1"/>
    <col min="11753" max="11753" width="6.25" style="599" customWidth="1"/>
    <col min="11754" max="11758" width="6.83203125" style="599" customWidth="1"/>
    <col min="11759" max="11759" width="7.1640625" style="599" customWidth="1"/>
    <col min="11760" max="11761" width="7.4140625" style="599" customWidth="1"/>
    <col min="11762" max="11762" width="7.1640625" style="599" customWidth="1"/>
    <col min="11763" max="11763" width="5.1640625" style="599" customWidth="1"/>
    <col min="11764" max="11764" width="6.25" style="599" customWidth="1"/>
    <col min="11765" max="11765" width="6.4140625" style="599" customWidth="1"/>
    <col min="11766" max="11766" width="5.75" style="599" customWidth="1"/>
    <col min="11767" max="11767" width="6.25" style="599" customWidth="1"/>
    <col min="11768" max="11772" width="6.83203125" style="599" customWidth="1"/>
    <col min="11773" max="11773" width="6.58203125" style="599" customWidth="1"/>
    <col min="11774" max="11775" width="7.58203125" style="599" customWidth="1"/>
    <col min="11776" max="11997" width="9.1640625" style="599"/>
    <col min="11998" max="11998" width="3.4140625" style="599" customWidth="1"/>
    <col min="11999" max="11999" width="29.58203125" style="599" customWidth="1"/>
    <col min="12000" max="12000" width="8.1640625" style="599" customWidth="1"/>
    <col min="12001" max="12001" width="7.75" style="599" customWidth="1"/>
    <col min="12002" max="12002" width="5.83203125" style="599" customWidth="1"/>
    <col min="12003" max="12003" width="5.75" style="599" customWidth="1"/>
    <col min="12004" max="12004" width="5.58203125" style="599" customWidth="1"/>
    <col min="12005" max="12006" width="6.25" style="599" customWidth="1"/>
    <col min="12007" max="12007" width="7.25" style="599" customWidth="1"/>
    <col min="12008" max="12008" width="5.83203125" style="599" customWidth="1"/>
    <col min="12009" max="12009" width="6.25" style="599" customWidth="1"/>
    <col min="12010" max="12014" width="6.83203125" style="599" customWidth="1"/>
    <col min="12015" max="12015" width="7.1640625" style="599" customWidth="1"/>
    <col min="12016" max="12017" width="7.4140625" style="599" customWidth="1"/>
    <col min="12018" max="12018" width="7.1640625" style="599" customWidth="1"/>
    <col min="12019" max="12019" width="5.1640625" style="599" customWidth="1"/>
    <col min="12020" max="12020" width="6.25" style="599" customWidth="1"/>
    <col min="12021" max="12021" width="6.4140625" style="599" customWidth="1"/>
    <col min="12022" max="12022" width="5.75" style="599" customWidth="1"/>
    <col min="12023" max="12023" width="6.25" style="599" customWidth="1"/>
    <col min="12024" max="12028" width="6.83203125" style="599" customWidth="1"/>
    <col min="12029" max="12029" width="6.58203125" style="599" customWidth="1"/>
    <col min="12030" max="12031" width="7.58203125" style="599" customWidth="1"/>
    <col min="12032" max="12253" width="9.1640625" style="599"/>
    <col min="12254" max="12254" width="3.4140625" style="599" customWidth="1"/>
    <col min="12255" max="12255" width="29.58203125" style="599" customWidth="1"/>
    <col min="12256" max="12256" width="8.1640625" style="599" customWidth="1"/>
    <col min="12257" max="12257" width="7.75" style="599" customWidth="1"/>
    <col min="12258" max="12258" width="5.83203125" style="599" customWidth="1"/>
    <col min="12259" max="12259" width="5.75" style="599" customWidth="1"/>
    <col min="12260" max="12260" width="5.58203125" style="599" customWidth="1"/>
    <col min="12261" max="12262" width="6.25" style="599" customWidth="1"/>
    <col min="12263" max="12263" width="7.25" style="599" customWidth="1"/>
    <col min="12264" max="12264" width="5.83203125" style="599" customWidth="1"/>
    <col min="12265" max="12265" width="6.25" style="599" customWidth="1"/>
    <col min="12266" max="12270" width="6.83203125" style="599" customWidth="1"/>
    <col min="12271" max="12271" width="7.1640625" style="599" customWidth="1"/>
    <col min="12272" max="12273" width="7.4140625" style="599" customWidth="1"/>
    <col min="12274" max="12274" width="7.1640625" style="599" customWidth="1"/>
    <col min="12275" max="12275" width="5.1640625" style="599" customWidth="1"/>
    <col min="12276" max="12276" width="6.25" style="599" customWidth="1"/>
    <col min="12277" max="12277" width="6.4140625" style="599" customWidth="1"/>
    <col min="12278" max="12278" width="5.75" style="599" customWidth="1"/>
    <col min="12279" max="12279" width="6.25" style="599" customWidth="1"/>
    <col min="12280" max="12284" width="6.83203125" style="599" customWidth="1"/>
    <col min="12285" max="12285" width="6.58203125" style="599" customWidth="1"/>
    <col min="12286" max="12287" width="7.58203125" style="599" customWidth="1"/>
    <col min="12288" max="12509" width="9.1640625" style="599"/>
    <col min="12510" max="12510" width="3.4140625" style="599" customWidth="1"/>
    <col min="12511" max="12511" width="29.58203125" style="599" customWidth="1"/>
    <col min="12512" max="12512" width="8.1640625" style="599" customWidth="1"/>
    <col min="12513" max="12513" width="7.75" style="599" customWidth="1"/>
    <col min="12514" max="12514" width="5.83203125" style="599" customWidth="1"/>
    <col min="12515" max="12515" width="5.75" style="599" customWidth="1"/>
    <col min="12516" max="12516" width="5.58203125" style="599" customWidth="1"/>
    <col min="12517" max="12518" width="6.25" style="599" customWidth="1"/>
    <col min="12519" max="12519" width="7.25" style="599" customWidth="1"/>
    <col min="12520" max="12520" width="5.83203125" style="599" customWidth="1"/>
    <col min="12521" max="12521" width="6.25" style="599" customWidth="1"/>
    <col min="12522" max="12526" width="6.83203125" style="599" customWidth="1"/>
    <col min="12527" max="12527" width="7.1640625" style="599" customWidth="1"/>
    <col min="12528" max="12529" width="7.4140625" style="599" customWidth="1"/>
    <col min="12530" max="12530" width="7.1640625" style="599" customWidth="1"/>
    <col min="12531" max="12531" width="5.1640625" style="599" customWidth="1"/>
    <col min="12532" max="12532" width="6.25" style="599" customWidth="1"/>
    <col min="12533" max="12533" width="6.4140625" style="599" customWidth="1"/>
    <col min="12534" max="12534" width="5.75" style="599" customWidth="1"/>
    <col min="12535" max="12535" width="6.25" style="599" customWidth="1"/>
    <col min="12536" max="12540" width="6.83203125" style="599" customWidth="1"/>
    <col min="12541" max="12541" width="6.58203125" style="599" customWidth="1"/>
    <col min="12542" max="12543" width="7.58203125" style="599" customWidth="1"/>
    <col min="12544" max="12765" width="9.1640625" style="599"/>
    <col min="12766" max="12766" width="3.4140625" style="599" customWidth="1"/>
    <col min="12767" max="12767" width="29.58203125" style="599" customWidth="1"/>
    <col min="12768" max="12768" width="8.1640625" style="599" customWidth="1"/>
    <col min="12769" max="12769" width="7.75" style="599" customWidth="1"/>
    <col min="12770" max="12770" width="5.83203125" style="599" customWidth="1"/>
    <col min="12771" max="12771" width="5.75" style="599" customWidth="1"/>
    <col min="12772" max="12772" width="5.58203125" style="599" customWidth="1"/>
    <col min="12773" max="12774" width="6.25" style="599" customWidth="1"/>
    <col min="12775" max="12775" width="7.25" style="599" customWidth="1"/>
    <col min="12776" max="12776" width="5.83203125" style="599" customWidth="1"/>
    <col min="12777" max="12777" width="6.25" style="599" customWidth="1"/>
    <col min="12778" max="12782" width="6.83203125" style="599" customWidth="1"/>
    <col min="12783" max="12783" width="7.1640625" style="599" customWidth="1"/>
    <col min="12784" max="12785" width="7.4140625" style="599" customWidth="1"/>
    <col min="12786" max="12786" width="7.1640625" style="599" customWidth="1"/>
    <col min="12787" max="12787" width="5.1640625" style="599" customWidth="1"/>
    <col min="12788" max="12788" width="6.25" style="599" customWidth="1"/>
    <col min="12789" max="12789" width="6.4140625" style="599" customWidth="1"/>
    <col min="12790" max="12790" width="5.75" style="599" customWidth="1"/>
    <col min="12791" max="12791" width="6.25" style="599" customWidth="1"/>
    <col min="12792" max="12796" width="6.83203125" style="599" customWidth="1"/>
    <col min="12797" max="12797" width="6.58203125" style="599" customWidth="1"/>
    <col min="12798" max="12799" width="7.58203125" style="599" customWidth="1"/>
    <col min="12800" max="13021" width="9.1640625" style="599"/>
    <col min="13022" max="13022" width="3.4140625" style="599" customWidth="1"/>
    <col min="13023" max="13023" width="29.58203125" style="599" customWidth="1"/>
    <col min="13024" max="13024" width="8.1640625" style="599" customWidth="1"/>
    <col min="13025" max="13025" width="7.75" style="599" customWidth="1"/>
    <col min="13026" max="13026" width="5.83203125" style="599" customWidth="1"/>
    <col min="13027" max="13027" width="5.75" style="599" customWidth="1"/>
    <col min="13028" max="13028" width="5.58203125" style="599" customWidth="1"/>
    <col min="13029" max="13030" width="6.25" style="599" customWidth="1"/>
    <col min="13031" max="13031" width="7.25" style="599" customWidth="1"/>
    <col min="13032" max="13032" width="5.83203125" style="599" customWidth="1"/>
    <col min="13033" max="13033" width="6.25" style="599" customWidth="1"/>
    <col min="13034" max="13038" width="6.83203125" style="599" customWidth="1"/>
    <col min="13039" max="13039" width="7.1640625" style="599" customWidth="1"/>
    <col min="13040" max="13041" width="7.4140625" style="599" customWidth="1"/>
    <col min="13042" max="13042" width="7.1640625" style="599" customWidth="1"/>
    <col min="13043" max="13043" width="5.1640625" style="599" customWidth="1"/>
    <col min="13044" max="13044" width="6.25" style="599" customWidth="1"/>
    <col min="13045" max="13045" width="6.4140625" style="599" customWidth="1"/>
    <col min="13046" max="13046" width="5.75" style="599" customWidth="1"/>
    <col min="13047" max="13047" width="6.25" style="599" customWidth="1"/>
    <col min="13048" max="13052" width="6.83203125" style="599" customWidth="1"/>
    <col min="13053" max="13053" width="6.58203125" style="599" customWidth="1"/>
    <col min="13054" max="13055" width="7.58203125" style="599" customWidth="1"/>
    <col min="13056" max="13277" width="9.1640625" style="599"/>
    <col min="13278" max="13278" width="3.4140625" style="599" customWidth="1"/>
    <col min="13279" max="13279" width="29.58203125" style="599" customWidth="1"/>
    <col min="13280" max="13280" width="8.1640625" style="599" customWidth="1"/>
    <col min="13281" max="13281" width="7.75" style="599" customWidth="1"/>
    <col min="13282" max="13282" width="5.83203125" style="599" customWidth="1"/>
    <col min="13283" max="13283" width="5.75" style="599" customWidth="1"/>
    <col min="13284" max="13284" width="5.58203125" style="599" customWidth="1"/>
    <col min="13285" max="13286" width="6.25" style="599" customWidth="1"/>
    <col min="13287" max="13287" width="7.25" style="599" customWidth="1"/>
    <col min="13288" max="13288" width="5.83203125" style="599" customWidth="1"/>
    <col min="13289" max="13289" width="6.25" style="599" customWidth="1"/>
    <col min="13290" max="13294" width="6.83203125" style="599" customWidth="1"/>
    <col min="13295" max="13295" width="7.1640625" style="599" customWidth="1"/>
    <col min="13296" max="13297" width="7.4140625" style="599" customWidth="1"/>
    <col min="13298" max="13298" width="7.1640625" style="599" customWidth="1"/>
    <col min="13299" max="13299" width="5.1640625" style="599" customWidth="1"/>
    <col min="13300" max="13300" width="6.25" style="599" customWidth="1"/>
    <col min="13301" max="13301" width="6.4140625" style="599" customWidth="1"/>
    <col min="13302" max="13302" width="5.75" style="599" customWidth="1"/>
    <col min="13303" max="13303" width="6.25" style="599" customWidth="1"/>
    <col min="13304" max="13308" width="6.83203125" style="599" customWidth="1"/>
    <col min="13309" max="13309" width="6.58203125" style="599" customWidth="1"/>
    <col min="13310" max="13311" width="7.58203125" style="599" customWidth="1"/>
    <col min="13312" max="13533" width="9.1640625" style="599"/>
    <col min="13534" max="13534" width="3.4140625" style="599" customWidth="1"/>
    <col min="13535" max="13535" width="29.58203125" style="599" customWidth="1"/>
    <col min="13536" max="13536" width="8.1640625" style="599" customWidth="1"/>
    <col min="13537" max="13537" width="7.75" style="599" customWidth="1"/>
    <col min="13538" max="13538" width="5.83203125" style="599" customWidth="1"/>
    <col min="13539" max="13539" width="5.75" style="599" customWidth="1"/>
    <col min="13540" max="13540" width="5.58203125" style="599" customWidth="1"/>
    <col min="13541" max="13542" width="6.25" style="599" customWidth="1"/>
    <col min="13543" max="13543" width="7.25" style="599" customWidth="1"/>
    <col min="13544" max="13544" width="5.83203125" style="599" customWidth="1"/>
    <col min="13545" max="13545" width="6.25" style="599" customWidth="1"/>
    <col min="13546" max="13550" width="6.83203125" style="599" customWidth="1"/>
    <col min="13551" max="13551" width="7.1640625" style="599" customWidth="1"/>
    <col min="13552" max="13553" width="7.4140625" style="599" customWidth="1"/>
    <col min="13554" max="13554" width="7.1640625" style="599" customWidth="1"/>
    <col min="13555" max="13555" width="5.1640625" style="599" customWidth="1"/>
    <col min="13556" max="13556" width="6.25" style="599" customWidth="1"/>
    <col min="13557" max="13557" width="6.4140625" style="599" customWidth="1"/>
    <col min="13558" max="13558" width="5.75" style="599" customWidth="1"/>
    <col min="13559" max="13559" width="6.25" style="599" customWidth="1"/>
    <col min="13560" max="13564" width="6.83203125" style="599" customWidth="1"/>
    <col min="13565" max="13565" width="6.58203125" style="599" customWidth="1"/>
    <col min="13566" max="13567" width="7.58203125" style="599" customWidth="1"/>
    <col min="13568" max="13789" width="9.1640625" style="599"/>
    <col min="13790" max="13790" width="3.4140625" style="599" customWidth="1"/>
    <col min="13791" max="13791" width="29.58203125" style="599" customWidth="1"/>
    <col min="13792" max="13792" width="8.1640625" style="599" customWidth="1"/>
    <col min="13793" max="13793" width="7.75" style="599" customWidth="1"/>
    <col min="13794" max="13794" width="5.83203125" style="599" customWidth="1"/>
    <col min="13795" max="13795" width="5.75" style="599" customWidth="1"/>
    <col min="13796" max="13796" width="5.58203125" style="599" customWidth="1"/>
    <col min="13797" max="13798" width="6.25" style="599" customWidth="1"/>
    <col min="13799" max="13799" width="7.25" style="599" customWidth="1"/>
    <col min="13800" max="13800" width="5.83203125" style="599" customWidth="1"/>
    <col min="13801" max="13801" width="6.25" style="599" customWidth="1"/>
    <col min="13802" max="13806" width="6.83203125" style="599" customWidth="1"/>
    <col min="13807" max="13807" width="7.1640625" style="599" customWidth="1"/>
    <col min="13808" max="13809" width="7.4140625" style="599" customWidth="1"/>
    <col min="13810" max="13810" width="7.1640625" style="599" customWidth="1"/>
    <col min="13811" max="13811" width="5.1640625" style="599" customWidth="1"/>
    <col min="13812" max="13812" width="6.25" style="599" customWidth="1"/>
    <col min="13813" max="13813" width="6.4140625" style="599" customWidth="1"/>
    <col min="13814" max="13814" width="5.75" style="599" customWidth="1"/>
    <col min="13815" max="13815" width="6.25" style="599" customWidth="1"/>
    <col min="13816" max="13820" width="6.83203125" style="599" customWidth="1"/>
    <col min="13821" max="13821" width="6.58203125" style="599" customWidth="1"/>
    <col min="13822" max="13823" width="7.58203125" style="599" customWidth="1"/>
    <col min="13824" max="14045" width="9.1640625" style="599"/>
    <col min="14046" max="14046" width="3.4140625" style="599" customWidth="1"/>
    <col min="14047" max="14047" width="29.58203125" style="599" customWidth="1"/>
    <col min="14048" max="14048" width="8.1640625" style="599" customWidth="1"/>
    <col min="14049" max="14049" width="7.75" style="599" customWidth="1"/>
    <col min="14050" max="14050" width="5.83203125" style="599" customWidth="1"/>
    <col min="14051" max="14051" width="5.75" style="599" customWidth="1"/>
    <col min="14052" max="14052" width="5.58203125" style="599" customWidth="1"/>
    <col min="14053" max="14054" width="6.25" style="599" customWidth="1"/>
    <col min="14055" max="14055" width="7.25" style="599" customWidth="1"/>
    <col min="14056" max="14056" width="5.83203125" style="599" customWidth="1"/>
    <col min="14057" max="14057" width="6.25" style="599" customWidth="1"/>
    <col min="14058" max="14062" width="6.83203125" style="599" customWidth="1"/>
    <col min="14063" max="14063" width="7.1640625" style="599" customWidth="1"/>
    <col min="14064" max="14065" width="7.4140625" style="599" customWidth="1"/>
    <col min="14066" max="14066" width="7.1640625" style="599" customWidth="1"/>
    <col min="14067" max="14067" width="5.1640625" style="599" customWidth="1"/>
    <col min="14068" max="14068" width="6.25" style="599" customWidth="1"/>
    <col min="14069" max="14069" width="6.4140625" style="599" customWidth="1"/>
    <col min="14070" max="14070" width="5.75" style="599" customWidth="1"/>
    <col min="14071" max="14071" width="6.25" style="599" customWidth="1"/>
    <col min="14072" max="14076" width="6.83203125" style="599" customWidth="1"/>
    <col min="14077" max="14077" width="6.58203125" style="599" customWidth="1"/>
    <col min="14078" max="14079" width="7.58203125" style="599" customWidth="1"/>
    <col min="14080" max="14301" width="9.1640625" style="599"/>
    <col min="14302" max="14302" width="3.4140625" style="599" customWidth="1"/>
    <col min="14303" max="14303" width="29.58203125" style="599" customWidth="1"/>
    <col min="14304" max="14304" width="8.1640625" style="599" customWidth="1"/>
    <col min="14305" max="14305" width="7.75" style="599" customWidth="1"/>
    <col min="14306" max="14306" width="5.83203125" style="599" customWidth="1"/>
    <col min="14307" max="14307" width="5.75" style="599" customWidth="1"/>
    <col min="14308" max="14308" width="5.58203125" style="599" customWidth="1"/>
    <col min="14309" max="14310" width="6.25" style="599" customWidth="1"/>
    <col min="14311" max="14311" width="7.25" style="599" customWidth="1"/>
    <col min="14312" max="14312" width="5.83203125" style="599" customWidth="1"/>
    <col min="14313" max="14313" width="6.25" style="599" customWidth="1"/>
    <col min="14314" max="14318" width="6.83203125" style="599" customWidth="1"/>
    <col min="14319" max="14319" width="7.1640625" style="599" customWidth="1"/>
    <col min="14320" max="14321" width="7.4140625" style="599" customWidth="1"/>
    <col min="14322" max="14322" width="7.1640625" style="599" customWidth="1"/>
    <col min="14323" max="14323" width="5.1640625" style="599" customWidth="1"/>
    <col min="14324" max="14324" width="6.25" style="599" customWidth="1"/>
    <col min="14325" max="14325" width="6.4140625" style="599" customWidth="1"/>
    <col min="14326" max="14326" width="5.75" style="599" customWidth="1"/>
    <col min="14327" max="14327" width="6.25" style="599" customWidth="1"/>
    <col min="14328" max="14332" width="6.83203125" style="599" customWidth="1"/>
    <col min="14333" max="14333" width="6.58203125" style="599" customWidth="1"/>
    <col min="14334" max="14335" width="7.58203125" style="599" customWidth="1"/>
    <col min="14336" max="14557" width="9.1640625" style="599"/>
    <col min="14558" max="14558" width="3.4140625" style="599" customWidth="1"/>
    <col min="14559" max="14559" width="29.58203125" style="599" customWidth="1"/>
    <col min="14560" max="14560" width="8.1640625" style="599" customWidth="1"/>
    <col min="14561" max="14561" width="7.75" style="599" customWidth="1"/>
    <col min="14562" max="14562" width="5.83203125" style="599" customWidth="1"/>
    <col min="14563" max="14563" width="5.75" style="599" customWidth="1"/>
    <col min="14564" max="14564" width="5.58203125" style="599" customWidth="1"/>
    <col min="14565" max="14566" width="6.25" style="599" customWidth="1"/>
    <col min="14567" max="14567" width="7.25" style="599" customWidth="1"/>
    <col min="14568" max="14568" width="5.83203125" style="599" customWidth="1"/>
    <col min="14569" max="14569" width="6.25" style="599" customWidth="1"/>
    <col min="14570" max="14574" width="6.83203125" style="599" customWidth="1"/>
    <col min="14575" max="14575" width="7.1640625" style="599" customWidth="1"/>
    <col min="14576" max="14577" width="7.4140625" style="599" customWidth="1"/>
    <col min="14578" max="14578" width="7.1640625" style="599" customWidth="1"/>
    <col min="14579" max="14579" width="5.1640625" style="599" customWidth="1"/>
    <col min="14580" max="14580" width="6.25" style="599" customWidth="1"/>
    <col min="14581" max="14581" width="6.4140625" style="599" customWidth="1"/>
    <col min="14582" max="14582" width="5.75" style="599" customWidth="1"/>
    <col min="14583" max="14583" width="6.25" style="599" customWidth="1"/>
    <col min="14584" max="14588" width="6.83203125" style="599" customWidth="1"/>
    <col min="14589" max="14589" width="6.58203125" style="599" customWidth="1"/>
    <col min="14590" max="14591" width="7.58203125" style="599" customWidth="1"/>
    <col min="14592" max="14813" width="9.1640625" style="599"/>
    <col min="14814" max="14814" width="3.4140625" style="599" customWidth="1"/>
    <col min="14815" max="14815" width="29.58203125" style="599" customWidth="1"/>
    <col min="14816" max="14816" width="8.1640625" style="599" customWidth="1"/>
    <col min="14817" max="14817" width="7.75" style="599" customWidth="1"/>
    <col min="14818" max="14818" width="5.83203125" style="599" customWidth="1"/>
    <col min="14819" max="14819" width="5.75" style="599" customWidth="1"/>
    <col min="14820" max="14820" width="5.58203125" style="599" customWidth="1"/>
    <col min="14821" max="14822" width="6.25" style="599" customWidth="1"/>
    <col min="14823" max="14823" width="7.25" style="599" customWidth="1"/>
    <col min="14824" max="14824" width="5.83203125" style="599" customWidth="1"/>
    <col min="14825" max="14825" width="6.25" style="599" customWidth="1"/>
    <col min="14826" max="14830" width="6.83203125" style="599" customWidth="1"/>
    <col min="14831" max="14831" width="7.1640625" style="599" customWidth="1"/>
    <col min="14832" max="14833" width="7.4140625" style="599" customWidth="1"/>
    <col min="14834" max="14834" width="7.1640625" style="599" customWidth="1"/>
    <col min="14835" max="14835" width="5.1640625" style="599" customWidth="1"/>
    <col min="14836" max="14836" width="6.25" style="599" customWidth="1"/>
    <col min="14837" max="14837" width="6.4140625" style="599" customWidth="1"/>
    <col min="14838" max="14838" width="5.75" style="599" customWidth="1"/>
    <col min="14839" max="14839" width="6.25" style="599" customWidth="1"/>
    <col min="14840" max="14844" width="6.83203125" style="599" customWidth="1"/>
    <col min="14845" max="14845" width="6.58203125" style="599" customWidth="1"/>
    <col min="14846" max="14847" width="7.58203125" style="599" customWidth="1"/>
    <col min="14848" max="15069" width="9.1640625" style="599"/>
    <col min="15070" max="15070" width="3.4140625" style="599" customWidth="1"/>
    <col min="15071" max="15071" width="29.58203125" style="599" customWidth="1"/>
    <col min="15072" max="15072" width="8.1640625" style="599" customWidth="1"/>
    <col min="15073" max="15073" width="7.75" style="599" customWidth="1"/>
    <col min="15074" max="15074" width="5.83203125" style="599" customWidth="1"/>
    <col min="15075" max="15075" width="5.75" style="599" customWidth="1"/>
    <col min="15076" max="15076" width="5.58203125" style="599" customWidth="1"/>
    <col min="15077" max="15078" width="6.25" style="599" customWidth="1"/>
    <col min="15079" max="15079" width="7.25" style="599" customWidth="1"/>
    <col min="15080" max="15080" width="5.83203125" style="599" customWidth="1"/>
    <col min="15081" max="15081" width="6.25" style="599" customWidth="1"/>
    <col min="15082" max="15086" width="6.83203125" style="599" customWidth="1"/>
    <col min="15087" max="15087" width="7.1640625" style="599" customWidth="1"/>
    <col min="15088" max="15089" width="7.4140625" style="599" customWidth="1"/>
    <col min="15090" max="15090" width="7.1640625" style="599" customWidth="1"/>
    <col min="15091" max="15091" width="5.1640625" style="599" customWidth="1"/>
    <col min="15092" max="15092" width="6.25" style="599" customWidth="1"/>
    <col min="15093" max="15093" width="6.4140625" style="599" customWidth="1"/>
    <col min="15094" max="15094" width="5.75" style="599" customWidth="1"/>
    <col min="15095" max="15095" width="6.25" style="599" customWidth="1"/>
    <col min="15096" max="15100" width="6.83203125" style="599" customWidth="1"/>
    <col min="15101" max="15101" width="6.58203125" style="599" customWidth="1"/>
    <col min="15102" max="15103" width="7.58203125" style="599" customWidth="1"/>
    <col min="15104" max="15325" width="9.1640625" style="599"/>
    <col min="15326" max="15326" width="3.4140625" style="599" customWidth="1"/>
    <col min="15327" max="15327" width="29.58203125" style="599" customWidth="1"/>
    <col min="15328" max="15328" width="8.1640625" style="599" customWidth="1"/>
    <col min="15329" max="15329" width="7.75" style="599" customWidth="1"/>
    <col min="15330" max="15330" width="5.83203125" style="599" customWidth="1"/>
    <col min="15331" max="15331" width="5.75" style="599" customWidth="1"/>
    <col min="15332" max="15332" width="5.58203125" style="599" customWidth="1"/>
    <col min="15333" max="15334" width="6.25" style="599" customWidth="1"/>
    <col min="15335" max="15335" width="7.25" style="599" customWidth="1"/>
    <col min="15336" max="15336" width="5.83203125" style="599" customWidth="1"/>
    <col min="15337" max="15337" width="6.25" style="599" customWidth="1"/>
    <col min="15338" max="15342" width="6.83203125" style="599" customWidth="1"/>
    <col min="15343" max="15343" width="7.1640625" style="599" customWidth="1"/>
    <col min="15344" max="15345" width="7.4140625" style="599" customWidth="1"/>
    <col min="15346" max="15346" width="7.1640625" style="599" customWidth="1"/>
    <col min="15347" max="15347" width="5.1640625" style="599" customWidth="1"/>
    <col min="15348" max="15348" width="6.25" style="599" customWidth="1"/>
    <col min="15349" max="15349" width="6.4140625" style="599" customWidth="1"/>
    <col min="15350" max="15350" width="5.75" style="599" customWidth="1"/>
    <col min="15351" max="15351" width="6.25" style="599" customWidth="1"/>
    <col min="15352" max="15356" width="6.83203125" style="599" customWidth="1"/>
    <col min="15357" max="15357" width="6.58203125" style="599" customWidth="1"/>
    <col min="15358" max="15359" width="7.58203125" style="599" customWidth="1"/>
    <col min="15360" max="15581" width="9.1640625" style="599"/>
    <col min="15582" max="15582" width="3.4140625" style="599" customWidth="1"/>
    <col min="15583" max="15583" width="29.58203125" style="599" customWidth="1"/>
    <col min="15584" max="15584" width="8.1640625" style="599" customWidth="1"/>
    <col min="15585" max="15585" width="7.75" style="599" customWidth="1"/>
    <col min="15586" max="15586" width="5.83203125" style="599" customWidth="1"/>
    <col min="15587" max="15587" width="5.75" style="599" customWidth="1"/>
    <col min="15588" max="15588" width="5.58203125" style="599" customWidth="1"/>
    <col min="15589" max="15590" width="6.25" style="599" customWidth="1"/>
    <col min="15591" max="15591" width="7.25" style="599" customWidth="1"/>
    <col min="15592" max="15592" width="5.83203125" style="599" customWidth="1"/>
    <col min="15593" max="15593" width="6.25" style="599" customWidth="1"/>
    <col min="15594" max="15598" width="6.83203125" style="599" customWidth="1"/>
    <col min="15599" max="15599" width="7.1640625" style="599" customWidth="1"/>
    <col min="15600" max="15601" width="7.4140625" style="599" customWidth="1"/>
    <col min="15602" max="15602" width="7.1640625" style="599" customWidth="1"/>
    <col min="15603" max="15603" width="5.1640625" style="599" customWidth="1"/>
    <col min="15604" max="15604" width="6.25" style="599" customWidth="1"/>
    <col min="15605" max="15605" width="6.4140625" style="599" customWidth="1"/>
    <col min="15606" max="15606" width="5.75" style="599" customWidth="1"/>
    <col min="15607" max="15607" width="6.25" style="599" customWidth="1"/>
    <col min="15608" max="15612" width="6.83203125" style="599" customWidth="1"/>
    <col min="15613" max="15613" width="6.58203125" style="599" customWidth="1"/>
    <col min="15614" max="15615" width="7.58203125" style="599" customWidth="1"/>
    <col min="15616" max="15837" width="9.1640625" style="599"/>
    <col min="15838" max="15838" width="3.4140625" style="599" customWidth="1"/>
    <col min="15839" max="15839" width="29.58203125" style="599" customWidth="1"/>
    <col min="15840" max="15840" width="8.1640625" style="599" customWidth="1"/>
    <col min="15841" max="15841" width="7.75" style="599" customWidth="1"/>
    <col min="15842" max="15842" width="5.83203125" style="599" customWidth="1"/>
    <col min="15843" max="15843" width="5.75" style="599" customWidth="1"/>
    <col min="15844" max="15844" width="5.58203125" style="599" customWidth="1"/>
    <col min="15845" max="15846" width="6.25" style="599" customWidth="1"/>
    <col min="15847" max="15847" width="7.25" style="599" customWidth="1"/>
    <col min="15848" max="15848" width="5.83203125" style="599" customWidth="1"/>
    <col min="15849" max="15849" width="6.25" style="599" customWidth="1"/>
    <col min="15850" max="15854" width="6.83203125" style="599" customWidth="1"/>
    <col min="15855" max="15855" width="7.1640625" style="599" customWidth="1"/>
    <col min="15856" max="15857" width="7.4140625" style="599" customWidth="1"/>
    <col min="15858" max="15858" width="7.1640625" style="599" customWidth="1"/>
    <col min="15859" max="15859" width="5.1640625" style="599" customWidth="1"/>
    <col min="15860" max="15860" width="6.25" style="599" customWidth="1"/>
    <col min="15861" max="15861" width="6.4140625" style="599" customWidth="1"/>
    <col min="15862" max="15862" width="5.75" style="599" customWidth="1"/>
    <col min="15863" max="15863" width="6.25" style="599" customWidth="1"/>
    <col min="15864" max="15868" width="6.83203125" style="599" customWidth="1"/>
    <col min="15869" max="15869" width="6.58203125" style="599" customWidth="1"/>
    <col min="15870" max="15871" width="7.58203125" style="599" customWidth="1"/>
    <col min="15872" max="16093" width="9.1640625" style="599"/>
    <col min="16094" max="16094" width="3.4140625" style="599" customWidth="1"/>
    <col min="16095" max="16095" width="29.58203125" style="599" customWidth="1"/>
    <col min="16096" max="16096" width="8.1640625" style="599" customWidth="1"/>
    <col min="16097" max="16097" width="7.75" style="599" customWidth="1"/>
    <col min="16098" max="16098" width="5.83203125" style="599" customWidth="1"/>
    <col min="16099" max="16099" width="5.75" style="599" customWidth="1"/>
    <col min="16100" max="16100" width="5.58203125" style="599" customWidth="1"/>
    <col min="16101" max="16102" width="6.25" style="599" customWidth="1"/>
    <col min="16103" max="16103" width="7.25" style="599" customWidth="1"/>
    <col min="16104" max="16104" width="5.83203125" style="599" customWidth="1"/>
    <col min="16105" max="16105" width="6.25" style="599" customWidth="1"/>
    <col min="16106" max="16110" width="6.83203125" style="599" customWidth="1"/>
    <col min="16111" max="16111" width="7.1640625" style="599" customWidth="1"/>
    <col min="16112" max="16113" width="7.4140625" style="599" customWidth="1"/>
    <col min="16114" max="16114" width="7.1640625" style="599" customWidth="1"/>
    <col min="16115" max="16115" width="5.1640625" style="599" customWidth="1"/>
    <col min="16116" max="16116" width="6.25" style="599" customWidth="1"/>
    <col min="16117" max="16117" width="6.4140625" style="599" customWidth="1"/>
    <col min="16118" max="16118" width="5.75" style="599" customWidth="1"/>
    <col min="16119" max="16119" width="6.25" style="599" customWidth="1"/>
    <col min="16120" max="16124" width="6.83203125" style="599" customWidth="1"/>
    <col min="16125" max="16125" width="6.58203125" style="599" customWidth="1"/>
    <col min="16126" max="16127" width="7.58203125" style="599" customWidth="1"/>
    <col min="16128" max="16384" width="9.1640625" style="599"/>
  </cols>
  <sheetData>
    <row r="1" spans="1:16" ht="13.5">
      <c r="M1" s="872" t="s">
        <v>433</v>
      </c>
      <c r="N1" s="872"/>
    </row>
    <row r="2" spans="1:16" ht="36" customHeight="1">
      <c r="A2" s="874" t="s">
        <v>553</v>
      </c>
      <c r="B2" s="874"/>
      <c r="C2" s="874"/>
      <c r="D2" s="874"/>
      <c r="E2" s="874"/>
      <c r="F2" s="874"/>
      <c r="G2" s="874"/>
      <c r="H2" s="874"/>
      <c r="I2" s="874"/>
      <c r="J2" s="874"/>
      <c r="K2" s="874"/>
      <c r="L2" s="874"/>
      <c r="M2" s="874"/>
      <c r="N2" s="874"/>
    </row>
    <row r="3" spans="1:16" ht="15.75" customHeight="1">
      <c r="A3" s="875" t="str">
        <f>'TỔNG HỢP'!A3:D3</f>
        <v>(Kèm theo Tờ trình số         /TTr-UBND ngày       /12/2024 của UBND huyện Na Rì)</v>
      </c>
      <c r="B3" s="875"/>
      <c r="C3" s="875"/>
      <c r="D3" s="875"/>
      <c r="E3" s="875"/>
      <c r="F3" s="875"/>
      <c r="G3" s="875"/>
      <c r="H3" s="875"/>
      <c r="I3" s="875"/>
      <c r="J3" s="875"/>
      <c r="K3" s="875"/>
      <c r="L3" s="875"/>
      <c r="M3" s="875"/>
      <c r="N3" s="875"/>
    </row>
    <row r="4" spans="1:16" ht="12.75" customHeight="1">
      <c r="K4" s="672"/>
      <c r="L4" s="873" t="s">
        <v>235</v>
      </c>
      <c r="M4" s="873"/>
    </row>
    <row r="5" spans="1:16" ht="21.75" customHeight="1">
      <c r="A5" s="876" t="s">
        <v>493</v>
      </c>
      <c r="B5" s="876" t="s">
        <v>57</v>
      </c>
      <c r="C5" s="870" t="s">
        <v>492</v>
      </c>
      <c r="D5" s="877" t="s">
        <v>491</v>
      </c>
      <c r="E5" s="877"/>
      <c r="F5" s="877"/>
      <c r="G5" s="877"/>
      <c r="H5" s="877"/>
      <c r="I5" s="877"/>
      <c r="J5" s="878" t="s">
        <v>490</v>
      </c>
      <c r="K5" s="880" t="s">
        <v>489</v>
      </c>
      <c r="L5" s="881" t="s">
        <v>549</v>
      </c>
      <c r="M5" s="870" t="s">
        <v>557</v>
      </c>
      <c r="N5" s="870" t="s">
        <v>561</v>
      </c>
    </row>
    <row r="6" spans="1:16" ht="64.5" customHeight="1">
      <c r="A6" s="876"/>
      <c r="B6" s="876"/>
      <c r="C6" s="871"/>
      <c r="D6" s="628" t="s">
        <v>548</v>
      </c>
      <c r="E6" s="628" t="s">
        <v>486</v>
      </c>
      <c r="F6" s="628" t="s">
        <v>485</v>
      </c>
      <c r="G6" s="628" t="s">
        <v>481</v>
      </c>
      <c r="H6" s="628" t="s">
        <v>569</v>
      </c>
      <c r="I6" s="628" t="s">
        <v>570</v>
      </c>
      <c r="J6" s="879"/>
      <c r="K6" s="880"/>
      <c r="L6" s="881"/>
      <c r="M6" s="871"/>
      <c r="N6" s="871"/>
    </row>
    <row r="7" spans="1:16" s="624" customFormat="1" ht="17.25" customHeight="1">
      <c r="A7" s="626" t="s">
        <v>188</v>
      </c>
      <c r="B7" s="626" t="s">
        <v>186</v>
      </c>
      <c r="C7" s="626" t="s">
        <v>547</v>
      </c>
      <c r="D7" s="625" t="s">
        <v>546</v>
      </c>
      <c r="E7" s="625">
        <v>5</v>
      </c>
      <c r="F7" s="625">
        <v>6</v>
      </c>
      <c r="G7" s="625">
        <v>7</v>
      </c>
      <c r="H7" s="625">
        <v>8</v>
      </c>
      <c r="I7" s="625">
        <v>9</v>
      </c>
      <c r="J7" s="625">
        <v>10</v>
      </c>
      <c r="K7" s="625" t="s">
        <v>545</v>
      </c>
      <c r="L7" s="625">
        <v>12</v>
      </c>
      <c r="M7" s="662" t="s">
        <v>560</v>
      </c>
      <c r="N7" s="662" t="s">
        <v>559</v>
      </c>
    </row>
    <row r="8" spans="1:16" ht="25.5" customHeight="1">
      <c r="A8" s="623"/>
      <c r="B8" s="623" t="s">
        <v>14</v>
      </c>
      <c r="C8" s="648">
        <f t="shared" ref="C8:L8" si="0">C9+C30+C33+C35+C37+C49+C56</f>
        <v>29155464.149999999</v>
      </c>
      <c r="D8" s="648">
        <f t="shared" si="0"/>
        <v>27736439.149999999</v>
      </c>
      <c r="E8" s="648">
        <f t="shared" si="0"/>
        <v>34992</v>
      </c>
      <c r="F8" s="648">
        <f t="shared" si="0"/>
        <v>64152</v>
      </c>
      <c r="G8" s="648">
        <f t="shared" si="0"/>
        <v>84240</v>
      </c>
      <c r="H8" s="648">
        <f t="shared" si="0"/>
        <v>216000</v>
      </c>
      <c r="I8" s="648">
        <f t="shared" si="0"/>
        <v>1019641</v>
      </c>
      <c r="J8" s="648">
        <f t="shared" si="0"/>
        <v>1254124.534</v>
      </c>
      <c r="K8" s="648">
        <f t="shared" si="0"/>
        <v>27901339.615999997</v>
      </c>
      <c r="L8" s="665">
        <f t="shared" si="0"/>
        <v>12266396.473999999</v>
      </c>
      <c r="M8" s="665">
        <f t="shared" ref="M8" si="1">M9+M30+M33+M35+M37+M49+M56</f>
        <v>15634942</v>
      </c>
      <c r="N8" s="665">
        <f>N9+N30+N33+N35+N37+N49+N56</f>
        <v>15634942</v>
      </c>
      <c r="O8" s="621"/>
      <c r="P8" s="675"/>
    </row>
    <row r="9" spans="1:16" s="644" customFormat="1" ht="22" customHeight="1">
      <c r="A9" s="647" t="s">
        <v>2</v>
      </c>
      <c r="B9" s="646" t="s">
        <v>544</v>
      </c>
      <c r="C9" s="645">
        <f t="shared" ref="C9:L9" si="2">SUM(C10:C29)</f>
        <v>25840072</v>
      </c>
      <c r="D9" s="645">
        <f t="shared" si="2"/>
        <v>24598599</v>
      </c>
      <c r="E9" s="645">
        <f t="shared" si="2"/>
        <v>0</v>
      </c>
      <c r="F9" s="645">
        <f t="shared" si="2"/>
        <v>5832</v>
      </c>
      <c r="G9" s="645">
        <f t="shared" si="2"/>
        <v>0</v>
      </c>
      <c r="H9" s="645">
        <f t="shared" si="2"/>
        <v>216000</v>
      </c>
      <c r="I9" s="645">
        <f t="shared" si="2"/>
        <v>1019641</v>
      </c>
      <c r="J9" s="645">
        <f t="shared" si="2"/>
        <v>988927.53399999999</v>
      </c>
      <c r="K9" s="645">
        <f t="shared" si="2"/>
        <v>24851144.465999998</v>
      </c>
      <c r="L9" s="666">
        <f t="shared" si="2"/>
        <v>10847487.473999999</v>
      </c>
      <c r="M9" s="666">
        <f t="shared" ref="M9:N9" si="3">SUM(M10:M29)</f>
        <v>14003656</v>
      </c>
      <c r="N9" s="666">
        <f t="shared" si="3"/>
        <v>14003656</v>
      </c>
    </row>
    <row r="10" spans="1:16" ht="22" customHeight="1">
      <c r="A10" s="634">
        <v>1</v>
      </c>
      <c r="B10" s="638" t="s">
        <v>543</v>
      </c>
      <c r="C10" s="632">
        <f t="shared" ref="C10:C29" si="4">SUM(D10:I10)</f>
        <v>25504336</v>
      </c>
      <c r="D10" s="611">
        <f>23937117+175254+153408</f>
        <v>24265779</v>
      </c>
      <c r="E10" s="611"/>
      <c r="F10" s="611">
        <f>2916</f>
        <v>2916</v>
      </c>
      <c r="G10" s="611"/>
      <c r="H10" s="611">
        <v>216000</v>
      </c>
      <c r="I10" s="611">
        <v>1019641</v>
      </c>
      <c r="J10" s="611">
        <f>290653+543643+13530+64.534+79396</f>
        <v>927286.53399999999</v>
      </c>
      <c r="K10" s="611">
        <f t="shared" ref="K10:K29" si="5">C10-J10</f>
        <v>24577049.465999998</v>
      </c>
      <c r="L10" s="667">
        <f>ROUNDDOWN(K10*0.44,0)-141797.526</f>
        <v>10672103.473999999</v>
      </c>
      <c r="M10" s="668">
        <f>ROUNDDOWN((K10-L10),0)</f>
        <v>13904945</v>
      </c>
      <c r="N10" s="668">
        <f>M10</f>
        <v>13904945</v>
      </c>
    </row>
    <row r="11" spans="1:16" ht="22" customHeight="1">
      <c r="A11" s="634">
        <v>2</v>
      </c>
      <c r="B11" s="639" t="s">
        <v>542</v>
      </c>
      <c r="C11" s="632">
        <f t="shared" si="4"/>
        <v>60146</v>
      </c>
      <c r="D11" s="611">
        <v>59174</v>
      </c>
      <c r="E11" s="611"/>
      <c r="F11" s="611">
        <v>972</v>
      </c>
      <c r="G11" s="611"/>
      <c r="H11" s="611"/>
      <c r="I11" s="611"/>
      <c r="J11" s="611"/>
      <c r="K11" s="611">
        <f t="shared" si="5"/>
        <v>60146</v>
      </c>
      <c r="L11" s="667">
        <f>ROUNDDOWN(K11*0.45,0)</f>
        <v>27065</v>
      </c>
      <c r="M11" s="668">
        <f t="shared" ref="M11:M29" si="6">ROUNDDOWN((K11-L11),0)</f>
        <v>33081</v>
      </c>
      <c r="N11" s="668">
        <f t="shared" ref="N11:N61" si="7">M11</f>
        <v>33081</v>
      </c>
    </row>
    <row r="12" spans="1:16" ht="22" customHeight="1">
      <c r="A12" s="634">
        <v>3</v>
      </c>
      <c r="B12" s="639" t="s">
        <v>442</v>
      </c>
      <c r="C12" s="632">
        <f t="shared" si="4"/>
        <v>180968</v>
      </c>
      <c r="D12" s="611">
        <v>179024</v>
      </c>
      <c r="E12" s="611"/>
      <c r="F12" s="611">
        <v>1944</v>
      </c>
      <c r="G12" s="611"/>
      <c r="H12" s="611"/>
      <c r="I12" s="611"/>
      <c r="J12" s="611">
        <f>6665+54976</f>
        <v>61641</v>
      </c>
      <c r="K12" s="643">
        <f t="shared" si="5"/>
        <v>119327</v>
      </c>
      <c r="L12" s="667">
        <f>ROUNDDOWN(K12*0.45,0)</f>
        <v>53697</v>
      </c>
      <c r="M12" s="668">
        <f>ROUNDDOWN((K12-L12),0)</f>
        <v>65630</v>
      </c>
      <c r="N12" s="668">
        <f t="shared" si="7"/>
        <v>65630</v>
      </c>
    </row>
    <row r="13" spans="1:16" ht="22" customHeight="1">
      <c r="A13" s="634">
        <v>4</v>
      </c>
      <c r="B13" s="615" t="s">
        <v>541</v>
      </c>
      <c r="C13" s="632">
        <f t="shared" si="4"/>
        <v>5566</v>
      </c>
      <c r="D13" s="611">
        <v>5566</v>
      </c>
      <c r="E13" s="611"/>
      <c r="F13" s="611"/>
      <c r="G13" s="611"/>
      <c r="H13" s="611"/>
      <c r="I13" s="611"/>
      <c r="J13" s="611"/>
      <c r="K13" s="611">
        <f t="shared" si="5"/>
        <v>5566</v>
      </c>
      <c r="L13" s="667">
        <f t="shared" ref="L13:L29" si="8">K13</f>
        <v>5566</v>
      </c>
      <c r="M13" s="668">
        <f t="shared" si="6"/>
        <v>0</v>
      </c>
      <c r="N13" s="668">
        <f t="shared" si="7"/>
        <v>0</v>
      </c>
    </row>
    <row r="14" spans="1:16" ht="22" customHeight="1">
      <c r="A14" s="634">
        <v>5</v>
      </c>
      <c r="B14" s="615" t="s">
        <v>540</v>
      </c>
      <c r="C14" s="632">
        <f t="shared" si="4"/>
        <v>5566</v>
      </c>
      <c r="D14" s="611">
        <v>5566</v>
      </c>
      <c r="E14" s="611"/>
      <c r="F14" s="611"/>
      <c r="G14" s="611"/>
      <c r="H14" s="611"/>
      <c r="I14" s="611"/>
      <c r="J14" s="611"/>
      <c r="K14" s="611">
        <f t="shared" si="5"/>
        <v>5566</v>
      </c>
      <c r="L14" s="667">
        <f t="shared" si="8"/>
        <v>5566</v>
      </c>
      <c r="M14" s="668">
        <f t="shared" si="6"/>
        <v>0</v>
      </c>
      <c r="N14" s="668">
        <f t="shared" si="7"/>
        <v>0</v>
      </c>
    </row>
    <row r="15" spans="1:16" ht="22" customHeight="1">
      <c r="A15" s="634">
        <v>6</v>
      </c>
      <c r="B15" s="615" t="s">
        <v>539</v>
      </c>
      <c r="C15" s="632">
        <f t="shared" si="4"/>
        <v>5566</v>
      </c>
      <c r="D15" s="611">
        <v>5566</v>
      </c>
      <c r="E15" s="611"/>
      <c r="F15" s="611"/>
      <c r="G15" s="611"/>
      <c r="H15" s="611"/>
      <c r="I15" s="611"/>
      <c r="J15" s="611"/>
      <c r="K15" s="611">
        <f t="shared" si="5"/>
        <v>5566</v>
      </c>
      <c r="L15" s="667">
        <f t="shared" si="8"/>
        <v>5566</v>
      </c>
      <c r="M15" s="668">
        <f t="shared" si="6"/>
        <v>0</v>
      </c>
      <c r="N15" s="668">
        <f t="shared" si="7"/>
        <v>0</v>
      </c>
    </row>
    <row r="16" spans="1:16" ht="22" customHeight="1">
      <c r="A16" s="634">
        <v>7</v>
      </c>
      <c r="B16" s="615" t="s">
        <v>538</v>
      </c>
      <c r="C16" s="632">
        <f t="shared" si="4"/>
        <v>5566</v>
      </c>
      <c r="D16" s="611">
        <v>5566</v>
      </c>
      <c r="E16" s="611"/>
      <c r="F16" s="611"/>
      <c r="G16" s="611"/>
      <c r="H16" s="611"/>
      <c r="I16" s="611"/>
      <c r="J16" s="611"/>
      <c r="K16" s="611">
        <f t="shared" si="5"/>
        <v>5566</v>
      </c>
      <c r="L16" s="667">
        <f t="shared" si="8"/>
        <v>5566</v>
      </c>
      <c r="M16" s="668">
        <f t="shared" si="6"/>
        <v>0</v>
      </c>
      <c r="N16" s="668">
        <f t="shared" si="7"/>
        <v>0</v>
      </c>
    </row>
    <row r="17" spans="1:17" ht="22" customHeight="1">
      <c r="A17" s="634">
        <v>8</v>
      </c>
      <c r="B17" s="615" t="s">
        <v>537</v>
      </c>
      <c r="C17" s="632">
        <f t="shared" si="4"/>
        <v>5566</v>
      </c>
      <c r="D17" s="611">
        <v>5566</v>
      </c>
      <c r="E17" s="611"/>
      <c r="F17" s="611"/>
      <c r="G17" s="611"/>
      <c r="H17" s="611"/>
      <c r="I17" s="611"/>
      <c r="J17" s="611"/>
      <c r="K17" s="611">
        <f t="shared" si="5"/>
        <v>5566</v>
      </c>
      <c r="L17" s="667">
        <f t="shared" si="8"/>
        <v>5566</v>
      </c>
      <c r="M17" s="668">
        <f t="shared" si="6"/>
        <v>0</v>
      </c>
      <c r="N17" s="668">
        <f t="shared" si="7"/>
        <v>0</v>
      </c>
      <c r="Q17" s="621"/>
    </row>
    <row r="18" spans="1:17" ht="22" customHeight="1">
      <c r="A18" s="634">
        <v>9</v>
      </c>
      <c r="B18" s="615" t="s">
        <v>536</v>
      </c>
      <c r="C18" s="632">
        <f t="shared" si="4"/>
        <v>5566</v>
      </c>
      <c r="D18" s="611">
        <v>5566</v>
      </c>
      <c r="E18" s="611"/>
      <c r="F18" s="611"/>
      <c r="G18" s="611"/>
      <c r="H18" s="611"/>
      <c r="I18" s="611"/>
      <c r="J18" s="611"/>
      <c r="K18" s="611">
        <f t="shared" si="5"/>
        <v>5566</v>
      </c>
      <c r="L18" s="667">
        <f t="shared" si="8"/>
        <v>5566</v>
      </c>
      <c r="M18" s="668">
        <f t="shared" si="6"/>
        <v>0</v>
      </c>
      <c r="N18" s="668">
        <f t="shared" si="7"/>
        <v>0</v>
      </c>
    </row>
    <row r="19" spans="1:17" ht="22" customHeight="1">
      <c r="A19" s="634">
        <v>10</v>
      </c>
      <c r="B19" s="615" t="s">
        <v>535</v>
      </c>
      <c r="C19" s="632">
        <f t="shared" si="4"/>
        <v>5566</v>
      </c>
      <c r="D19" s="611">
        <v>5566</v>
      </c>
      <c r="E19" s="611"/>
      <c r="F19" s="611"/>
      <c r="G19" s="611"/>
      <c r="H19" s="611"/>
      <c r="I19" s="611"/>
      <c r="J19" s="611"/>
      <c r="K19" s="611">
        <f t="shared" si="5"/>
        <v>5566</v>
      </c>
      <c r="L19" s="667">
        <f t="shared" si="8"/>
        <v>5566</v>
      </c>
      <c r="M19" s="668">
        <f t="shared" si="6"/>
        <v>0</v>
      </c>
      <c r="N19" s="668">
        <f t="shared" si="7"/>
        <v>0</v>
      </c>
    </row>
    <row r="20" spans="1:17" ht="22" customHeight="1">
      <c r="A20" s="634">
        <v>11</v>
      </c>
      <c r="B20" s="615" t="s">
        <v>534</v>
      </c>
      <c r="C20" s="632">
        <f t="shared" si="4"/>
        <v>5566</v>
      </c>
      <c r="D20" s="611">
        <v>5566</v>
      </c>
      <c r="E20" s="611"/>
      <c r="F20" s="611"/>
      <c r="G20" s="611"/>
      <c r="H20" s="611"/>
      <c r="I20" s="611"/>
      <c r="J20" s="611"/>
      <c r="K20" s="611">
        <f t="shared" si="5"/>
        <v>5566</v>
      </c>
      <c r="L20" s="667">
        <f t="shared" si="8"/>
        <v>5566</v>
      </c>
      <c r="M20" s="668">
        <f t="shared" si="6"/>
        <v>0</v>
      </c>
      <c r="N20" s="668">
        <f t="shared" si="7"/>
        <v>0</v>
      </c>
    </row>
    <row r="21" spans="1:17" ht="22" customHeight="1">
      <c r="A21" s="634">
        <v>12</v>
      </c>
      <c r="B21" s="642" t="s">
        <v>533</v>
      </c>
      <c r="C21" s="632">
        <f t="shared" si="4"/>
        <v>5566</v>
      </c>
      <c r="D21" s="611">
        <v>5566</v>
      </c>
      <c r="E21" s="611"/>
      <c r="F21" s="611"/>
      <c r="G21" s="611"/>
      <c r="H21" s="611"/>
      <c r="I21" s="611"/>
      <c r="J21" s="611"/>
      <c r="K21" s="611">
        <f t="shared" si="5"/>
        <v>5566</v>
      </c>
      <c r="L21" s="667">
        <f t="shared" si="8"/>
        <v>5566</v>
      </c>
      <c r="M21" s="668">
        <f t="shared" si="6"/>
        <v>0</v>
      </c>
      <c r="N21" s="668">
        <f t="shared" si="7"/>
        <v>0</v>
      </c>
    </row>
    <row r="22" spans="1:17" ht="22" customHeight="1">
      <c r="A22" s="634">
        <v>13</v>
      </c>
      <c r="B22" s="615" t="s">
        <v>532</v>
      </c>
      <c r="C22" s="632">
        <f t="shared" si="4"/>
        <v>5566</v>
      </c>
      <c r="D22" s="611">
        <v>5566</v>
      </c>
      <c r="E22" s="611"/>
      <c r="F22" s="611"/>
      <c r="G22" s="611"/>
      <c r="H22" s="611"/>
      <c r="I22" s="611"/>
      <c r="J22" s="611"/>
      <c r="K22" s="611">
        <f t="shared" si="5"/>
        <v>5566</v>
      </c>
      <c r="L22" s="667">
        <f t="shared" si="8"/>
        <v>5566</v>
      </c>
      <c r="M22" s="668">
        <f t="shared" si="6"/>
        <v>0</v>
      </c>
      <c r="N22" s="668">
        <f t="shared" si="7"/>
        <v>0</v>
      </c>
    </row>
    <row r="23" spans="1:17" ht="22" customHeight="1">
      <c r="A23" s="634">
        <v>14</v>
      </c>
      <c r="B23" s="615" t="s">
        <v>531</v>
      </c>
      <c r="C23" s="632">
        <f t="shared" si="4"/>
        <v>5566</v>
      </c>
      <c r="D23" s="611">
        <v>5566</v>
      </c>
      <c r="E23" s="611"/>
      <c r="F23" s="611"/>
      <c r="G23" s="611"/>
      <c r="H23" s="611"/>
      <c r="I23" s="611"/>
      <c r="J23" s="611"/>
      <c r="K23" s="611">
        <f t="shared" si="5"/>
        <v>5566</v>
      </c>
      <c r="L23" s="667">
        <f t="shared" si="8"/>
        <v>5566</v>
      </c>
      <c r="M23" s="668">
        <f t="shared" si="6"/>
        <v>0</v>
      </c>
      <c r="N23" s="668">
        <f t="shared" si="7"/>
        <v>0</v>
      </c>
    </row>
    <row r="24" spans="1:17" ht="22" customHeight="1">
      <c r="A24" s="634">
        <v>15</v>
      </c>
      <c r="B24" s="615" t="s">
        <v>530</v>
      </c>
      <c r="C24" s="632">
        <f t="shared" si="4"/>
        <v>5566</v>
      </c>
      <c r="D24" s="611">
        <v>5566</v>
      </c>
      <c r="E24" s="611"/>
      <c r="F24" s="611"/>
      <c r="G24" s="611"/>
      <c r="H24" s="611"/>
      <c r="I24" s="611"/>
      <c r="J24" s="611"/>
      <c r="K24" s="611">
        <f t="shared" si="5"/>
        <v>5566</v>
      </c>
      <c r="L24" s="667">
        <f t="shared" si="8"/>
        <v>5566</v>
      </c>
      <c r="M24" s="668">
        <f t="shared" si="6"/>
        <v>0</v>
      </c>
      <c r="N24" s="668">
        <f t="shared" si="7"/>
        <v>0</v>
      </c>
    </row>
    <row r="25" spans="1:17" ht="22" customHeight="1">
      <c r="A25" s="634">
        <v>16</v>
      </c>
      <c r="B25" s="642" t="s">
        <v>529</v>
      </c>
      <c r="C25" s="632">
        <f t="shared" si="4"/>
        <v>5566</v>
      </c>
      <c r="D25" s="611">
        <v>5566</v>
      </c>
      <c r="E25" s="611"/>
      <c r="F25" s="611"/>
      <c r="G25" s="611"/>
      <c r="H25" s="611"/>
      <c r="I25" s="611"/>
      <c r="J25" s="611"/>
      <c r="K25" s="611">
        <f t="shared" si="5"/>
        <v>5566</v>
      </c>
      <c r="L25" s="667">
        <f t="shared" si="8"/>
        <v>5566</v>
      </c>
      <c r="M25" s="668">
        <f t="shared" si="6"/>
        <v>0</v>
      </c>
      <c r="N25" s="668">
        <f t="shared" si="7"/>
        <v>0</v>
      </c>
    </row>
    <row r="26" spans="1:17" ht="22" customHeight="1">
      <c r="A26" s="634">
        <v>17</v>
      </c>
      <c r="B26" s="615" t="s">
        <v>528</v>
      </c>
      <c r="C26" s="632">
        <f t="shared" si="4"/>
        <v>5566</v>
      </c>
      <c r="D26" s="611">
        <v>5566</v>
      </c>
      <c r="E26" s="611"/>
      <c r="F26" s="611"/>
      <c r="G26" s="611"/>
      <c r="H26" s="611"/>
      <c r="I26" s="611"/>
      <c r="J26" s="611"/>
      <c r="K26" s="611">
        <f t="shared" si="5"/>
        <v>5566</v>
      </c>
      <c r="L26" s="667">
        <f t="shared" si="8"/>
        <v>5566</v>
      </c>
      <c r="M26" s="668">
        <f t="shared" si="6"/>
        <v>0</v>
      </c>
      <c r="N26" s="668">
        <f t="shared" si="7"/>
        <v>0</v>
      </c>
    </row>
    <row r="27" spans="1:17" ht="22" customHeight="1">
      <c r="A27" s="634">
        <v>18</v>
      </c>
      <c r="B27" s="642" t="s">
        <v>527</v>
      </c>
      <c r="C27" s="632">
        <f t="shared" si="4"/>
        <v>5566</v>
      </c>
      <c r="D27" s="611">
        <v>5566</v>
      </c>
      <c r="E27" s="611"/>
      <c r="F27" s="611"/>
      <c r="G27" s="611"/>
      <c r="H27" s="611"/>
      <c r="I27" s="611"/>
      <c r="J27" s="611"/>
      <c r="K27" s="611">
        <f t="shared" si="5"/>
        <v>5566</v>
      </c>
      <c r="L27" s="667">
        <f t="shared" si="8"/>
        <v>5566</v>
      </c>
      <c r="M27" s="668">
        <f t="shared" si="6"/>
        <v>0</v>
      </c>
      <c r="N27" s="668">
        <f t="shared" si="7"/>
        <v>0</v>
      </c>
    </row>
    <row r="28" spans="1:17" ht="22" customHeight="1">
      <c r="A28" s="634">
        <v>19</v>
      </c>
      <c r="B28" s="615" t="s">
        <v>526</v>
      </c>
      <c r="C28" s="632">
        <f t="shared" si="4"/>
        <v>5566</v>
      </c>
      <c r="D28" s="611">
        <v>5566</v>
      </c>
      <c r="E28" s="611"/>
      <c r="F28" s="611"/>
      <c r="G28" s="611"/>
      <c r="H28" s="611"/>
      <c r="I28" s="611"/>
      <c r="J28" s="611"/>
      <c r="K28" s="611">
        <f t="shared" si="5"/>
        <v>5566</v>
      </c>
      <c r="L28" s="667">
        <f t="shared" si="8"/>
        <v>5566</v>
      </c>
      <c r="M28" s="668">
        <f t="shared" si="6"/>
        <v>0</v>
      </c>
      <c r="N28" s="668">
        <f t="shared" si="7"/>
        <v>0</v>
      </c>
    </row>
    <row r="29" spans="1:17" ht="22" customHeight="1">
      <c r="A29" s="634">
        <v>20</v>
      </c>
      <c r="B29" s="615" t="s">
        <v>525</v>
      </c>
      <c r="C29" s="632">
        <f t="shared" si="4"/>
        <v>5566</v>
      </c>
      <c r="D29" s="611">
        <v>5566</v>
      </c>
      <c r="E29" s="611"/>
      <c r="F29" s="611"/>
      <c r="G29" s="611"/>
      <c r="H29" s="611"/>
      <c r="I29" s="611"/>
      <c r="J29" s="611"/>
      <c r="K29" s="611">
        <f t="shared" si="5"/>
        <v>5566</v>
      </c>
      <c r="L29" s="667">
        <f t="shared" si="8"/>
        <v>5566</v>
      </c>
      <c r="M29" s="668">
        <f t="shared" si="6"/>
        <v>0</v>
      </c>
      <c r="N29" s="668">
        <f t="shared" si="7"/>
        <v>0</v>
      </c>
    </row>
    <row r="30" spans="1:17" ht="22" customHeight="1">
      <c r="A30" s="637" t="s">
        <v>3</v>
      </c>
      <c r="B30" s="636" t="s">
        <v>524</v>
      </c>
      <c r="C30" s="635">
        <f t="shared" ref="C30:L30" si="9">SUM(C31:C32)</f>
        <v>172443</v>
      </c>
      <c r="D30" s="635">
        <f t="shared" si="9"/>
        <v>171471</v>
      </c>
      <c r="E30" s="635">
        <f t="shared" si="9"/>
        <v>0</v>
      </c>
      <c r="F30" s="635">
        <f t="shared" si="9"/>
        <v>972</v>
      </c>
      <c r="G30" s="635">
        <f t="shared" si="9"/>
        <v>0</v>
      </c>
      <c r="H30" s="635">
        <f t="shared" si="9"/>
        <v>0</v>
      </c>
      <c r="I30" s="635">
        <f t="shared" si="9"/>
        <v>0</v>
      </c>
      <c r="J30" s="635">
        <f t="shared" si="9"/>
        <v>57908</v>
      </c>
      <c r="K30" s="635">
        <f t="shared" si="9"/>
        <v>114535</v>
      </c>
      <c r="L30" s="669">
        <f t="shared" si="9"/>
        <v>51540</v>
      </c>
      <c r="M30" s="669">
        <f t="shared" ref="M30:N30" si="10">SUM(M31:M32)</f>
        <v>62995</v>
      </c>
      <c r="N30" s="669">
        <f t="shared" si="10"/>
        <v>62995</v>
      </c>
    </row>
    <row r="31" spans="1:17" ht="22" customHeight="1">
      <c r="A31" s="634">
        <v>1</v>
      </c>
      <c r="B31" s="639" t="s">
        <v>523</v>
      </c>
      <c r="C31" s="632">
        <f>SUM(D31:I31)</f>
        <v>67288</v>
      </c>
      <c r="D31" s="611">
        <v>66316</v>
      </c>
      <c r="E31" s="611"/>
      <c r="F31" s="611">
        <v>972</v>
      </c>
      <c r="G31" s="611"/>
      <c r="H31" s="611"/>
      <c r="I31" s="611"/>
      <c r="J31" s="611">
        <f>33853</f>
        <v>33853</v>
      </c>
      <c r="K31" s="611">
        <f>C31-J31</f>
        <v>33435</v>
      </c>
      <c r="L31" s="667">
        <f>ROUNDDOWN(K31*0.45,0)</f>
        <v>15045</v>
      </c>
      <c r="M31" s="668">
        <f>ROUNDDOWN((K31-L31),0)</f>
        <v>18390</v>
      </c>
      <c r="N31" s="668">
        <f t="shared" si="7"/>
        <v>18390</v>
      </c>
    </row>
    <row r="32" spans="1:17" ht="22" customHeight="1">
      <c r="A32" s="634">
        <v>2</v>
      </c>
      <c r="B32" s="639" t="s">
        <v>522</v>
      </c>
      <c r="C32" s="632">
        <f>SUM(D32:I32)</f>
        <v>105155</v>
      </c>
      <c r="D32" s="611">
        <v>105155</v>
      </c>
      <c r="E32" s="611"/>
      <c r="F32" s="611"/>
      <c r="G32" s="611"/>
      <c r="H32" s="611"/>
      <c r="I32" s="611"/>
      <c r="J32" s="611">
        <f>19403+4652</f>
        <v>24055</v>
      </c>
      <c r="K32" s="611">
        <f>C32-J32</f>
        <v>81100</v>
      </c>
      <c r="L32" s="667">
        <f>ROUNDDOWN(K32*0.45,0)</f>
        <v>36495</v>
      </c>
      <c r="M32" s="668">
        <f>ROUNDDOWN((K32-L32),0)</f>
        <v>44605</v>
      </c>
      <c r="N32" s="668">
        <f t="shared" si="7"/>
        <v>44605</v>
      </c>
    </row>
    <row r="33" spans="1:15" ht="22" customHeight="1">
      <c r="A33" s="637" t="s">
        <v>4</v>
      </c>
      <c r="B33" s="636" t="s">
        <v>521</v>
      </c>
      <c r="C33" s="635">
        <f t="shared" ref="C33:L33" si="11">C34</f>
        <v>19633</v>
      </c>
      <c r="D33" s="635">
        <f t="shared" si="11"/>
        <v>19633</v>
      </c>
      <c r="E33" s="635">
        <f t="shared" si="11"/>
        <v>0</v>
      </c>
      <c r="F33" s="635">
        <f t="shared" si="11"/>
        <v>0</v>
      </c>
      <c r="G33" s="635">
        <f t="shared" si="11"/>
        <v>0</v>
      </c>
      <c r="H33" s="635">
        <f t="shared" si="11"/>
        <v>0</v>
      </c>
      <c r="I33" s="635">
        <f t="shared" si="11"/>
        <v>0</v>
      </c>
      <c r="J33" s="635">
        <f t="shared" si="11"/>
        <v>0</v>
      </c>
      <c r="K33" s="635">
        <f t="shared" si="11"/>
        <v>19633</v>
      </c>
      <c r="L33" s="669">
        <f t="shared" si="11"/>
        <v>8834</v>
      </c>
      <c r="M33" s="669">
        <f t="shared" ref="M33:N33" si="12">M34</f>
        <v>10799</v>
      </c>
      <c r="N33" s="669">
        <f t="shared" si="12"/>
        <v>10799</v>
      </c>
    </row>
    <row r="34" spans="1:15" ht="22" customHeight="1">
      <c r="A34" s="634">
        <v>1</v>
      </c>
      <c r="B34" s="639" t="s">
        <v>520</v>
      </c>
      <c r="C34" s="632">
        <f>SUM(D34:I34)</f>
        <v>19633</v>
      </c>
      <c r="D34" s="611">
        <v>19633</v>
      </c>
      <c r="E34" s="611"/>
      <c r="F34" s="611"/>
      <c r="G34" s="611"/>
      <c r="H34" s="611"/>
      <c r="I34" s="611"/>
      <c r="J34" s="611"/>
      <c r="K34" s="611">
        <f>C34-J34</f>
        <v>19633</v>
      </c>
      <c r="L34" s="667">
        <f>ROUNDDOWN(K34*0.45,0)</f>
        <v>8834</v>
      </c>
      <c r="M34" s="668">
        <f>ROUNDDOWN((K34-L34),0)</f>
        <v>10799</v>
      </c>
      <c r="N34" s="668">
        <f t="shared" si="7"/>
        <v>10799</v>
      </c>
      <c r="O34" s="621"/>
    </row>
    <row r="35" spans="1:15" ht="22" customHeight="1">
      <c r="A35" s="637" t="s">
        <v>11</v>
      </c>
      <c r="B35" s="636" t="s">
        <v>519</v>
      </c>
      <c r="C35" s="635">
        <f t="shared" ref="C35:L35" si="13">C36</f>
        <v>151628</v>
      </c>
      <c r="D35" s="635">
        <f t="shared" si="13"/>
        <v>149684</v>
      </c>
      <c r="E35" s="635">
        <f t="shared" si="13"/>
        <v>0</v>
      </c>
      <c r="F35" s="635">
        <f t="shared" si="13"/>
        <v>1944</v>
      </c>
      <c r="G35" s="635">
        <f t="shared" si="13"/>
        <v>0</v>
      </c>
      <c r="H35" s="635">
        <f t="shared" si="13"/>
        <v>0</v>
      </c>
      <c r="I35" s="635">
        <f t="shared" si="13"/>
        <v>0</v>
      </c>
      <c r="J35" s="635">
        <f t="shared" si="13"/>
        <v>151628</v>
      </c>
      <c r="K35" s="635">
        <f t="shared" si="13"/>
        <v>0</v>
      </c>
      <c r="L35" s="669">
        <f t="shared" si="13"/>
        <v>0</v>
      </c>
      <c r="M35" s="669">
        <f t="shared" ref="M35:N35" si="14">M36</f>
        <v>0</v>
      </c>
      <c r="N35" s="669">
        <f t="shared" si="14"/>
        <v>0</v>
      </c>
    </row>
    <row r="36" spans="1:15" ht="22" customHeight="1">
      <c r="A36" s="634">
        <v>1</v>
      </c>
      <c r="B36" s="638" t="s">
        <v>518</v>
      </c>
      <c r="C36" s="632">
        <f>SUM(D36:I36)</f>
        <v>151628</v>
      </c>
      <c r="D36" s="611">
        <v>149684</v>
      </c>
      <c r="E36" s="611"/>
      <c r="F36" s="611">
        <v>1944</v>
      </c>
      <c r="G36" s="611"/>
      <c r="H36" s="611"/>
      <c r="I36" s="611"/>
      <c r="J36" s="611">
        <v>151628</v>
      </c>
      <c r="K36" s="611">
        <f>C36-J36</f>
        <v>0</v>
      </c>
      <c r="L36" s="667">
        <f>ROUNDDOWN(K36*0.4,0)</f>
        <v>0</v>
      </c>
      <c r="M36" s="668">
        <f t="shared" ref="M36:M61" si="15">K36-L36</f>
        <v>0</v>
      </c>
      <c r="N36" s="668">
        <f t="shared" si="7"/>
        <v>0</v>
      </c>
    </row>
    <row r="37" spans="1:15" ht="22" customHeight="1">
      <c r="A37" s="637" t="s">
        <v>48</v>
      </c>
      <c r="B37" s="641" t="s">
        <v>517</v>
      </c>
      <c r="C37" s="640">
        <f t="shared" ref="C37:L37" si="16">SUM(C38:C48)</f>
        <v>1573062</v>
      </c>
      <c r="D37" s="640">
        <f t="shared" si="16"/>
        <v>1530294</v>
      </c>
      <c r="E37" s="640">
        <f t="shared" si="16"/>
        <v>34992</v>
      </c>
      <c r="F37" s="640">
        <f t="shared" si="16"/>
        <v>7776</v>
      </c>
      <c r="G37" s="640">
        <f t="shared" si="16"/>
        <v>0</v>
      </c>
      <c r="H37" s="640">
        <f t="shared" si="16"/>
        <v>0</v>
      </c>
      <c r="I37" s="640">
        <f t="shared" si="16"/>
        <v>0</v>
      </c>
      <c r="J37" s="640">
        <f t="shared" si="16"/>
        <v>55661</v>
      </c>
      <c r="K37" s="640">
        <f t="shared" si="16"/>
        <v>1517401</v>
      </c>
      <c r="L37" s="670">
        <f t="shared" si="16"/>
        <v>682824</v>
      </c>
      <c r="M37" s="670">
        <f t="shared" ref="M37:N37" si="17">SUM(M38:M48)</f>
        <v>834577</v>
      </c>
      <c r="N37" s="670">
        <f t="shared" si="17"/>
        <v>834577</v>
      </c>
      <c r="O37" s="621"/>
    </row>
    <row r="38" spans="1:15" ht="22" customHeight="1">
      <c r="A38" s="634">
        <v>1</v>
      </c>
      <c r="B38" s="638" t="s">
        <v>516</v>
      </c>
      <c r="C38" s="632">
        <f t="shared" ref="C38:C48" si="18">SUM(D38:I38)</f>
        <v>124804</v>
      </c>
      <c r="D38" s="611">
        <v>123832</v>
      </c>
      <c r="E38" s="611"/>
      <c r="F38" s="611">
        <v>972</v>
      </c>
      <c r="G38" s="611"/>
      <c r="H38" s="611"/>
      <c r="I38" s="611"/>
      <c r="J38" s="611"/>
      <c r="K38" s="611">
        <f t="shared" ref="K38:K48" si="19">C38-J38</f>
        <v>124804</v>
      </c>
      <c r="L38" s="667">
        <f t="shared" ref="L38:L48" si="20">ROUNDDOWN(K38*0.45,0)</f>
        <v>56161</v>
      </c>
      <c r="M38" s="668">
        <f>ROUNDDOWN((K38-L38),0)</f>
        <v>68643</v>
      </c>
      <c r="N38" s="668">
        <f t="shared" si="7"/>
        <v>68643</v>
      </c>
    </row>
    <row r="39" spans="1:15" ht="22" customHeight="1">
      <c r="A39" s="634">
        <v>2</v>
      </c>
      <c r="B39" s="638" t="s">
        <v>515</v>
      </c>
      <c r="C39" s="632">
        <f t="shared" si="18"/>
        <v>517992</v>
      </c>
      <c r="D39" s="611">
        <f>380625+101403</f>
        <v>482028</v>
      </c>
      <c r="E39" s="611">
        <v>34992</v>
      </c>
      <c r="F39" s="611">
        <v>972</v>
      </c>
      <c r="G39" s="611"/>
      <c r="H39" s="611"/>
      <c r="I39" s="611"/>
      <c r="J39" s="611"/>
      <c r="K39" s="611">
        <f t="shared" si="19"/>
        <v>517992</v>
      </c>
      <c r="L39" s="667">
        <f t="shared" si="20"/>
        <v>233096</v>
      </c>
      <c r="M39" s="668">
        <f t="shared" ref="M39:M48" si="21">ROUNDDOWN((K39-L39),0)</f>
        <v>284896</v>
      </c>
      <c r="N39" s="668">
        <f t="shared" si="7"/>
        <v>284896</v>
      </c>
    </row>
    <row r="40" spans="1:15" ht="22" customHeight="1">
      <c r="A40" s="634">
        <v>3</v>
      </c>
      <c r="B40" s="638" t="s">
        <v>514</v>
      </c>
      <c r="C40" s="632">
        <f t="shared" si="18"/>
        <v>111571</v>
      </c>
      <c r="D40" s="611">
        <v>110599</v>
      </c>
      <c r="E40" s="611"/>
      <c r="F40" s="611">
        <v>972</v>
      </c>
      <c r="G40" s="611"/>
      <c r="H40" s="611"/>
      <c r="I40" s="611"/>
      <c r="J40" s="611">
        <v>8510</v>
      </c>
      <c r="K40" s="611">
        <f t="shared" si="19"/>
        <v>103061</v>
      </c>
      <c r="L40" s="667">
        <f t="shared" si="20"/>
        <v>46377</v>
      </c>
      <c r="M40" s="668">
        <f t="shared" si="21"/>
        <v>56684</v>
      </c>
      <c r="N40" s="668">
        <f t="shared" si="7"/>
        <v>56684</v>
      </c>
    </row>
    <row r="41" spans="1:15" ht="22" customHeight="1">
      <c r="A41" s="634">
        <v>4</v>
      </c>
      <c r="B41" s="638" t="s">
        <v>513</v>
      </c>
      <c r="C41" s="632">
        <f t="shared" si="18"/>
        <v>114013</v>
      </c>
      <c r="D41" s="611">
        <v>114013</v>
      </c>
      <c r="E41" s="611"/>
      <c r="F41" s="611"/>
      <c r="G41" s="611"/>
      <c r="H41" s="611"/>
      <c r="I41" s="611"/>
      <c r="J41" s="611"/>
      <c r="K41" s="611">
        <f t="shared" si="19"/>
        <v>114013</v>
      </c>
      <c r="L41" s="667">
        <f t="shared" si="20"/>
        <v>51305</v>
      </c>
      <c r="M41" s="668">
        <f t="shared" si="21"/>
        <v>62708</v>
      </c>
      <c r="N41" s="668">
        <f t="shared" si="7"/>
        <v>62708</v>
      </c>
    </row>
    <row r="42" spans="1:15" ht="22" customHeight="1">
      <c r="A42" s="634">
        <v>5</v>
      </c>
      <c r="B42" s="638" t="s">
        <v>512</v>
      </c>
      <c r="C42" s="632">
        <f t="shared" si="18"/>
        <v>58702</v>
      </c>
      <c r="D42" s="611">
        <v>58702</v>
      </c>
      <c r="E42" s="611"/>
      <c r="F42" s="611"/>
      <c r="G42" s="611"/>
      <c r="H42" s="611"/>
      <c r="I42" s="611"/>
      <c r="J42" s="611"/>
      <c r="K42" s="611">
        <f t="shared" si="19"/>
        <v>58702</v>
      </c>
      <c r="L42" s="667">
        <f t="shared" si="20"/>
        <v>26415</v>
      </c>
      <c r="M42" s="668">
        <f t="shared" si="21"/>
        <v>32287</v>
      </c>
      <c r="N42" s="668">
        <f t="shared" si="7"/>
        <v>32287</v>
      </c>
    </row>
    <row r="43" spans="1:15" ht="22" customHeight="1">
      <c r="A43" s="634">
        <v>6</v>
      </c>
      <c r="B43" s="638" t="s">
        <v>511</v>
      </c>
      <c r="C43" s="632">
        <f t="shared" si="18"/>
        <v>121841</v>
      </c>
      <c r="D43" s="611">
        <v>120869</v>
      </c>
      <c r="E43" s="611"/>
      <c r="F43" s="611">
        <v>972</v>
      </c>
      <c r="G43" s="611"/>
      <c r="H43" s="611"/>
      <c r="I43" s="611"/>
      <c r="J43" s="611"/>
      <c r="K43" s="611">
        <f t="shared" si="19"/>
        <v>121841</v>
      </c>
      <c r="L43" s="667">
        <f t="shared" si="20"/>
        <v>54828</v>
      </c>
      <c r="M43" s="668">
        <f t="shared" si="21"/>
        <v>67013</v>
      </c>
      <c r="N43" s="668">
        <f t="shared" si="7"/>
        <v>67013</v>
      </c>
    </row>
    <row r="44" spans="1:15" ht="22" customHeight="1">
      <c r="A44" s="634">
        <v>7</v>
      </c>
      <c r="B44" s="638" t="s">
        <v>510</v>
      </c>
      <c r="C44" s="632">
        <f t="shared" si="18"/>
        <v>120534</v>
      </c>
      <c r="D44" s="611">
        <v>119562</v>
      </c>
      <c r="E44" s="611"/>
      <c r="F44" s="611">
        <v>972</v>
      </c>
      <c r="G44" s="611"/>
      <c r="H44" s="611"/>
      <c r="I44" s="611"/>
      <c r="J44" s="611">
        <v>47151</v>
      </c>
      <c r="K44" s="611">
        <f t="shared" si="19"/>
        <v>73383</v>
      </c>
      <c r="L44" s="667">
        <f t="shared" si="20"/>
        <v>33022</v>
      </c>
      <c r="M44" s="668">
        <f t="shared" si="21"/>
        <v>40361</v>
      </c>
      <c r="N44" s="668">
        <f t="shared" si="7"/>
        <v>40361</v>
      </c>
    </row>
    <row r="45" spans="1:15" ht="22" customHeight="1">
      <c r="A45" s="634">
        <v>8</v>
      </c>
      <c r="B45" s="638" t="s">
        <v>509</v>
      </c>
      <c r="C45" s="632">
        <f t="shared" si="18"/>
        <v>178462</v>
      </c>
      <c r="D45" s="611">
        <v>177490</v>
      </c>
      <c r="E45" s="611"/>
      <c r="F45" s="611">
        <v>972</v>
      </c>
      <c r="G45" s="611"/>
      <c r="H45" s="611"/>
      <c r="I45" s="611"/>
      <c r="J45" s="611"/>
      <c r="K45" s="611">
        <f t="shared" si="19"/>
        <v>178462</v>
      </c>
      <c r="L45" s="667">
        <f t="shared" si="20"/>
        <v>80307</v>
      </c>
      <c r="M45" s="668">
        <f t="shared" si="21"/>
        <v>98155</v>
      </c>
      <c r="N45" s="668">
        <f t="shared" si="7"/>
        <v>98155</v>
      </c>
    </row>
    <row r="46" spans="1:15" ht="22" customHeight="1">
      <c r="A46" s="634">
        <v>9</v>
      </c>
      <c r="B46" s="638" t="s">
        <v>508</v>
      </c>
      <c r="C46" s="632">
        <f t="shared" si="18"/>
        <v>48768</v>
      </c>
      <c r="D46" s="611">
        <v>47796</v>
      </c>
      <c r="E46" s="611"/>
      <c r="F46" s="611">
        <v>972</v>
      </c>
      <c r="G46" s="611"/>
      <c r="H46" s="611"/>
      <c r="I46" s="611"/>
      <c r="J46" s="611"/>
      <c r="K46" s="611">
        <f t="shared" si="19"/>
        <v>48768</v>
      </c>
      <c r="L46" s="667">
        <f t="shared" si="20"/>
        <v>21945</v>
      </c>
      <c r="M46" s="668">
        <f t="shared" si="21"/>
        <v>26823</v>
      </c>
      <c r="N46" s="668">
        <f t="shared" si="7"/>
        <v>26823</v>
      </c>
    </row>
    <row r="47" spans="1:15" ht="22" customHeight="1">
      <c r="A47" s="634">
        <v>10</v>
      </c>
      <c r="B47" s="638" t="s">
        <v>507</v>
      </c>
      <c r="C47" s="632">
        <f t="shared" si="18"/>
        <v>67066</v>
      </c>
      <c r="D47" s="611">
        <v>67066</v>
      </c>
      <c r="E47" s="611"/>
      <c r="F47" s="611"/>
      <c r="G47" s="611"/>
      <c r="H47" s="611"/>
      <c r="I47" s="611"/>
      <c r="J47" s="611"/>
      <c r="K47" s="611">
        <f t="shared" si="19"/>
        <v>67066</v>
      </c>
      <c r="L47" s="667">
        <f t="shared" si="20"/>
        <v>30179</v>
      </c>
      <c r="M47" s="668">
        <f t="shared" si="21"/>
        <v>36887</v>
      </c>
      <c r="N47" s="668">
        <f t="shared" si="7"/>
        <v>36887</v>
      </c>
    </row>
    <row r="48" spans="1:15" ht="22" customHeight="1">
      <c r="A48" s="634">
        <v>11</v>
      </c>
      <c r="B48" s="638" t="s">
        <v>506</v>
      </c>
      <c r="C48" s="632">
        <f t="shared" si="18"/>
        <v>109309</v>
      </c>
      <c r="D48" s="611">
        <v>108337</v>
      </c>
      <c r="E48" s="611"/>
      <c r="F48" s="611">
        <v>972</v>
      </c>
      <c r="G48" s="611"/>
      <c r="H48" s="611"/>
      <c r="I48" s="611"/>
      <c r="J48" s="611"/>
      <c r="K48" s="611">
        <f t="shared" si="19"/>
        <v>109309</v>
      </c>
      <c r="L48" s="667">
        <f t="shared" si="20"/>
        <v>49189</v>
      </c>
      <c r="M48" s="668">
        <f t="shared" si="21"/>
        <v>60120</v>
      </c>
      <c r="N48" s="668">
        <f t="shared" si="7"/>
        <v>60120</v>
      </c>
    </row>
    <row r="49" spans="1:14" ht="22" customHeight="1">
      <c r="A49" s="637" t="s">
        <v>49</v>
      </c>
      <c r="B49" s="641" t="s">
        <v>505</v>
      </c>
      <c r="C49" s="640">
        <f t="shared" ref="C49:L49" si="22">SUM(C50:C55)</f>
        <v>1314386.1499999999</v>
      </c>
      <c r="D49" s="640">
        <f t="shared" si="22"/>
        <v>1266758.1499999999</v>
      </c>
      <c r="E49" s="640">
        <f t="shared" si="22"/>
        <v>0</v>
      </c>
      <c r="F49" s="640">
        <f t="shared" si="22"/>
        <v>47628</v>
      </c>
      <c r="G49" s="640">
        <f t="shared" si="22"/>
        <v>0</v>
      </c>
      <c r="H49" s="640">
        <f t="shared" si="22"/>
        <v>0</v>
      </c>
      <c r="I49" s="640">
        <f t="shared" si="22"/>
        <v>0</v>
      </c>
      <c r="J49" s="640">
        <f t="shared" si="22"/>
        <v>0</v>
      </c>
      <c r="K49" s="640">
        <f t="shared" si="22"/>
        <v>1314386.1499999999</v>
      </c>
      <c r="L49" s="670">
        <f t="shared" si="22"/>
        <v>591471</v>
      </c>
      <c r="M49" s="670">
        <f t="shared" ref="M49:N49" si="23">SUM(M50:M55)</f>
        <v>722915</v>
      </c>
      <c r="N49" s="670">
        <f t="shared" si="23"/>
        <v>722915</v>
      </c>
    </row>
    <row r="50" spans="1:14" ht="22" customHeight="1">
      <c r="A50" s="634">
        <v>1</v>
      </c>
      <c r="B50" s="639" t="s">
        <v>504</v>
      </c>
      <c r="C50" s="632">
        <f t="shared" ref="C50:C55" si="24">SUM(D50:I50)</f>
        <v>879850.15</v>
      </c>
      <c r="D50" s="611">
        <f>750311+81899+12.15</f>
        <v>832222.15</v>
      </c>
      <c r="E50" s="611"/>
      <c r="F50" s="611">
        <f>46656+972</f>
        <v>47628</v>
      </c>
      <c r="G50" s="611"/>
      <c r="H50" s="611"/>
      <c r="I50" s="611"/>
      <c r="J50" s="611"/>
      <c r="K50" s="611">
        <f t="shared" ref="K50:K55" si="25">C50-J50</f>
        <v>879850.15</v>
      </c>
      <c r="L50" s="667">
        <f t="shared" ref="L50:L55" si="26">ROUNDDOWN(K50*0.45,0)</f>
        <v>395932</v>
      </c>
      <c r="M50" s="668">
        <f>ROUNDDOWN((K50-L50),0)</f>
        <v>483918</v>
      </c>
      <c r="N50" s="668">
        <f t="shared" si="7"/>
        <v>483918</v>
      </c>
    </row>
    <row r="51" spans="1:14" ht="22" customHeight="1">
      <c r="A51" s="634">
        <v>2</v>
      </c>
      <c r="B51" s="638" t="s">
        <v>503</v>
      </c>
      <c r="C51" s="632">
        <f t="shared" si="24"/>
        <v>117383</v>
      </c>
      <c r="D51" s="611">
        <v>117383</v>
      </c>
      <c r="E51" s="611"/>
      <c r="F51" s="611"/>
      <c r="G51" s="611"/>
      <c r="H51" s="611"/>
      <c r="I51" s="611"/>
      <c r="J51" s="611"/>
      <c r="K51" s="611">
        <f t="shared" si="25"/>
        <v>117383</v>
      </c>
      <c r="L51" s="667">
        <f t="shared" si="26"/>
        <v>52822</v>
      </c>
      <c r="M51" s="668">
        <f t="shared" si="15"/>
        <v>64561</v>
      </c>
      <c r="N51" s="668">
        <f t="shared" si="7"/>
        <v>64561</v>
      </c>
    </row>
    <row r="52" spans="1:14" ht="22" customHeight="1">
      <c r="A52" s="634">
        <v>3</v>
      </c>
      <c r="B52" s="638" t="s">
        <v>502</v>
      </c>
      <c r="C52" s="632">
        <f t="shared" si="24"/>
        <v>49718</v>
      </c>
      <c r="D52" s="611">
        <v>49718</v>
      </c>
      <c r="E52" s="611"/>
      <c r="F52" s="611"/>
      <c r="G52" s="611"/>
      <c r="H52" s="611"/>
      <c r="I52" s="611"/>
      <c r="J52" s="611"/>
      <c r="K52" s="611">
        <f t="shared" si="25"/>
        <v>49718</v>
      </c>
      <c r="L52" s="667">
        <f t="shared" si="26"/>
        <v>22373</v>
      </c>
      <c r="M52" s="668">
        <f t="shared" si="15"/>
        <v>27345</v>
      </c>
      <c r="N52" s="668">
        <f t="shared" si="7"/>
        <v>27345</v>
      </c>
    </row>
    <row r="53" spans="1:14" ht="22" customHeight="1">
      <c r="A53" s="634">
        <v>4</v>
      </c>
      <c r="B53" s="638" t="s">
        <v>54</v>
      </c>
      <c r="C53" s="632">
        <f t="shared" si="24"/>
        <v>95300</v>
      </c>
      <c r="D53" s="619">
        <v>95300</v>
      </c>
      <c r="E53" s="619"/>
      <c r="F53" s="619"/>
      <c r="G53" s="619"/>
      <c r="H53" s="619"/>
      <c r="I53" s="611"/>
      <c r="J53" s="611"/>
      <c r="K53" s="611">
        <f t="shared" si="25"/>
        <v>95300</v>
      </c>
      <c r="L53" s="667">
        <f t="shared" si="26"/>
        <v>42885</v>
      </c>
      <c r="M53" s="668">
        <f t="shared" si="15"/>
        <v>52415</v>
      </c>
      <c r="N53" s="668">
        <f t="shared" si="7"/>
        <v>52415</v>
      </c>
    </row>
    <row r="54" spans="1:14" ht="22" customHeight="1">
      <c r="A54" s="634">
        <v>5</v>
      </c>
      <c r="B54" s="638" t="s">
        <v>501</v>
      </c>
      <c r="C54" s="632">
        <f t="shared" si="24"/>
        <v>115304</v>
      </c>
      <c r="D54" s="611">
        <f>74280+41024</f>
        <v>115304</v>
      </c>
      <c r="E54" s="611"/>
      <c r="F54" s="611"/>
      <c r="G54" s="611"/>
      <c r="H54" s="611"/>
      <c r="I54" s="611"/>
      <c r="J54" s="611"/>
      <c r="K54" s="611">
        <f t="shared" si="25"/>
        <v>115304</v>
      </c>
      <c r="L54" s="667">
        <f t="shared" si="26"/>
        <v>51886</v>
      </c>
      <c r="M54" s="668">
        <f t="shared" si="15"/>
        <v>63418</v>
      </c>
      <c r="N54" s="668">
        <f t="shared" si="7"/>
        <v>63418</v>
      </c>
    </row>
    <row r="55" spans="1:14" ht="22" customHeight="1">
      <c r="A55" s="634">
        <v>6</v>
      </c>
      <c r="B55" s="638" t="s">
        <v>500</v>
      </c>
      <c r="C55" s="632">
        <f t="shared" si="24"/>
        <v>56831</v>
      </c>
      <c r="D55" s="611">
        <v>56831</v>
      </c>
      <c r="E55" s="611"/>
      <c r="F55" s="611"/>
      <c r="G55" s="611"/>
      <c r="H55" s="611"/>
      <c r="I55" s="611"/>
      <c r="J55" s="611"/>
      <c r="K55" s="611">
        <f t="shared" si="25"/>
        <v>56831</v>
      </c>
      <c r="L55" s="667">
        <f t="shared" si="26"/>
        <v>25573</v>
      </c>
      <c r="M55" s="668">
        <f t="shared" si="15"/>
        <v>31258</v>
      </c>
      <c r="N55" s="668">
        <f t="shared" si="7"/>
        <v>31258</v>
      </c>
    </row>
    <row r="56" spans="1:14" ht="22" customHeight="1">
      <c r="A56" s="637" t="s">
        <v>50</v>
      </c>
      <c r="B56" s="636" t="s">
        <v>499</v>
      </c>
      <c r="C56" s="635">
        <f t="shared" ref="C56:L56" si="27">SUM(C57:C61)</f>
        <v>84240</v>
      </c>
      <c r="D56" s="635">
        <f t="shared" si="27"/>
        <v>0</v>
      </c>
      <c r="E56" s="635">
        <f t="shared" si="27"/>
        <v>0</v>
      </c>
      <c r="F56" s="635">
        <f t="shared" si="27"/>
        <v>0</v>
      </c>
      <c r="G56" s="635">
        <f t="shared" si="27"/>
        <v>84240</v>
      </c>
      <c r="H56" s="635">
        <f t="shared" si="27"/>
        <v>0</v>
      </c>
      <c r="I56" s="635">
        <f t="shared" si="27"/>
        <v>0</v>
      </c>
      <c r="J56" s="635">
        <f t="shared" si="27"/>
        <v>0</v>
      </c>
      <c r="K56" s="635">
        <f t="shared" si="27"/>
        <v>84240</v>
      </c>
      <c r="L56" s="669">
        <f t="shared" si="27"/>
        <v>84240</v>
      </c>
      <c r="M56" s="669">
        <f t="shared" ref="M56:N56" si="28">SUM(M57:M61)</f>
        <v>0</v>
      </c>
      <c r="N56" s="669">
        <f t="shared" si="28"/>
        <v>0</v>
      </c>
    </row>
    <row r="57" spans="1:14" ht="22" customHeight="1">
      <c r="A57" s="634">
        <v>1</v>
      </c>
      <c r="B57" s="633" t="s">
        <v>498</v>
      </c>
      <c r="C57" s="632">
        <f>SUM(D57:I57)</f>
        <v>18468</v>
      </c>
      <c r="D57" s="611"/>
      <c r="E57" s="611"/>
      <c r="F57" s="611"/>
      <c r="G57" s="611">
        <f>10368+8100</f>
        <v>18468</v>
      </c>
      <c r="H57" s="611"/>
      <c r="I57" s="611"/>
      <c r="J57" s="611"/>
      <c r="K57" s="611">
        <f>C57-J57</f>
        <v>18468</v>
      </c>
      <c r="L57" s="667">
        <f>K57</f>
        <v>18468</v>
      </c>
      <c r="M57" s="668">
        <f t="shared" si="15"/>
        <v>0</v>
      </c>
      <c r="N57" s="668">
        <f t="shared" si="7"/>
        <v>0</v>
      </c>
    </row>
    <row r="58" spans="1:14" ht="22" customHeight="1">
      <c r="A58" s="634">
        <v>2</v>
      </c>
      <c r="B58" s="633" t="s">
        <v>497</v>
      </c>
      <c r="C58" s="632">
        <f>SUM(D58:I58)</f>
        <v>10368</v>
      </c>
      <c r="D58" s="611"/>
      <c r="E58" s="611"/>
      <c r="F58" s="611"/>
      <c r="G58" s="611">
        <v>10368</v>
      </c>
      <c r="H58" s="611"/>
      <c r="I58" s="611"/>
      <c r="J58" s="611"/>
      <c r="K58" s="611">
        <f>C58-J58</f>
        <v>10368</v>
      </c>
      <c r="L58" s="667">
        <f>K58</f>
        <v>10368</v>
      </c>
      <c r="M58" s="668">
        <f t="shared" si="15"/>
        <v>0</v>
      </c>
      <c r="N58" s="668">
        <f t="shared" si="7"/>
        <v>0</v>
      </c>
    </row>
    <row r="59" spans="1:14" ht="22" customHeight="1">
      <c r="A59" s="634">
        <v>3</v>
      </c>
      <c r="B59" s="633" t="s">
        <v>496</v>
      </c>
      <c r="C59" s="632">
        <f>SUM(D59:I59)</f>
        <v>18468</v>
      </c>
      <c r="D59" s="611"/>
      <c r="E59" s="611"/>
      <c r="F59" s="611"/>
      <c r="G59" s="611">
        <v>18468</v>
      </c>
      <c r="H59" s="611"/>
      <c r="I59" s="611"/>
      <c r="J59" s="611"/>
      <c r="K59" s="611">
        <f>C59-J59</f>
        <v>18468</v>
      </c>
      <c r="L59" s="667">
        <f>K59</f>
        <v>18468</v>
      </c>
      <c r="M59" s="668">
        <f t="shared" si="15"/>
        <v>0</v>
      </c>
      <c r="N59" s="668">
        <f t="shared" si="7"/>
        <v>0</v>
      </c>
    </row>
    <row r="60" spans="1:14" ht="22" customHeight="1">
      <c r="A60" s="634">
        <v>4</v>
      </c>
      <c r="B60" s="633" t="s">
        <v>495</v>
      </c>
      <c r="C60" s="632">
        <f>SUM(D60:I60)</f>
        <v>18468</v>
      </c>
      <c r="D60" s="611"/>
      <c r="E60" s="611"/>
      <c r="F60" s="611"/>
      <c r="G60" s="611">
        <v>18468</v>
      </c>
      <c r="H60" s="611"/>
      <c r="I60" s="611"/>
      <c r="J60" s="611"/>
      <c r="K60" s="611">
        <f>C60-J60</f>
        <v>18468</v>
      </c>
      <c r="L60" s="667">
        <f>K60</f>
        <v>18468</v>
      </c>
      <c r="M60" s="668">
        <f t="shared" si="15"/>
        <v>0</v>
      </c>
      <c r="N60" s="668">
        <f t="shared" si="7"/>
        <v>0</v>
      </c>
    </row>
    <row r="61" spans="1:14" ht="22" customHeight="1">
      <c r="A61" s="631">
        <v>5</v>
      </c>
      <c r="B61" s="630" t="s">
        <v>494</v>
      </c>
      <c r="C61" s="629">
        <f>SUM(D61:I61)</f>
        <v>18468</v>
      </c>
      <c r="D61" s="605"/>
      <c r="E61" s="605"/>
      <c r="F61" s="605"/>
      <c r="G61" s="605">
        <v>18468</v>
      </c>
      <c r="H61" s="605"/>
      <c r="I61" s="605"/>
      <c r="J61" s="605"/>
      <c r="K61" s="605">
        <f>C61-J61</f>
        <v>18468</v>
      </c>
      <c r="L61" s="605">
        <f>K61</f>
        <v>18468</v>
      </c>
      <c r="M61" s="671">
        <f t="shared" si="15"/>
        <v>0</v>
      </c>
      <c r="N61" s="671">
        <f t="shared" si="7"/>
        <v>0</v>
      </c>
    </row>
  </sheetData>
  <mergeCells count="13">
    <mergeCell ref="M5:M6"/>
    <mergeCell ref="N5:N6"/>
    <mergeCell ref="M1:N1"/>
    <mergeCell ref="L4:M4"/>
    <mergeCell ref="A2:N2"/>
    <mergeCell ref="A3:N3"/>
    <mergeCell ref="A5:A6"/>
    <mergeCell ref="B5:B6"/>
    <mergeCell ref="D5:I5"/>
    <mergeCell ref="J5:J6"/>
    <mergeCell ref="K5:K6"/>
    <mergeCell ref="L5:L6"/>
    <mergeCell ref="C5:C6"/>
  </mergeCells>
  <pageMargins left="0.39370078740157483" right="0.11811023622047245" top="0.31496062992125984" bottom="0.35433070866141736" header="0.19685039370078741" footer="0.15748031496062992"/>
  <pageSetup paperSize="9" scale="75" orientation="landscape" useFirstPageNumber="1" r:id="rId1"/>
  <headerFooter>
    <oddFooter>&amp;C&amp;"Times New Roman,Regular"&amp;10&amp;P</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T25"/>
  <sheetViews>
    <sheetView zoomScale="115" zoomScaleNormal="115" zoomScaleSheetLayoutView="100" workbookViewId="0">
      <pane ySplit="7" topLeftCell="A14" activePane="bottomLeft" state="frozen"/>
      <selection activeCell="B61" sqref="B61"/>
      <selection pane="bottomLeft" activeCell="M21" sqref="M21"/>
    </sheetView>
  </sheetViews>
  <sheetFormatPr defaultRowHeight="13"/>
  <cols>
    <col min="1" max="1" width="5" style="599" customWidth="1"/>
    <col min="2" max="2" width="21.75" style="599" customWidth="1"/>
    <col min="3" max="3" width="10.25" style="599" customWidth="1"/>
    <col min="4" max="4" width="10.25" style="602" customWidth="1"/>
    <col min="5" max="5" width="9" style="602" customWidth="1"/>
    <col min="6" max="6" width="9.1640625" style="602" customWidth="1"/>
    <col min="7" max="7" width="8.75" style="602" customWidth="1"/>
    <col min="8" max="8" width="8.83203125" style="602" customWidth="1"/>
    <col min="9" max="9" width="8.4140625" style="603" customWidth="1"/>
    <col min="10" max="10" width="10" style="602" customWidth="1"/>
    <col min="11" max="11" width="8.25" style="602" customWidth="1"/>
    <col min="12" max="13" width="8.83203125" style="602" customWidth="1"/>
    <col min="14" max="14" width="9.1640625" style="602" customWidth="1"/>
    <col min="15" max="15" width="10.58203125" style="601" customWidth="1"/>
    <col min="16" max="16" width="10.4140625" style="600" customWidth="1"/>
    <col min="17" max="18" width="9.75" style="599" customWidth="1"/>
    <col min="19" max="19" width="9.1640625" style="599"/>
    <col min="20" max="20" width="12.1640625" style="599" customWidth="1"/>
    <col min="21" max="221" width="9.1640625" style="599"/>
    <col min="222" max="222" width="3.4140625" style="599" customWidth="1"/>
    <col min="223" max="223" width="29.58203125" style="599" customWidth="1"/>
    <col min="224" max="224" width="8.1640625" style="599" customWidth="1"/>
    <col min="225" max="225" width="7.75" style="599" customWidth="1"/>
    <col min="226" max="226" width="5.83203125" style="599" customWidth="1"/>
    <col min="227" max="227" width="5.75" style="599" customWidth="1"/>
    <col min="228" max="228" width="5.58203125" style="599" customWidth="1"/>
    <col min="229" max="230" width="6.25" style="599" customWidth="1"/>
    <col min="231" max="231" width="7.25" style="599" customWidth="1"/>
    <col min="232" max="232" width="5.83203125" style="599" customWidth="1"/>
    <col min="233" max="233" width="6.25" style="599" customWidth="1"/>
    <col min="234" max="238" width="6.83203125" style="599" customWidth="1"/>
    <col min="239" max="239" width="7.1640625" style="599" customWidth="1"/>
    <col min="240" max="241" width="7.4140625" style="599" customWidth="1"/>
    <col min="242" max="242" width="7.1640625" style="599" customWidth="1"/>
    <col min="243" max="243" width="5.1640625" style="599" customWidth="1"/>
    <col min="244" max="244" width="6.25" style="599" customWidth="1"/>
    <col min="245" max="245" width="6.4140625" style="599" customWidth="1"/>
    <col min="246" max="246" width="5.75" style="599" customWidth="1"/>
    <col min="247" max="247" width="6.25" style="599" customWidth="1"/>
    <col min="248" max="252" width="6.83203125" style="599" customWidth="1"/>
    <col min="253" max="253" width="6.58203125" style="599" customWidth="1"/>
    <col min="254" max="255" width="7.58203125" style="599" customWidth="1"/>
    <col min="256" max="477" width="9.1640625" style="599"/>
    <col min="478" max="478" width="3.4140625" style="599" customWidth="1"/>
    <col min="479" max="479" width="29.58203125" style="599" customWidth="1"/>
    <col min="480" max="480" width="8.1640625" style="599" customWidth="1"/>
    <col min="481" max="481" width="7.75" style="599" customWidth="1"/>
    <col min="482" max="482" width="5.83203125" style="599" customWidth="1"/>
    <col min="483" max="483" width="5.75" style="599" customWidth="1"/>
    <col min="484" max="484" width="5.58203125" style="599" customWidth="1"/>
    <col min="485" max="486" width="6.25" style="599" customWidth="1"/>
    <col min="487" max="487" width="7.25" style="599" customWidth="1"/>
    <col min="488" max="488" width="5.83203125" style="599" customWidth="1"/>
    <col min="489" max="489" width="6.25" style="599" customWidth="1"/>
    <col min="490" max="494" width="6.83203125" style="599" customWidth="1"/>
    <col min="495" max="495" width="7.1640625" style="599" customWidth="1"/>
    <col min="496" max="497" width="7.4140625" style="599" customWidth="1"/>
    <col min="498" max="498" width="7.1640625" style="599" customWidth="1"/>
    <col min="499" max="499" width="5.1640625" style="599" customWidth="1"/>
    <col min="500" max="500" width="6.25" style="599" customWidth="1"/>
    <col min="501" max="501" width="6.4140625" style="599" customWidth="1"/>
    <col min="502" max="502" width="5.75" style="599" customWidth="1"/>
    <col min="503" max="503" width="6.25" style="599" customWidth="1"/>
    <col min="504" max="508" width="6.83203125" style="599" customWidth="1"/>
    <col min="509" max="509" width="6.58203125" style="599" customWidth="1"/>
    <col min="510" max="511" width="7.58203125" style="599" customWidth="1"/>
    <col min="512" max="733" width="9.1640625" style="599"/>
    <col min="734" max="734" width="3.4140625" style="599" customWidth="1"/>
    <col min="735" max="735" width="29.58203125" style="599" customWidth="1"/>
    <col min="736" max="736" width="8.1640625" style="599" customWidth="1"/>
    <col min="737" max="737" width="7.75" style="599" customWidth="1"/>
    <col min="738" max="738" width="5.83203125" style="599" customWidth="1"/>
    <col min="739" max="739" width="5.75" style="599" customWidth="1"/>
    <col min="740" max="740" width="5.58203125" style="599" customWidth="1"/>
    <col min="741" max="742" width="6.25" style="599" customWidth="1"/>
    <col min="743" max="743" width="7.25" style="599" customWidth="1"/>
    <col min="744" max="744" width="5.83203125" style="599" customWidth="1"/>
    <col min="745" max="745" width="6.25" style="599" customWidth="1"/>
    <col min="746" max="750" width="6.83203125" style="599" customWidth="1"/>
    <col min="751" max="751" width="7.1640625" style="599" customWidth="1"/>
    <col min="752" max="753" width="7.4140625" style="599" customWidth="1"/>
    <col min="754" max="754" width="7.1640625" style="599" customWidth="1"/>
    <col min="755" max="755" width="5.1640625" style="599" customWidth="1"/>
    <col min="756" max="756" width="6.25" style="599" customWidth="1"/>
    <col min="757" max="757" width="6.4140625" style="599" customWidth="1"/>
    <col min="758" max="758" width="5.75" style="599" customWidth="1"/>
    <col min="759" max="759" width="6.25" style="599" customWidth="1"/>
    <col min="760" max="764" width="6.83203125" style="599" customWidth="1"/>
    <col min="765" max="765" width="6.58203125" style="599" customWidth="1"/>
    <col min="766" max="767" width="7.58203125" style="599" customWidth="1"/>
    <col min="768" max="989" width="9.1640625" style="599"/>
    <col min="990" max="990" width="3.4140625" style="599" customWidth="1"/>
    <col min="991" max="991" width="29.58203125" style="599" customWidth="1"/>
    <col min="992" max="992" width="8.1640625" style="599" customWidth="1"/>
    <col min="993" max="993" width="7.75" style="599" customWidth="1"/>
    <col min="994" max="994" width="5.83203125" style="599" customWidth="1"/>
    <col min="995" max="995" width="5.75" style="599" customWidth="1"/>
    <col min="996" max="996" width="5.58203125" style="599" customWidth="1"/>
    <col min="997" max="998" width="6.25" style="599" customWidth="1"/>
    <col min="999" max="999" width="7.25" style="599" customWidth="1"/>
    <col min="1000" max="1000" width="5.83203125" style="599" customWidth="1"/>
    <col min="1001" max="1001" width="6.25" style="599" customWidth="1"/>
    <col min="1002" max="1006" width="6.83203125" style="599" customWidth="1"/>
    <col min="1007" max="1007" width="7.1640625" style="599" customWidth="1"/>
    <col min="1008" max="1009" width="7.4140625" style="599" customWidth="1"/>
    <col min="1010" max="1010" width="7.1640625" style="599" customWidth="1"/>
    <col min="1011" max="1011" width="5.1640625" style="599" customWidth="1"/>
    <col min="1012" max="1012" width="6.25" style="599" customWidth="1"/>
    <col min="1013" max="1013" width="6.4140625" style="599" customWidth="1"/>
    <col min="1014" max="1014" width="5.75" style="599" customWidth="1"/>
    <col min="1015" max="1015" width="6.25" style="599" customWidth="1"/>
    <col min="1016" max="1020" width="6.83203125" style="599" customWidth="1"/>
    <col min="1021" max="1021" width="6.58203125" style="599" customWidth="1"/>
    <col min="1022" max="1023" width="7.58203125" style="599" customWidth="1"/>
    <col min="1024" max="1245" width="9.1640625" style="599"/>
    <col min="1246" max="1246" width="3.4140625" style="599" customWidth="1"/>
    <col min="1247" max="1247" width="29.58203125" style="599" customWidth="1"/>
    <col min="1248" max="1248" width="8.1640625" style="599" customWidth="1"/>
    <col min="1249" max="1249" width="7.75" style="599" customWidth="1"/>
    <col min="1250" max="1250" width="5.83203125" style="599" customWidth="1"/>
    <col min="1251" max="1251" width="5.75" style="599" customWidth="1"/>
    <col min="1252" max="1252" width="5.58203125" style="599" customWidth="1"/>
    <col min="1253" max="1254" width="6.25" style="599" customWidth="1"/>
    <col min="1255" max="1255" width="7.25" style="599" customWidth="1"/>
    <col min="1256" max="1256" width="5.83203125" style="599" customWidth="1"/>
    <col min="1257" max="1257" width="6.25" style="599" customWidth="1"/>
    <col min="1258" max="1262" width="6.83203125" style="599" customWidth="1"/>
    <col min="1263" max="1263" width="7.1640625" style="599" customWidth="1"/>
    <col min="1264" max="1265" width="7.4140625" style="599" customWidth="1"/>
    <col min="1266" max="1266" width="7.1640625" style="599" customWidth="1"/>
    <col min="1267" max="1267" width="5.1640625" style="599" customWidth="1"/>
    <col min="1268" max="1268" width="6.25" style="599" customWidth="1"/>
    <col min="1269" max="1269" width="6.4140625" style="599" customWidth="1"/>
    <col min="1270" max="1270" width="5.75" style="599" customWidth="1"/>
    <col min="1271" max="1271" width="6.25" style="599" customWidth="1"/>
    <col min="1272" max="1276" width="6.83203125" style="599" customWidth="1"/>
    <col min="1277" max="1277" width="6.58203125" style="599" customWidth="1"/>
    <col min="1278" max="1279" width="7.58203125" style="599" customWidth="1"/>
    <col min="1280" max="1501" width="9.1640625" style="599"/>
    <col min="1502" max="1502" width="3.4140625" style="599" customWidth="1"/>
    <col min="1503" max="1503" width="29.58203125" style="599" customWidth="1"/>
    <col min="1504" max="1504" width="8.1640625" style="599" customWidth="1"/>
    <col min="1505" max="1505" width="7.75" style="599" customWidth="1"/>
    <col min="1506" max="1506" width="5.83203125" style="599" customWidth="1"/>
    <col min="1507" max="1507" width="5.75" style="599" customWidth="1"/>
    <col min="1508" max="1508" width="5.58203125" style="599" customWidth="1"/>
    <col min="1509" max="1510" width="6.25" style="599" customWidth="1"/>
    <col min="1511" max="1511" width="7.25" style="599" customWidth="1"/>
    <col min="1512" max="1512" width="5.83203125" style="599" customWidth="1"/>
    <col min="1513" max="1513" width="6.25" style="599" customWidth="1"/>
    <col min="1514" max="1518" width="6.83203125" style="599" customWidth="1"/>
    <col min="1519" max="1519" width="7.1640625" style="599" customWidth="1"/>
    <col min="1520" max="1521" width="7.4140625" style="599" customWidth="1"/>
    <col min="1522" max="1522" width="7.1640625" style="599" customWidth="1"/>
    <col min="1523" max="1523" width="5.1640625" style="599" customWidth="1"/>
    <col min="1524" max="1524" width="6.25" style="599" customWidth="1"/>
    <col min="1525" max="1525" width="6.4140625" style="599" customWidth="1"/>
    <col min="1526" max="1526" width="5.75" style="599" customWidth="1"/>
    <col min="1527" max="1527" width="6.25" style="599" customWidth="1"/>
    <col min="1528" max="1532" width="6.83203125" style="599" customWidth="1"/>
    <col min="1533" max="1533" width="6.58203125" style="599" customWidth="1"/>
    <col min="1534" max="1535" width="7.58203125" style="599" customWidth="1"/>
    <col min="1536" max="1757" width="9.1640625" style="599"/>
    <col min="1758" max="1758" width="3.4140625" style="599" customWidth="1"/>
    <col min="1759" max="1759" width="29.58203125" style="599" customWidth="1"/>
    <col min="1760" max="1760" width="8.1640625" style="599" customWidth="1"/>
    <col min="1761" max="1761" width="7.75" style="599" customWidth="1"/>
    <col min="1762" max="1762" width="5.83203125" style="599" customWidth="1"/>
    <col min="1763" max="1763" width="5.75" style="599" customWidth="1"/>
    <col min="1764" max="1764" width="5.58203125" style="599" customWidth="1"/>
    <col min="1765" max="1766" width="6.25" style="599" customWidth="1"/>
    <col min="1767" max="1767" width="7.25" style="599" customWidth="1"/>
    <col min="1768" max="1768" width="5.83203125" style="599" customWidth="1"/>
    <col min="1769" max="1769" width="6.25" style="599" customWidth="1"/>
    <col min="1770" max="1774" width="6.83203125" style="599" customWidth="1"/>
    <col min="1775" max="1775" width="7.1640625" style="599" customWidth="1"/>
    <col min="1776" max="1777" width="7.4140625" style="599" customWidth="1"/>
    <col min="1778" max="1778" width="7.1640625" style="599" customWidth="1"/>
    <col min="1779" max="1779" width="5.1640625" style="599" customWidth="1"/>
    <col min="1780" max="1780" width="6.25" style="599" customWidth="1"/>
    <col min="1781" max="1781" width="6.4140625" style="599" customWidth="1"/>
    <col min="1782" max="1782" width="5.75" style="599" customWidth="1"/>
    <col min="1783" max="1783" width="6.25" style="599" customWidth="1"/>
    <col min="1784" max="1788" width="6.83203125" style="599" customWidth="1"/>
    <col min="1789" max="1789" width="6.58203125" style="599" customWidth="1"/>
    <col min="1790" max="1791" width="7.58203125" style="599" customWidth="1"/>
    <col min="1792" max="2013" width="9.1640625" style="599"/>
    <col min="2014" max="2014" width="3.4140625" style="599" customWidth="1"/>
    <col min="2015" max="2015" width="29.58203125" style="599" customWidth="1"/>
    <col min="2016" max="2016" width="8.1640625" style="599" customWidth="1"/>
    <col min="2017" max="2017" width="7.75" style="599" customWidth="1"/>
    <col min="2018" max="2018" width="5.83203125" style="599" customWidth="1"/>
    <col min="2019" max="2019" width="5.75" style="599" customWidth="1"/>
    <col min="2020" max="2020" width="5.58203125" style="599" customWidth="1"/>
    <col min="2021" max="2022" width="6.25" style="599" customWidth="1"/>
    <col min="2023" max="2023" width="7.25" style="599" customWidth="1"/>
    <col min="2024" max="2024" width="5.83203125" style="599" customWidth="1"/>
    <col min="2025" max="2025" width="6.25" style="599" customWidth="1"/>
    <col min="2026" max="2030" width="6.83203125" style="599" customWidth="1"/>
    <col min="2031" max="2031" width="7.1640625" style="599" customWidth="1"/>
    <col min="2032" max="2033" width="7.4140625" style="599" customWidth="1"/>
    <col min="2034" max="2034" width="7.1640625" style="599" customWidth="1"/>
    <col min="2035" max="2035" width="5.1640625" style="599" customWidth="1"/>
    <col min="2036" max="2036" width="6.25" style="599" customWidth="1"/>
    <col min="2037" max="2037" width="6.4140625" style="599" customWidth="1"/>
    <col min="2038" max="2038" width="5.75" style="599" customWidth="1"/>
    <col min="2039" max="2039" width="6.25" style="599" customWidth="1"/>
    <col min="2040" max="2044" width="6.83203125" style="599" customWidth="1"/>
    <col min="2045" max="2045" width="6.58203125" style="599" customWidth="1"/>
    <col min="2046" max="2047" width="7.58203125" style="599" customWidth="1"/>
    <col min="2048" max="2269" width="9.1640625" style="599"/>
    <col min="2270" max="2270" width="3.4140625" style="599" customWidth="1"/>
    <col min="2271" max="2271" width="29.58203125" style="599" customWidth="1"/>
    <col min="2272" max="2272" width="8.1640625" style="599" customWidth="1"/>
    <col min="2273" max="2273" width="7.75" style="599" customWidth="1"/>
    <col min="2274" max="2274" width="5.83203125" style="599" customWidth="1"/>
    <col min="2275" max="2275" width="5.75" style="599" customWidth="1"/>
    <col min="2276" max="2276" width="5.58203125" style="599" customWidth="1"/>
    <col min="2277" max="2278" width="6.25" style="599" customWidth="1"/>
    <col min="2279" max="2279" width="7.25" style="599" customWidth="1"/>
    <col min="2280" max="2280" width="5.83203125" style="599" customWidth="1"/>
    <col min="2281" max="2281" width="6.25" style="599" customWidth="1"/>
    <col min="2282" max="2286" width="6.83203125" style="599" customWidth="1"/>
    <col min="2287" max="2287" width="7.1640625" style="599" customWidth="1"/>
    <col min="2288" max="2289" width="7.4140625" style="599" customWidth="1"/>
    <col min="2290" max="2290" width="7.1640625" style="599" customWidth="1"/>
    <col min="2291" max="2291" width="5.1640625" style="599" customWidth="1"/>
    <col min="2292" max="2292" width="6.25" style="599" customWidth="1"/>
    <col min="2293" max="2293" width="6.4140625" style="599" customWidth="1"/>
    <col min="2294" max="2294" width="5.75" style="599" customWidth="1"/>
    <col min="2295" max="2295" width="6.25" style="599" customWidth="1"/>
    <col min="2296" max="2300" width="6.83203125" style="599" customWidth="1"/>
    <col min="2301" max="2301" width="6.58203125" style="599" customWidth="1"/>
    <col min="2302" max="2303" width="7.58203125" style="599" customWidth="1"/>
    <col min="2304" max="2525" width="9.1640625" style="599"/>
    <col min="2526" max="2526" width="3.4140625" style="599" customWidth="1"/>
    <col min="2527" max="2527" width="29.58203125" style="599" customWidth="1"/>
    <col min="2528" max="2528" width="8.1640625" style="599" customWidth="1"/>
    <col min="2529" max="2529" width="7.75" style="599" customWidth="1"/>
    <col min="2530" max="2530" width="5.83203125" style="599" customWidth="1"/>
    <col min="2531" max="2531" width="5.75" style="599" customWidth="1"/>
    <col min="2532" max="2532" width="5.58203125" style="599" customWidth="1"/>
    <col min="2533" max="2534" width="6.25" style="599" customWidth="1"/>
    <col min="2535" max="2535" width="7.25" style="599" customWidth="1"/>
    <col min="2536" max="2536" width="5.83203125" style="599" customWidth="1"/>
    <col min="2537" max="2537" width="6.25" style="599" customWidth="1"/>
    <col min="2538" max="2542" width="6.83203125" style="599" customWidth="1"/>
    <col min="2543" max="2543" width="7.1640625" style="599" customWidth="1"/>
    <col min="2544" max="2545" width="7.4140625" style="599" customWidth="1"/>
    <col min="2546" max="2546" width="7.1640625" style="599" customWidth="1"/>
    <col min="2547" max="2547" width="5.1640625" style="599" customWidth="1"/>
    <col min="2548" max="2548" width="6.25" style="599" customWidth="1"/>
    <col min="2549" max="2549" width="6.4140625" style="599" customWidth="1"/>
    <col min="2550" max="2550" width="5.75" style="599" customWidth="1"/>
    <col min="2551" max="2551" width="6.25" style="599" customWidth="1"/>
    <col min="2552" max="2556" width="6.83203125" style="599" customWidth="1"/>
    <col min="2557" max="2557" width="6.58203125" style="599" customWidth="1"/>
    <col min="2558" max="2559" width="7.58203125" style="599" customWidth="1"/>
    <col min="2560" max="2781" width="9.1640625" style="599"/>
    <col min="2782" max="2782" width="3.4140625" style="599" customWidth="1"/>
    <col min="2783" max="2783" width="29.58203125" style="599" customWidth="1"/>
    <col min="2784" max="2784" width="8.1640625" style="599" customWidth="1"/>
    <col min="2785" max="2785" width="7.75" style="599" customWidth="1"/>
    <col min="2786" max="2786" width="5.83203125" style="599" customWidth="1"/>
    <col min="2787" max="2787" width="5.75" style="599" customWidth="1"/>
    <col min="2788" max="2788" width="5.58203125" style="599" customWidth="1"/>
    <col min="2789" max="2790" width="6.25" style="599" customWidth="1"/>
    <col min="2791" max="2791" width="7.25" style="599" customWidth="1"/>
    <col min="2792" max="2792" width="5.83203125" style="599" customWidth="1"/>
    <col min="2793" max="2793" width="6.25" style="599" customWidth="1"/>
    <col min="2794" max="2798" width="6.83203125" style="599" customWidth="1"/>
    <col min="2799" max="2799" width="7.1640625" style="599" customWidth="1"/>
    <col min="2800" max="2801" width="7.4140625" style="599" customWidth="1"/>
    <col min="2802" max="2802" width="7.1640625" style="599" customWidth="1"/>
    <col min="2803" max="2803" width="5.1640625" style="599" customWidth="1"/>
    <col min="2804" max="2804" width="6.25" style="599" customWidth="1"/>
    <col min="2805" max="2805" width="6.4140625" style="599" customWidth="1"/>
    <col min="2806" max="2806" width="5.75" style="599" customWidth="1"/>
    <col min="2807" max="2807" width="6.25" style="599" customWidth="1"/>
    <col min="2808" max="2812" width="6.83203125" style="599" customWidth="1"/>
    <col min="2813" max="2813" width="6.58203125" style="599" customWidth="1"/>
    <col min="2814" max="2815" width="7.58203125" style="599" customWidth="1"/>
    <col min="2816" max="3037" width="9.1640625" style="599"/>
    <col min="3038" max="3038" width="3.4140625" style="599" customWidth="1"/>
    <col min="3039" max="3039" width="29.58203125" style="599" customWidth="1"/>
    <col min="3040" max="3040" width="8.1640625" style="599" customWidth="1"/>
    <col min="3041" max="3041" width="7.75" style="599" customWidth="1"/>
    <col min="3042" max="3042" width="5.83203125" style="599" customWidth="1"/>
    <col min="3043" max="3043" width="5.75" style="599" customWidth="1"/>
    <col min="3044" max="3044" width="5.58203125" style="599" customWidth="1"/>
    <col min="3045" max="3046" width="6.25" style="599" customWidth="1"/>
    <col min="3047" max="3047" width="7.25" style="599" customWidth="1"/>
    <col min="3048" max="3048" width="5.83203125" style="599" customWidth="1"/>
    <col min="3049" max="3049" width="6.25" style="599" customWidth="1"/>
    <col min="3050" max="3054" width="6.83203125" style="599" customWidth="1"/>
    <col min="3055" max="3055" width="7.1640625" style="599" customWidth="1"/>
    <col min="3056" max="3057" width="7.4140625" style="599" customWidth="1"/>
    <col min="3058" max="3058" width="7.1640625" style="599" customWidth="1"/>
    <col min="3059" max="3059" width="5.1640625" style="599" customWidth="1"/>
    <col min="3060" max="3060" width="6.25" style="599" customWidth="1"/>
    <col min="3061" max="3061" width="6.4140625" style="599" customWidth="1"/>
    <col min="3062" max="3062" width="5.75" style="599" customWidth="1"/>
    <col min="3063" max="3063" width="6.25" style="599" customWidth="1"/>
    <col min="3064" max="3068" width="6.83203125" style="599" customWidth="1"/>
    <col min="3069" max="3069" width="6.58203125" style="599" customWidth="1"/>
    <col min="3070" max="3071" width="7.58203125" style="599" customWidth="1"/>
    <col min="3072" max="3293" width="9.1640625" style="599"/>
    <col min="3294" max="3294" width="3.4140625" style="599" customWidth="1"/>
    <col min="3295" max="3295" width="29.58203125" style="599" customWidth="1"/>
    <col min="3296" max="3296" width="8.1640625" style="599" customWidth="1"/>
    <col min="3297" max="3297" width="7.75" style="599" customWidth="1"/>
    <col min="3298" max="3298" width="5.83203125" style="599" customWidth="1"/>
    <col min="3299" max="3299" width="5.75" style="599" customWidth="1"/>
    <col min="3300" max="3300" width="5.58203125" style="599" customWidth="1"/>
    <col min="3301" max="3302" width="6.25" style="599" customWidth="1"/>
    <col min="3303" max="3303" width="7.25" style="599" customWidth="1"/>
    <col min="3304" max="3304" width="5.83203125" style="599" customWidth="1"/>
    <col min="3305" max="3305" width="6.25" style="599" customWidth="1"/>
    <col min="3306" max="3310" width="6.83203125" style="599" customWidth="1"/>
    <col min="3311" max="3311" width="7.1640625" style="599" customWidth="1"/>
    <col min="3312" max="3313" width="7.4140625" style="599" customWidth="1"/>
    <col min="3314" max="3314" width="7.1640625" style="599" customWidth="1"/>
    <col min="3315" max="3315" width="5.1640625" style="599" customWidth="1"/>
    <col min="3316" max="3316" width="6.25" style="599" customWidth="1"/>
    <col min="3317" max="3317" width="6.4140625" style="599" customWidth="1"/>
    <col min="3318" max="3318" width="5.75" style="599" customWidth="1"/>
    <col min="3319" max="3319" width="6.25" style="599" customWidth="1"/>
    <col min="3320" max="3324" width="6.83203125" style="599" customWidth="1"/>
    <col min="3325" max="3325" width="6.58203125" style="599" customWidth="1"/>
    <col min="3326" max="3327" width="7.58203125" style="599" customWidth="1"/>
    <col min="3328" max="3549" width="9.1640625" style="599"/>
    <col min="3550" max="3550" width="3.4140625" style="599" customWidth="1"/>
    <col min="3551" max="3551" width="29.58203125" style="599" customWidth="1"/>
    <col min="3552" max="3552" width="8.1640625" style="599" customWidth="1"/>
    <col min="3553" max="3553" width="7.75" style="599" customWidth="1"/>
    <col min="3554" max="3554" width="5.83203125" style="599" customWidth="1"/>
    <col min="3555" max="3555" width="5.75" style="599" customWidth="1"/>
    <col min="3556" max="3556" width="5.58203125" style="599" customWidth="1"/>
    <col min="3557" max="3558" width="6.25" style="599" customWidth="1"/>
    <col min="3559" max="3559" width="7.25" style="599" customWidth="1"/>
    <col min="3560" max="3560" width="5.83203125" style="599" customWidth="1"/>
    <col min="3561" max="3561" width="6.25" style="599" customWidth="1"/>
    <col min="3562" max="3566" width="6.83203125" style="599" customWidth="1"/>
    <col min="3567" max="3567" width="7.1640625" style="599" customWidth="1"/>
    <col min="3568" max="3569" width="7.4140625" style="599" customWidth="1"/>
    <col min="3570" max="3570" width="7.1640625" style="599" customWidth="1"/>
    <col min="3571" max="3571" width="5.1640625" style="599" customWidth="1"/>
    <col min="3572" max="3572" width="6.25" style="599" customWidth="1"/>
    <col min="3573" max="3573" width="6.4140625" style="599" customWidth="1"/>
    <col min="3574" max="3574" width="5.75" style="599" customWidth="1"/>
    <col min="3575" max="3575" width="6.25" style="599" customWidth="1"/>
    <col min="3576" max="3580" width="6.83203125" style="599" customWidth="1"/>
    <col min="3581" max="3581" width="6.58203125" style="599" customWidth="1"/>
    <col min="3582" max="3583" width="7.58203125" style="599" customWidth="1"/>
    <col min="3584" max="3805" width="9.1640625" style="599"/>
    <col min="3806" max="3806" width="3.4140625" style="599" customWidth="1"/>
    <col min="3807" max="3807" width="29.58203125" style="599" customWidth="1"/>
    <col min="3808" max="3808" width="8.1640625" style="599" customWidth="1"/>
    <col min="3809" max="3809" width="7.75" style="599" customWidth="1"/>
    <col min="3810" max="3810" width="5.83203125" style="599" customWidth="1"/>
    <col min="3811" max="3811" width="5.75" style="599" customWidth="1"/>
    <col min="3812" max="3812" width="5.58203125" style="599" customWidth="1"/>
    <col min="3813" max="3814" width="6.25" style="599" customWidth="1"/>
    <col min="3815" max="3815" width="7.25" style="599" customWidth="1"/>
    <col min="3816" max="3816" width="5.83203125" style="599" customWidth="1"/>
    <col min="3817" max="3817" width="6.25" style="599" customWidth="1"/>
    <col min="3818" max="3822" width="6.83203125" style="599" customWidth="1"/>
    <col min="3823" max="3823" width="7.1640625" style="599" customWidth="1"/>
    <col min="3824" max="3825" width="7.4140625" style="599" customWidth="1"/>
    <col min="3826" max="3826" width="7.1640625" style="599" customWidth="1"/>
    <col min="3827" max="3827" width="5.1640625" style="599" customWidth="1"/>
    <col min="3828" max="3828" width="6.25" style="599" customWidth="1"/>
    <col min="3829" max="3829" width="6.4140625" style="599" customWidth="1"/>
    <col min="3830" max="3830" width="5.75" style="599" customWidth="1"/>
    <col min="3831" max="3831" width="6.25" style="599" customWidth="1"/>
    <col min="3832" max="3836" width="6.83203125" style="599" customWidth="1"/>
    <col min="3837" max="3837" width="6.58203125" style="599" customWidth="1"/>
    <col min="3838" max="3839" width="7.58203125" style="599" customWidth="1"/>
    <col min="3840" max="4061" width="9.1640625" style="599"/>
    <col min="4062" max="4062" width="3.4140625" style="599" customWidth="1"/>
    <col min="4063" max="4063" width="29.58203125" style="599" customWidth="1"/>
    <col min="4064" max="4064" width="8.1640625" style="599" customWidth="1"/>
    <col min="4065" max="4065" width="7.75" style="599" customWidth="1"/>
    <col min="4066" max="4066" width="5.83203125" style="599" customWidth="1"/>
    <col min="4067" max="4067" width="5.75" style="599" customWidth="1"/>
    <col min="4068" max="4068" width="5.58203125" style="599" customWidth="1"/>
    <col min="4069" max="4070" width="6.25" style="599" customWidth="1"/>
    <col min="4071" max="4071" width="7.25" style="599" customWidth="1"/>
    <col min="4072" max="4072" width="5.83203125" style="599" customWidth="1"/>
    <col min="4073" max="4073" width="6.25" style="599" customWidth="1"/>
    <col min="4074" max="4078" width="6.83203125" style="599" customWidth="1"/>
    <col min="4079" max="4079" width="7.1640625" style="599" customWidth="1"/>
    <col min="4080" max="4081" width="7.4140625" style="599" customWidth="1"/>
    <col min="4082" max="4082" width="7.1640625" style="599" customWidth="1"/>
    <col min="4083" max="4083" width="5.1640625" style="599" customWidth="1"/>
    <col min="4084" max="4084" width="6.25" style="599" customWidth="1"/>
    <col min="4085" max="4085" width="6.4140625" style="599" customWidth="1"/>
    <col min="4086" max="4086" width="5.75" style="599" customWidth="1"/>
    <col min="4087" max="4087" width="6.25" style="599" customWidth="1"/>
    <col min="4088" max="4092" width="6.83203125" style="599" customWidth="1"/>
    <col min="4093" max="4093" width="6.58203125" style="599" customWidth="1"/>
    <col min="4094" max="4095" width="7.58203125" style="599" customWidth="1"/>
    <col min="4096" max="4317" width="9.1640625" style="599"/>
    <col min="4318" max="4318" width="3.4140625" style="599" customWidth="1"/>
    <col min="4319" max="4319" width="29.58203125" style="599" customWidth="1"/>
    <col min="4320" max="4320" width="8.1640625" style="599" customWidth="1"/>
    <col min="4321" max="4321" width="7.75" style="599" customWidth="1"/>
    <col min="4322" max="4322" width="5.83203125" style="599" customWidth="1"/>
    <col min="4323" max="4323" width="5.75" style="599" customWidth="1"/>
    <col min="4324" max="4324" width="5.58203125" style="599" customWidth="1"/>
    <col min="4325" max="4326" width="6.25" style="599" customWidth="1"/>
    <col min="4327" max="4327" width="7.25" style="599" customWidth="1"/>
    <col min="4328" max="4328" width="5.83203125" style="599" customWidth="1"/>
    <col min="4329" max="4329" width="6.25" style="599" customWidth="1"/>
    <col min="4330" max="4334" width="6.83203125" style="599" customWidth="1"/>
    <col min="4335" max="4335" width="7.1640625" style="599" customWidth="1"/>
    <col min="4336" max="4337" width="7.4140625" style="599" customWidth="1"/>
    <col min="4338" max="4338" width="7.1640625" style="599" customWidth="1"/>
    <col min="4339" max="4339" width="5.1640625" style="599" customWidth="1"/>
    <col min="4340" max="4340" width="6.25" style="599" customWidth="1"/>
    <col min="4341" max="4341" width="6.4140625" style="599" customWidth="1"/>
    <col min="4342" max="4342" width="5.75" style="599" customWidth="1"/>
    <col min="4343" max="4343" width="6.25" style="599" customWidth="1"/>
    <col min="4344" max="4348" width="6.83203125" style="599" customWidth="1"/>
    <col min="4349" max="4349" width="6.58203125" style="599" customWidth="1"/>
    <col min="4350" max="4351" width="7.58203125" style="599" customWidth="1"/>
    <col min="4352" max="4573" width="9.1640625" style="599"/>
    <col min="4574" max="4574" width="3.4140625" style="599" customWidth="1"/>
    <col min="4575" max="4575" width="29.58203125" style="599" customWidth="1"/>
    <col min="4576" max="4576" width="8.1640625" style="599" customWidth="1"/>
    <col min="4577" max="4577" width="7.75" style="599" customWidth="1"/>
    <col min="4578" max="4578" width="5.83203125" style="599" customWidth="1"/>
    <col min="4579" max="4579" width="5.75" style="599" customWidth="1"/>
    <col min="4580" max="4580" width="5.58203125" style="599" customWidth="1"/>
    <col min="4581" max="4582" width="6.25" style="599" customWidth="1"/>
    <col min="4583" max="4583" width="7.25" style="599" customWidth="1"/>
    <col min="4584" max="4584" width="5.83203125" style="599" customWidth="1"/>
    <col min="4585" max="4585" width="6.25" style="599" customWidth="1"/>
    <col min="4586" max="4590" width="6.83203125" style="599" customWidth="1"/>
    <col min="4591" max="4591" width="7.1640625" style="599" customWidth="1"/>
    <col min="4592" max="4593" width="7.4140625" style="599" customWidth="1"/>
    <col min="4594" max="4594" width="7.1640625" style="599" customWidth="1"/>
    <col min="4595" max="4595" width="5.1640625" style="599" customWidth="1"/>
    <col min="4596" max="4596" width="6.25" style="599" customWidth="1"/>
    <col min="4597" max="4597" width="6.4140625" style="599" customWidth="1"/>
    <col min="4598" max="4598" width="5.75" style="599" customWidth="1"/>
    <col min="4599" max="4599" width="6.25" style="599" customWidth="1"/>
    <col min="4600" max="4604" width="6.83203125" style="599" customWidth="1"/>
    <col min="4605" max="4605" width="6.58203125" style="599" customWidth="1"/>
    <col min="4606" max="4607" width="7.58203125" style="599" customWidth="1"/>
    <col min="4608" max="4829" width="9.1640625" style="599"/>
    <col min="4830" max="4830" width="3.4140625" style="599" customWidth="1"/>
    <col min="4831" max="4831" width="29.58203125" style="599" customWidth="1"/>
    <col min="4832" max="4832" width="8.1640625" style="599" customWidth="1"/>
    <col min="4833" max="4833" width="7.75" style="599" customWidth="1"/>
    <col min="4834" max="4834" width="5.83203125" style="599" customWidth="1"/>
    <col min="4835" max="4835" width="5.75" style="599" customWidth="1"/>
    <col min="4836" max="4836" width="5.58203125" style="599" customWidth="1"/>
    <col min="4837" max="4838" width="6.25" style="599" customWidth="1"/>
    <col min="4839" max="4839" width="7.25" style="599" customWidth="1"/>
    <col min="4840" max="4840" width="5.83203125" style="599" customWidth="1"/>
    <col min="4841" max="4841" width="6.25" style="599" customWidth="1"/>
    <col min="4842" max="4846" width="6.83203125" style="599" customWidth="1"/>
    <col min="4847" max="4847" width="7.1640625" style="599" customWidth="1"/>
    <col min="4848" max="4849" width="7.4140625" style="599" customWidth="1"/>
    <col min="4850" max="4850" width="7.1640625" style="599" customWidth="1"/>
    <col min="4851" max="4851" width="5.1640625" style="599" customWidth="1"/>
    <col min="4852" max="4852" width="6.25" style="599" customWidth="1"/>
    <col min="4853" max="4853" width="6.4140625" style="599" customWidth="1"/>
    <col min="4854" max="4854" width="5.75" style="599" customWidth="1"/>
    <col min="4855" max="4855" width="6.25" style="599" customWidth="1"/>
    <col min="4856" max="4860" width="6.83203125" style="599" customWidth="1"/>
    <col min="4861" max="4861" width="6.58203125" style="599" customWidth="1"/>
    <col min="4862" max="4863" width="7.58203125" style="599" customWidth="1"/>
    <col min="4864" max="5085" width="9.1640625" style="599"/>
    <col min="5086" max="5086" width="3.4140625" style="599" customWidth="1"/>
    <col min="5087" max="5087" width="29.58203125" style="599" customWidth="1"/>
    <col min="5088" max="5088" width="8.1640625" style="599" customWidth="1"/>
    <col min="5089" max="5089" width="7.75" style="599" customWidth="1"/>
    <col min="5090" max="5090" width="5.83203125" style="599" customWidth="1"/>
    <col min="5091" max="5091" width="5.75" style="599" customWidth="1"/>
    <col min="5092" max="5092" width="5.58203125" style="599" customWidth="1"/>
    <col min="5093" max="5094" width="6.25" style="599" customWidth="1"/>
    <col min="5095" max="5095" width="7.25" style="599" customWidth="1"/>
    <col min="5096" max="5096" width="5.83203125" style="599" customWidth="1"/>
    <col min="5097" max="5097" width="6.25" style="599" customWidth="1"/>
    <col min="5098" max="5102" width="6.83203125" style="599" customWidth="1"/>
    <col min="5103" max="5103" width="7.1640625" style="599" customWidth="1"/>
    <col min="5104" max="5105" width="7.4140625" style="599" customWidth="1"/>
    <col min="5106" max="5106" width="7.1640625" style="599" customWidth="1"/>
    <col min="5107" max="5107" width="5.1640625" style="599" customWidth="1"/>
    <col min="5108" max="5108" width="6.25" style="599" customWidth="1"/>
    <col min="5109" max="5109" width="6.4140625" style="599" customWidth="1"/>
    <col min="5110" max="5110" width="5.75" style="599" customWidth="1"/>
    <col min="5111" max="5111" width="6.25" style="599" customWidth="1"/>
    <col min="5112" max="5116" width="6.83203125" style="599" customWidth="1"/>
    <col min="5117" max="5117" width="6.58203125" style="599" customWidth="1"/>
    <col min="5118" max="5119" width="7.58203125" style="599" customWidth="1"/>
    <col min="5120" max="5341" width="9.1640625" style="599"/>
    <col min="5342" max="5342" width="3.4140625" style="599" customWidth="1"/>
    <col min="5343" max="5343" width="29.58203125" style="599" customWidth="1"/>
    <col min="5344" max="5344" width="8.1640625" style="599" customWidth="1"/>
    <col min="5345" max="5345" width="7.75" style="599" customWidth="1"/>
    <col min="5346" max="5346" width="5.83203125" style="599" customWidth="1"/>
    <col min="5347" max="5347" width="5.75" style="599" customWidth="1"/>
    <col min="5348" max="5348" width="5.58203125" style="599" customWidth="1"/>
    <col min="5349" max="5350" width="6.25" style="599" customWidth="1"/>
    <col min="5351" max="5351" width="7.25" style="599" customWidth="1"/>
    <col min="5352" max="5352" width="5.83203125" style="599" customWidth="1"/>
    <col min="5353" max="5353" width="6.25" style="599" customWidth="1"/>
    <col min="5354" max="5358" width="6.83203125" style="599" customWidth="1"/>
    <col min="5359" max="5359" width="7.1640625" style="599" customWidth="1"/>
    <col min="5360" max="5361" width="7.4140625" style="599" customWidth="1"/>
    <col min="5362" max="5362" width="7.1640625" style="599" customWidth="1"/>
    <col min="5363" max="5363" width="5.1640625" style="599" customWidth="1"/>
    <col min="5364" max="5364" width="6.25" style="599" customWidth="1"/>
    <col min="5365" max="5365" width="6.4140625" style="599" customWidth="1"/>
    <col min="5366" max="5366" width="5.75" style="599" customWidth="1"/>
    <col min="5367" max="5367" width="6.25" style="599" customWidth="1"/>
    <col min="5368" max="5372" width="6.83203125" style="599" customWidth="1"/>
    <col min="5373" max="5373" width="6.58203125" style="599" customWidth="1"/>
    <col min="5374" max="5375" width="7.58203125" style="599" customWidth="1"/>
    <col min="5376" max="5597" width="9.1640625" style="599"/>
    <col min="5598" max="5598" width="3.4140625" style="599" customWidth="1"/>
    <col min="5599" max="5599" width="29.58203125" style="599" customWidth="1"/>
    <col min="5600" max="5600" width="8.1640625" style="599" customWidth="1"/>
    <col min="5601" max="5601" width="7.75" style="599" customWidth="1"/>
    <col min="5602" max="5602" width="5.83203125" style="599" customWidth="1"/>
    <col min="5603" max="5603" width="5.75" style="599" customWidth="1"/>
    <col min="5604" max="5604" width="5.58203125" style="599" customWidth="1"/>
    <col min="5605" max="5606" width="6.25" style="599" customWidth="1"/>
    <col min="5607" max="5607" width="7.25" style="599" customWidth="1"/>
    <col min="5608" max="5608" width="5.83203125" style="599" customWidth="1"/>
    <col min="5609" max="5609" width="6.25" style="599" customWidth="1"/>
    <col min="5610" max="5614" width="6.83203125" style="599" customWidth="1"/>
    <col min="5615" max="5615" width="7.1640625" style="599" customWidth="1"/>
    <col min="5616" max="5617" width="7.4140625" style="599" customWidth="1"/>
    <col min="5618" max="5618" width="7.1640625" style="599" customWidth="1"/>
    <col min="5619" max="5619" width="5.1640625" style="599" customWidth="1"/>
    <col min="5620" max="5620" width="6.25" style="599" customWidth="1"/>
    <col min="5621" max="5621" width="6.4140625" style="599" customWidth="1"/>
    <col min="5622" max="5622" width="5.75" style="599" customWidth="1"/>
    <col min="5623" max="5623" width="6.25" style="599" customWidth="1"/>
    <col min="5624" max="5628" width="6.83203125" style="599" customWidth="1"/>
    <col min="5629" max="5629" width="6.58203125" style="599" customWidth="1"/>
    <col min="5630" max="5631" width="7.58203125" style="599" customWidth="1"/>
    <col min="5632" max="5853" width="9.1640625" style="599"/>
    <col min="5854" max="5854" width="3.4140625" style="599" customWidth="1"/>
    <col min="5855" max="5855" width="29.58203125" style="599" customWidth="1"/>
    <col min="5856" max="5856" width="8.1640625" style="599" customWidth="1"/>
    <col min="5857" max="5857" width="7.75" style="599" customWidth="1"/>
    <col min="5858" max="5858" width="5.83203125" style="599" customWidth="1"/>
    <col min="5859" max="5859" width="5.75" style="599" customWidth="1"/>
    <col min="5860" max="5860" width="5.58203125" style="599" customWidth="1"/>
    <col min="5861" max="5862" width="6.25" style="599" customWidth="1"/>
    <col min="5863" max="5863" width="7.25" style="599" customWidth="1"/>
    <col min="5864" max="5864" width="5.83203125" style="599" customWidth="1"/>
    <col min="5865" max="5865" width="6.25" style="599" customWidth="1"/>
    <col min="5866" max="5870" width="6.83203125" style="599" customWidth="1"/>
    <col min="5871" max="5871" width="7.1640625" style="599" customWidth="1"/>
    <col min="5872" max="5873" width="7.4140625" style="599" customWidth="1"/>
    <col min="5874" max="5874" width="7.1640625" style="599" customWidth="1"/>
    <col min="5875" max="5875" width="5.1640625" style="599" customWidth="1"/>
    <col min="5876" max="5876" width="6.25" style="599" customWidth="1"/>
    <col min="5877" max="5877" width="6.4140625" style="599" customWidth="1"/>
    <col min="5878" max="5878" width="5.75" style="599" customWidth="1"/>
    <col min="5879" max="5879" width="6.25" style="599" customWidth="1"/>
    <col min="5880" max="5884" width="6.83203125" style="599" customWidth="1"/>
    <col min="5885" max="5885" width="6.58203125" style="599" customWidth="1"/>
    <col min="5886" max="5887" width="7.58203125" style="599" customWidth="1"/>
    <col min="5888" max="6109" width="9.1640625" style="599"/>
    <col min="6110" max="6110" width="3.4140625" style="599" customWidth="1"/>
    <col min="6111" max="6111" width="29.58203125" style="599" customWidth="1"/>
    <col min="6112" max="6112" width="8.1640625" style="599" customWidth="1"/>
    <col min="6113" max="6113" width="7.75" style="599" customWidth="1"/>
    <col min="6114" max="6114" width="5.83203125" style="599" customWidth="1"/>
    <col min="6115" max="6115" width="5.75" style="599" customWidth="1"/>
    <col min="6116" max="6116" width="5.58203125" style="599" customWidth="1"/>
    <col min="6117" max="6118" width="6.25" style="599" customWidth="1"/>
    <col min="6119" max="6119" width="7.25" style="599" customWidth="1"/>
    <col min="6120" max="6120" width="5.83203125" style="599" customWidth="1"/>
    <col min="6121" max="6121" width="6.25" style="599" customWidth="1"/>
    <col min="6122" max="6126" width="6.83203125" style="599" customWidth="1"/>
    <col min="6127" max="6127" width="7.1640625" style="599" customWidth="1"/>
    <col min="6128" max="6129" width="7.4140625" style="599" customWidth="1"/>
    <col min="6130" max="6130" width="7.1640625" style="599" customWidth="1"/>
    <col min="6131" max="6131" width="5.1640625" style="599" customWidth="1"/>
    <col min="6132" max="6132" width="6.25" style="599" customWidth="1"/>
    <col min="6133" max="6133" width="6.4140625" style="599" customWidth="1"/>
    <col min="6134" max="6134" width="5.75" style="599" customWidth="1"/>
    <col min="6135" max="6135" width="6.25" style="599" customWidth="1"/>
    <col min="6136" max="6140" width="6.83203125" style="599" customWidth="1"/>
    <col min="6141" max="6141" width="6.58203125" style="599" customWidth="1"/>
    <col min="6142" max="6143" width="7.58203125" style="599" customWidth="1"/>
    <col min="6144" max="6365" width="9.1640625" style="599"/>
    <col min="6366" max="6366" width="3.4140625" style="599" customWidth="1"/>
    <col min="6367" max="6367" width="29.58203125" style="599" customWidth="1"/>
    <col min="6368" max="6368" width="8.1640625" style="599" customWidth="1"/>
    <col min="6369" max="6369" width="7.75" style="599" customWidth="1"/>
    <col min="6370" max="6370" width="5.83203125" style="599" customWidth="1"/>
    <col min="6371" max="6371" width="5.75" style="599" customWidth="1"/>
    <col min="6372" max="6372" width="5.58203125" style="599" customWidth="1"/>
    <col min="6373" max="6374" width="6.25" style="599" customWidth="1"/>
    <col min="6375" max="6375" width="7.25" style="599" customWidth="1"/>
    <col min="6376" max="6376" width="5.83203125" style="599" customWidth="1"/>
    <col min="6377" max="6377" width="6.25" style="599" customWidth="1"/>
    <col min="6378" max="6382" width="6.83203125" style="599" customWidth="1"/>
    <col min="6383" max="6383" width="7.1640625" style="599" customWidth="1"/>
    <col min="6384" max="6385" width="7.4140625" style="599" customWidth="1"/>
    <col min="6386" max="6386" width="7.1640625" style="599" customWidth="1"/>
    <col min="6387" max="6387" width="5.1640625" style="599" customWidth="1"/>
    <col min="6388" max="6388" width="6.25" style="599" customWidth="1"/>
    <col min="6389" max="6389" width="6.4140625" style="599" customWidth="1"/>
    <col min="6390" max="6390" width="5.75" style="599" customWidth="1"/>
    <col min="6391" max="6391" width="6.25" style="599" customWidth="1"/>
    <col min="6392" max="6396" width="6.83203125" style="599" customWidth="1"/>
    <col min="6397" max="6397" width="6.58203125" style="599" customWidth="1"/>
    <col min="6398" max="6399" width="7.58203125" style="599" customWidth="1"/>
    <col min="6400" max="6621" width="9.1640625" style="599"/>
    <col min="6622" max="6622" width="3.4140625" style="599" customWidth="1"/>
    <col min="6623" max="6623" width="29.58203125" style="599" customWidth="1"/>
    <col min="6624" max="6624" width="8.1640625" style="599" customWidth="1"/>
    <col min="6625" max="6625" width="7.75" style="599" customWidth="1"/>
    <col min="6626" max="6626" width="5.83203125" style="599" customWidth="1"/>
    <col min="6627" max="6627" width="5.75" style="599" customWidth="1"/>
    <col min="6628" max="6628" width="5.58203125" style="599" customWidth="1"/>
    <col min="6629" max="6630" width="6.25" style="599" customWidth="1"/>
    <col min="6631" max="6631" width="7.25" style="599" customWidth="1"/>
    <col min="6632" max="6632" width="5.83203125" style="599" customWidth="1"/>
    <col min="6633" max="6633" width="6.25" style="599" customWidth="1"/>
    <col min="6634" max="6638" width="6.83203125" style="599" customWidth="1"/>
    <col min="6639" max="6639" width="7.1640625" style="599" customWidth="1"/>
    <col min="6640" max="6641" width="7.4140625" style="599" customWidth="1"/>
    <col min="6642" max="6642" width="7.1640625" style="599" customWidth="1"/>
    <col min="6643" max="6643" width="5.1640625" style="599" customWidth="1"/>
    <col min="6644" max="6644" width="6.25" style="599" customWidth="1"/>
    <col min="6645" max="6645" width="6.4140625" style="599" customWidth="1"/>
    <col min="6646" max="6646" width="5.75" style="599" customWidth="1"/>
    <col min="6647" max="6647" width="6.25" style="599" customWidth="1"/>
    <col min="6648" max="6652" width="6.83203125" style="599" customWidth="1"/>
    <col min="6653" max="6653" width="6.58203125" style="599" customWidth="1"/>
    <col min="6654" max="6655" width="7.58203125" style="599" customWidth="1"/>
    <col min="6656" max="6877" width="9.1640625" style="599"/>
    <col min="6878" max="6878" width="3.4140625" style="599" customWidth="1"/>
    <col min="6879" max="6879" width="29.58203125" style="599" customWidth="1"/>
    <col min="6880" max="6880" width="8.1640625" style="599" customWidth="1"/>
    <col min="6881" max="6881" width="7.75" style="599" customWidth="1"/>
    <col min="6882" max="6882" width="5.83203125" style="599" customWidth="1"/>
    <col min="6883" max="6883" width="5.75" style="599" customWidth="1"/>
    <col min="6884" max="6884" width="5.58203125" style="599" customWidth="1"/>
    <col min="6885" max="6886" width="6.25" style="599" customWidth="1"/>
    <col min="6887" max="6887" width="7.25" style="599" customWidth="1"/>
    <col min="6888" max="6888" width="5.83203125" style="599" customWidth="1"/>
    <col min="6889" max="6889" width="6.25" style="599" customWidth="1"/>
    <col min="6890" max="6894" width="6.83203125" style="599" customWidth="1"/>
    <col min="6895" max="6895" width="7.1640625" style="599" customWidth="1"/>
    <col min="6896" max="6897" width="7.4140625" style="599" customWidth="1"/>
    <col min="6898" max="6898" width="7.1640625" style="599" customWidth="1"/>
    <col min="6899" max="6899" width="5.1640625" style="599" customWidth="1"/>
    <col min="6900" max="6900" width="6.25" style="599" customWidth="1"/>
    <col min="6901" max="6901" width="6.4140625" style="599" customWidth="1"/>
    <col min="6902" max="6902" width="5.75" style="599" customWidth="1"/>
    <col min="6903" max="6903" width="6.25" style="599" customWidth="1"/>
    <col min="6904" max="6908" width="6.83203125" style="599" customWidth="1"/>
    <col min="6909" max="6909" width="6.58203125" style="599" customWidth="1"/>
    <col min="6910" max="6911" width="7.58203125" style="599" customWidth="1"/>
    <col min="6912" max="7133" width="9.1640625" style="599"/>
    <col min="7134" max="7134" width="3.4140625" style="599" customWidth="1"/>
    <col min="7135" max="7135" width="29.58203125" style="599" customWidth="1"/>
    <col min="7136" max="7136" width="8.1640625" style="599" customWidth="1"/>
    <col min="7137" max="7137" width="7.75" style="599" customWidth="1"/>
    <col min="7138" max="7138" width="5.83203125" style="599" customWidth="1"/>
    <col min="7139" max="7139" width="5.75" style="599" customWidth="1"/>
    <col min="7140" max="7140" width="5.58203125" style="599" customWidth="1"/>
    <col min="7141" max="7142" width="6.25" style="599" customWidth="1"/>
    <col min="7143" max="7143" width="7.25" style="599" customWidth="1"/>
    <col min="7144" max="7144" width="5.83203125" style="599" customWidth="1"/>
    <col min="7145" max="7145" width="6.25" style="599" customWidth="1"/>
    <col min="7146" max="7150" width="6.83203125" style="599" customWidth="1"/>
    <col min="7151" max="7151" width="7.1640625" style="599" customWidth="1"/>
    <col min="7152" max="7153" width="7.4140625" style="599" customWidth="1"/>
    <col min="7154" max="7154" width="7.1640625" style="599" customWidth="1"/>
    <col min="7155" max="7155" width="5.1640625" style="599" customWidth="1"/>
    <col min="7156" max="7156" width="6.25" style="599" customWidth="1"/>
    <col min="7157" max="7157" width="6.4140625" style="599" customWidth="1"/>
    <col min="7158" max="7158" width="5.75" style="599" customWidth="1"/>
    <col min="7159" max="7159" width="6.25" style="599" customWidth="1"/>
    <col min="7160" max="7164" width="6.83203125" style="599" customWidth="1"/>
    <col min="7165" max="7165" width="6.58203125" style="599" customWidth="1"/>
    <col min="7166" max="7167" width="7.58203125" style="599" customWidth="1"/>
    <col min="7168" max="7389" width="9.1640625" style="599"/>
    <col min="7390" max="7390" width="3.4140625" style="599" customWidth="1"/>
    <col min="7391" max="7391" width="29.58203125" style="599" customWidth="1"/>
    <col min="7392" max="7392" width="8.1640625" style="599" customWidth="1"/>
    <col min="7393" max="7393" width="7.75" style="599" customWidth="1"/>
    <col min="7394" max="7394" width="5.83203125" style="599" customWidth="1"/>
    <col min="7395" max="7395" width="5.75" style="599" customWidth="1"/>
    <col min="7396" max="7396" width="5.58203125" style="599" customWidth="1"/>
    <col min="7397" max="7398" width="6.25" style="599" customWidth="1"/>
    <col min="7399" max="7399" width="7.25" style="599" customWidth="1"/>
    <col min="7400" max="7400" width="5.83203125" style="599" customWidth="1"/>
    <col min="7401" max="7401" width="6.25" style="599" customWidth="1"/>
    <col min="7402" max="7406" width="6.83203125" style="599" customWidth="1"/>
    <col min="7407" max="7407" width="7.1640625" style="599" customWidth="1"/>
    <col min="7408" max="7409" width="7.4140625" style="599" customWidth="1"/>
    <col min="7410" max="7410" width="7.1640625" style="599" customWidth="1"/>
    <col min="7411" max="7411" width="5.1640625" style="599" customWidth="1"/>
    <col min="7412" max="7412" width="6.25" style="599" customWidth="1"/>
    <col min="7413" max="7413" width="6.4140625" style="599" customWidth="1"/>
    <col min="7414" max="7414" width="5.75" style="599" customWidth="1"/>
    <col min="7415" max="7415" width="6.25" style="599" customWidth="1"/>
    <col min="7416" max="7420" width="6.83203125" style="599" customWidth="1"/>
    <col min="7421" max="7421" width="6.58203125" style="599" customWidth="1"/>
    <col min="7422" max="7423" width="7.58203125" style="599" customWidth="1"/>
    <col min="7424" max="7645" width="9.1640625" style="599"/>
    <col min="7646" max="7646" width="3.4140625" style="599" customWidth="1"/>
    <col min="7647" max="7647" width="29.58203125" style="599" customWidth="1"/>
    <col min="7648" max="7648" width="8.1640625" style="599" customWidth="1"/>
    <col min="7649" max="7649" width="7.75" style="599" customWidth="1"/>
    <col min="7650" max="7650" width="5.83203125" style="599" customWidth="1"/>
    <col min="7651" max="7651" width="5.75" style="599" customWidth="1"/>
    <col min="7652" max="7652" width="5.58203125" style="599" customWidth="1"/>
    <col min="7653" max="7654" width="6.25" style="599" customWidth="1"/>
    <col min="7655" max="7655" width="7.25" style="599" customWidth="1"/>
    <col min="7656" max="7656" width="5.83203125" style="599" customWidth="1"/>
    <col min="7657" max="7657" width="6.25" style="599" customWidth="1"/>
    <col min="7658" max="7662" width="6.83203125" style="599" customWidth="1"/>
    <col min="7663" max="7663" width="7.1640625" style="599" customWidth="1"/>
    <col min="7664" max="7665" width="7.4140625" style="599" customWidth="1"/>
    <col min="7666" max="7666" width="7.1640625" style="599" customWidth="1"/>
    <col min="7667" max="7667" width="5.1640625" style="599" customWidth="1"/>
    <col min="7668" max="7668" width="6.25" style="599" customWidth="1"/>
    <col min="7669" max="7669" width="6.4140625" style="599" customWidth="1"/>
    <col min="7670" max="7670" width="5.75" style="599" customWidth="1"/>
    <col min="7671" max="7671" width="6.25" style="599" customWidth="1"/>
    <col min="7672" max="7676" width="6.83203125" style="599" customWidth="1"/>
    <col min="7677" max="7677" width="6.58203125" style="599" customWidth="1"/>
    <col min="7678" max="7679" width="7.58203125" style="599" customWidth="1"/>
    <col min="7680" max="7901" width="9.1640625" style="599"/>
    <col min="7902" max="7902" width="3.4140625" style="599" customWidth="1"/>
    <col min="7903" max="7903" width="29.58203125" style="599" customWidth="1"/>
    <col min="7904" max="7904" width="8.1640625" style="599" customWidth="1"/>
    <col min="7905" max="7905" width="7.75" style="599" customWidth="1"/>
    <col min="7906" max="7906" width="5.83203125" style="599" customWidth="1"/>
    <col min="7907" max="7907" width="5.75" style="599" customWidth="1"/>
    <col min="7908" max="7908" width="5.58203125" style="599" customWidth="1"/>
    <col min="7909" max="7910" width="6.25" style="599" customWidth="1"/>
    <col min="7911" max="7911" width="7.25" style="599" customWidth="1"/>
    <col min="7912" max="7912" width="5.83203125" style="599" customWidth="1"/>
    <col min="7913" max="7913" width="6.25" style="599" customWidth="1"/>
    <col min="7914" max="7918" width="6.83203125" style="599" customWidth="1"/>
    <col min="7919" max="7919" width="7.1640625" style="599" customWidth="1"/>
    <col min="7920" max="7921" width="7.4140625" style="599" customWidth="1"/>
    <col min="7922" max="7922" width="7.1640625" style="599" customWidth="1"/>
    <col min="7923" max="7923" width="5.1640625" style="599" customWidth="1"/>
    <col min="7924" max="7924" width="6.25" style="599" customWidth="1"/>
    <col min="7925" max="7925" width="6.4140625" style="599" customWidth="1"/>
    <col min="7926" max="7926" width="5.75" style="599" customWidth="1"/>
    <col min="7927" max="7927" width="6.25" style="599" customWidth="1"/>
    <col min="7928" max="7932" width="6.83203125" style="599" customWidth="1"/>
    <col min="7933" max="7933" width="6.58203125" style="599" customWidth="1"/>
    <col min="7934" max="7935" width="7.58203125" style="599" customWidth="1"/>
    <col min="7936" max="8157" width="9.1640625" style="599"/>
    <col min="8158" max="8158" width="3.4140625" style="599" customWidth="1"/>
    <col min="8159" max="8159" width="29.58203125" style="599" customWidth="1"/>
    <col min="8160" max="8160" width="8.1640625" style="599" customWidth="1"/>
    <col min="8161" max="8161" width="7.75" style="599" customWidth="1"/>
    <col min="8162" max="8162" width="5.83203125" style="599" customWidth="1"/>
    <col min="8163" max="8163" width="5.75" style="599" customWidth="1"/>
    <col min="8164" max="8164" width="5.58203125" style="599" customWidth="1"/>
    <col min="8165" max="8166" width="6.25" style="599" customWidth="1"/>
    <col min="8167" max="8167" width="7.25" style="599" customWidth="1"/>
    <col min="8168" max="8168" width="5.83203125" style="599" customWidth="1"/>
    <col min="8169" max="8169" width="6.25" style="599" customWidth="1"/>
    <col min="8170" max="8174" width="6.83203125" style="599" customWidth="1"/>
    <col min="8175" max="8175" width="7.1640625" style="599" customWidth="1"/>
    <col min="8176" max="8177" width="7.4140625" style="599" customWidth="1"/>
    <col min="8178" max="8178" width="7.1640625" style="599" customWidth="1"/>
    <col min="8179" max="8179" width="5.1640625" style="599" customWidth="1"/>
    <col min="8180" max="8180" width="6.25" style="599" customWidth="1"/>
    <col min="8181" max="8181" width="6.4140625" style="599" customWidth="1"/>
    <col min="8182" max="8182" width="5.75" style="599" customWidth="1"/>
    <col min="8183" max="8183" width="6.25" style="599" customWidth="1"/>
    <col min="8184" max="8188" width="6.83203125" style="599" customWidth="1"/>
    <col min="8189" max="8189" width="6.58203125" style="599" customWidth="1"/>
    <col min="8190" max="8191" width="7.58203125" style="599" customWidth="1"/>
    <col min="8192" max="8413" width="9.1640625" style="599"/>
    <col min="8414" max="8414" width="3.4140625" style="599" customWidth="1"/>
    <col min="8415" max="8415" width="29.58203125" style="599" customWidth="1"/>
    <col min="8416" max="8416" width="8.1640625" style="599" customWidth="1"/>
    <col min="8417" max="8417" width="7.75" style="599" customWidth="1"/>
    <col min="8418" max="8418" width="5.83203125" style="599" customWidth="1"/>
    <col min="8419" max="8419" width="5.75" style="599" customWidth="1"/>
    <col min="8420" max="8420" width="5.58203125" style="599" customWidth="1"/>
    <col min="8421" max="8422" width="6.25" style="599" customWidth="1"/>
    <col min="8423" max="8423" width="7.25" style="599" customWidth="1"/>
    <col min="8424" max="8424" width="5.83203125" style="599" customWidth="1"/>
    <col min="8425" max="8425" width="6.25" style="599" customWidth="1"/>
    <col min="8426" max="8430" width="6.83203125" style="599" customWidth="1"/>
    <col min="8431" max="8431" width="7.1640625" style="599" customWidth="1"/>
    <col min="8432" max="8433" width="7.4140625" style="599" customWidth="1"/>
    <col min="8434" max="8434" width="7.1640625" style="599" customWidth="1"/>
    <col min="8435" max="8435" width="5.1640625" style="599" customWidth="1"/>
    <col min="8436" max="8436" width="6.25" style="599" customWidth="1"/>
    <col min="8437" max="8437" width="6.4140625" style="599" customWidth="1"/>
    <col min="8438" max="8438" width="5.75" style="599" customWidth="1"/>
    <col min="8439" max="8439" width="6.25" style="599" customWidth="1"/>
    <col min="8440" max="8444" width="6.83203125" style="599" customWidth="1"/>
    <col min="8445" max="8445" width="6.58203125" style="599" customWidth="1"/>
    <col min="8446" max="8447" width="7.58203125" style="599" customWidth="1"/>
    <col min="8448" max="8669" width="9.1640625" style="599"/>
    <col min="8670" max="8670" width="3.4140625" style="599" customWidth="1"/>
    <col min="8671" max="8671" width="29.58203125" style="599" customWidth="1"/>
    <col min="8672" max="8672" width="8.1640625" style="599" customWidth="1"/>
    <col min="8673" max="8673" width="7.75" style="599" customWidth="1"/>
    <col min="8674" max="8674" width="5.83203125" style="599" customWidth="1"/>
    <col min="8675" max="8675" width="5.75" style="599" customWidth="1"/>
    <col min="8676" max="8676" width="5.58203125" style="599" customWidth="1"/>
    <col min="8677" max="8678" width="6.25" style="599" customWidth="1"/>
    <col min="8679" max="8679" width="7.25" style="599" customWidth="1"/>
    <col min="8680" max="8680" width="5.83203125" style="599" customWidth="1"/>
    <col min="8681" max="8681" width="6.25" style="599" customWidth="1"/>
    <col min="8682" max="8686" width="6.83203125" style="599" customWidth="1"/>
    <col min="8687" max="8687" width="7.1640625" style="599" customWidth="1"/>
    <col min="8688" max="8689" width="7.4140625" style="599" customWidth="1"/>
    <col min="8690" max="8690" width="7.1640625" style="599" customWidth="1"/>
    <col min="8691" max="8691" width="5.1640625" style="599" customWidth="1"/>
    <col min="8692" max="8692" width="6.25" style="599" customWidth="1"/>
    <col min="8693" max="8693" width="6.4140625" style="599" customWidth="1"/>
    <col min="8694" max="8694" width="5.75" style="599" customWidth="1"/>
    <col min="8695" max="8695" width="6.25" style="599" customWidth="1"/>
    <col min="8696" max="8700" width="6.83203125" style="599" customWidth="1"/>
    <col min="8701" max="8701" width="6.58203125" style="599" customWidth="1"/>
    <col min="8702" max="8703" width="7.58203125" style="599" customWidth="1"/>
    <col min="8704" max="8925" width="9.1640625" style="599"/>
    <col min="8926" max="8926" width="3.4140625" style="599" customWidth="1"/>
    <col min="8927" max="8927" width="29.58203125" style="599" customWidth="1"/>
    <col min="8928" max="8928" width="8.1640625" style="599" customWidth="1"/>
    <col min="8929" max="8929" width="7.75" style="599" customWidth="1"/>
    <col min="8930" max="8930" width="5.83203125" style="599" customWidth="1"/>
    <col min="8931" max="8931" width="5.75" style="599" customWidth="1"/>
    <col min="8932" max="8932" width="5.58203125" style="599" customWidth="1"/>
    <col min="8933" max="8934" width="6.25" style="599" customWidth="1"/>
    <col min="8935" max="8935" width="7.25" style="599" customWidth="1"/>
    <col min="8936" max="8936" width="5.83203125" style="599" customWidth="1"/>
    <col min="8937" max="8937" width="6.25" style="599" customWidth="1"/>
    <col min="8938" max="8942" width="6.83203125" style="599" customWidth="1"/>
    <col min="8943" max="8943" width="7.1640625" style="599" customWidth="1"/>
    <col min="8944" max="8945" width="7.4140625" style="599" customWidth="1"/>
    <col min="8946" max="8946" width="7.1640625" style="599" customWidth="1"/>
    <col min="8947" max="8947" width="5.1640625" style="599" customWidth="1"/>
    <col min="8948" max="8948" width="6.25" style="599" customWidth="1"/>
    <col min="8949" max="8949" width="6.4140625" style="599" customWidth="1"/>
    <col min="8950" max="8950" width="5.75" style="599" customWidth="1"/>
    <col min="8951" max="8951" width="6.25" style="599" customWidth="1"/>
    <col min="8952" max="8956" width="6.83203125" style="599" customWidth="1"/>
    <col min="8957" max="8957" width="6.58203125" style="599" customWidth="1"/>
    <col min="8958" max="8959" width="7.58203125" style="599" customWidth="1"/>
    <col min="8960" max="9181" width="9.1640625" style="599"/>
    <col min="9182" max="9182" width="3.4140625" style="599" customWidth="1"/>
    <col min="9183" max="9183" width="29.58203125" style="599" customWidth="1"/>
    <col min="9184" max="9184" width="8.1640625" style="599" customWidth="1"/>
    <col min="9185" max="9185" width="7.75" style="599" customWidth="1"/>
    <col min="9186" max="9186" width="5.83203125" style="599" customWidth="1"/>
    <col min="9187" max="9187" width="5.75" style="599" customWidth="1"/>
    <col min="9188" max="9188" width="5.58203125" style="599" customWidth="1"/>
    <col min="9189" max="9190" width="6.25" style="599" customWidth="1"/>
    <col min="9191" max="9191" width="7.25" style="599" customWidth="1"/>
    <col min="9192" max="9192" width="5.83203125" style="599" customWidth="1"/>
    <col min="9193" max="9193" width="6.25" style="599" customWidth="1"/>
    <col min="9194" max="9198" width="6.83203125" style="599" customWidth="1"/>
    <col min="9199" max="9199" width="7.1640625" style="599" customWidth="1"/>
    <col min="9200" max="9201" width="7.4140625" style="599" customWidth="1"/>
    <col min="9202" max="9202" width="7.1640625" style="599" customWidth="1"/>
    <col min="9203" max="9203" width="5.1640625" style="599" customWidth="1"/>
    <col min="9204" max="9204" width="6.25" style="599" customWidth="1"/>
    <col min="9205" max="9205" width="6.4140625" style="599" customWidth="1"/>
    <col min="9206" max="9206" width="5.75" style="599" customWidth="1"/>
    <col min="9207" max="9207" width="6.25" style="599" customWidth="1"/>
    <col min="9208" max="9212" width="6.83203125" style="599" customWidth="1"/>
    <col min="9213" max="9213" width="6.58203125" style="599" customWidth="1"/>
    <col min="9214" max="9215" width="7.58203125" style="599" customWidth="1"/>
    <col min="9216" max="9437" width="9.1640625" style="599"/>
    <col min="9438" max="9438" width="3.4140625" style="599" customWidth="1"/>
    <col min="9439" max="9439" width="29.58203125" style="599" customWidth="1"/>
    <col min="9440" max="9440" width="8.1640625" style="599" customWidth="1"/>
    <col min="9441" max="9441" width="7.75" style="599" customWidth="1"/>
    <col min="9442" max="9442" width="5.83203125" style="599" customWidth="1"/>
    <col min="9443" max="9443" width="5.75" style="599" customWidth="1"/>
    <col min="9444" max="9444" width="5.58203125" style="599" customWidth="1"/>
    <col min="9445" max="9446" width="6.25" style="599" customWidth="1"/>
    <col min="9447" max="9447" width="7.25" style="599" customWidth="1"/>
    <col min="9448" max="9448" width="5.83203125" style="599" customWidth="1"/>
    <col min="9449" max="9449" width="6.25" style="599" customWidth="1"/>
    <col min="9450" max="9454" width="6.83203125" style="599" customWidth="1"/>
    <col min="9455" max="9455" width="7.1640625" style="599" customWidth="1"/>
    <col min="9456" max="9457" width="7.4140625" style="599" customWidth="1"/>
    <col min="9458" max="9458" width="7.1640625" style="599" customWidth="1"/>
    <col min="9459" max="9459" width="5.1640625" style="599" customWidth="1"/>
    <col min="9460" max="9460" width="6.25" style="599" customWidth="1"/>
    <col min="9461" max="9461" width="6.4140625" style="599" customWidth="1"/>
    <col min="9462" max="9462" width="5.75" style="599" customWidth="1"/>
    <col min="9463" max="9463" width="6.25" style="599" customWidth="1"/>
    <col min="9464" max="9468" width="6.83203125" style="599" customWidth="1"/>
    <col min="9469" max="9469" width="6.58203125" style="599" customWidth="1"/>
    <col min="9470" max="9471" width="7.58203125" style="599" customWidth="1"/>
    <col min="9472" max="9693" width="9.1640625" style="599"/>
    <col min="9694" max="9694" width="3.4140625" style="599" customWidth="1"/>
    <col min="9695" max="9695" width="29.58203125" style="599" customWidth="1"/>
    <col min="9696" max="9696" width="8.1640625" style="599" customWidth="1"/>
    <col min="9697" max="9697" width="7.75" style="599" customWidth="1"/>
    <col min="9698" max="9698" width="5.83203125" style="599" customWidth="1"/>
    <col min="9699" max="9699" width="5.75" style="599" customWidth="1"/>
    <col min="9700" max="9700" width="5.58203125" style="599" customWidth="1"/>
    <col min="9701" max="9702" width="6.25" style="599" customWidth="1"/>
    <col min="9703" max="9703" width="7.25" style="599" customWidth="1"/>
    <col min="9704" max="9704" width="5.83203125" style="599" customWidth="1"/>
    <col min="9705" max="9705" width="6.25" style="599" customWidth="1"/>
    <col min="9706" max="9710" width="6.83203125" style="599" customWidth="1"/>
    <col min="9711" max="9711" width="7.1640625" style="599" customWidth="1"/>
    <col min="9712" max="9713" width="7.4140625" style="599" customWidth="1"/>
    <col min="9714" max="9714" width="7.1640625" style="599" customWidth="1"/>
    <col min="9715" max="9715" width="5.1640625" style="599" customWidth="1"/>
    <col min="9716" max="9716" width="6.25" style="599" customWidth="1"/>
    <col min="9717" max="9717" width="6.4140625" style="599" customWidth="1"/>
    <col min="9718" max="9718" width="5.75" style="599" customWidth="1"/>
    <col min="9719" max="9719" width="6.25" style="599" customWidth="1"/>
    <col min="9720" max="9724" width="6.83203125" style="599" customWidth="1"/>
    <col min="9725" max="9725" width="6.58203125" style="599" customWidth="1"/>
    <col min="9726" max="9727" width="7.58203125" style="599" customWidth="1"/>
    <col min="9728" max="9949" width="9.1640625" style="599"/>
    <col min="9950" max="9950" width="3.4140625" style="599" customWidth="1"/>
    <col min="9951" max="9951" width="29.58203125" style="599" customWidth="1"/>
    <col min="9952" max="9952" width="8.1640625" style="599" customWidth="1"/>
    <col min="9953" max="9953" width="7.75" style="599" customWidth="1"/>
    <col min="9954" max="9954" width="5.83203125" style="599" customWidth="1"/>
    <col min="9955" max="9955" width="5.75" style="599" customWidth="1"/>
    <col min="9956" max="9956" width="5.58203125" style="599" customWidth="1"/>
    <col min="9957" max="9958" width="6.25" style="599" customWidth="1"/>
    <col min="9959" max="9959" width="7.25" style="599" customWidth="1"/>
    <col min="9960" max="9960" width="5.83203125" style="599" customWidth="1"/>
    <col min="9961" max="9961" width="6.25" style="599" customWidth="1"/>
    <col min="9962" max="9966" width="6.83203125" style="599" customWidth="1"/>
    <col min="9967" max="9967" width="7.1640625" style="599" customWidth="1"/>
    <col min="9968" max="9969" width="7.4140625" style="599" customWidth="1"/>
    <col min="9970" max="9970" width="7.1640625" style="599" customWidth="1"/>
    <col min="9971" max="9971" width="5.1640625" style="599" customWidth="1"/>
    <col min="9972" max="9972" width="6.25" style="599" customWidth="1"/>
    <col min="9973" max="9973" width="6.4140625" style="599" customWidth="1"/>
    <col min="9974" max="9974" width="5.75" style="599" customWidth="1"/>
    <col min="9975" max="9975" width="6.25" style="599" customWidth="1"/>
    <col min="9976" max="9980" width="6.83203125" style="599" customWidth="1"/>
    <col min="9981" max="9981" width="6.58203125" style="599" customWidth="1"/>
    <col min="9982" max="9983" width="7.58203125" style="599" customWidth="1"/>
    <col min="9984" max="10205" width="9.1640625" style="599"/>
    <col min="10206" max="10206" width="3.4140625" style="599" customWidth="1"/>
    <col min="10207" max="10207" width="29.58203125" style="599" customWidth="1"/>
    <col min="10208" max="10208" width="8.1640625" style="599" customWidth="1"/>
    <col min="10209" max="10209" width="7.75" style="599" customWidth="1"/>
    <col min="10210" max="10210" width="5.83203125" style="599" customWidth="1"/>
    <col min="10211" max="10211" width="5.75" style="599" customWidth="1"/>
    <col min="10212" max="10212" width="5.58203125" style="599" customWidth="1"/>
    <col min="10213" max="10214" width="6.25" style="599" customWidth="1"/>
    <col min="10215" max="10215" width="7.25" style="599" customWidth="1"/>
    <col min="10216" max="10216" width="5.83203125" style="599" customWidth="1"/>
    <col min="10217" max="10217" width="6.25" style="599" customWidth="1"/>
    <col min="10218" max="10222" width="6.83203125" style="599" customWidth="1"/>
    <col min="10223" max="10223" width="7.1640625" style="599" customWidth="1"/>
    <col min="10224" max="10225" width="7.4140625" style="599" customWidth="1"/>
    <col min="10226" max="10226" width="7.1640625" style="599" customWidth="1"/>
    <col min="10227" max="10227" width="5.1640625" style="599" customWidth="1"/>
    <col min="10228" max="10228" width="6.25" style="599" customWidth="1"/>
    <col min="10229" max="10229" width="6.4140625" style="599" customWidth="1"/>
    <col min="10230" max="10230" width="5.75" style="599" customWidth="1"/>
    <col min="10231" max="10231" width="6.25" style="599" customWidth="1"/>
    <col min="10232" max="10236" width="6.83203125" style="599" customWidth="1"/>
    <col min="10237" max="10237" width="6.58203125" style="599" customWidth="1"/>
    <col min="10238" max="10239" width="7.58203125" style="599" customWidth="1"/>
    <col min="10240" max="10461" width="9.1640625" style="599"/>
    <col min="10462" max="10462" width="3.4140625" style="599" customWidth="1"/>
    <col min="10463" max="10463" width="29.58203125" style="599" customWidth="1"/>
    <col min="10464" max="10464" width="8.1640625" style="599" customWidth="1"/>
    <col min="10465" max="10465" width="7.75" style="599" customWidth="1"/>
    <col min="10466" max="10466" width="5.83203125" style="599" customWidth="1"/>
    <col min="10467" max="10467" width="5.75" style="599" customWidth="1"/>
    <col min="10468" max="10468" width="5.58203125" style="599" customWidth="1"/>
    <col min="10469" max="10470" width="6.25" style="599" customWidth="1"/>
    <col min="10471" max="10471" width="7.25" style="599" customWidth="1"/>
    <col min="10472" max="10472" width="5.83203125" style="599" customWidth="1"/>
    <col min="10473" max="10473" width="6.25" style="599" customWidth="1"/>
    <col min="10474" max="10478" width="6.83203125" style="599" customWidth="1"/>
    <col min="10479" max="10479" width="7.1640625" style="599" customWidth="1"/>
    <col min="10480" max="10481" width="7.4140625" style="599" customWidth="1"/>
    <col min="10482" max="10482" width="7.1640625" style="599" customWidth="1"/>
    <col min="10483" max="10483" width="5.1640625" style="599" customWidth="1"/>
    <col min="10484" max="10484" width="6.25" style="599" customWidth="1"/>
    <col min="10485" max="10485" width="6.4140625" style="599" customWidth="1"/>
    <col min="10486" max="10486" width="5.75" style="599" customWidth="1"/>
    <col min="10487" max="10487" width="6.25" style="599" customWidth="1"/>
    <col min="10488" max="10492" width="6.83203125" style="599" customWidth="1"/>
    <col min="10493" max="10493" width="6.58203125" style="599" customWidth="1"/>
    <col min="10494" max="10495" width="7.58203125" style="599" customWidth="1"/>
    <col min="10496" max="10717" width="9.1640625" style="599"/>
    <col min="10718" max="10718" width="3.4140625" style="599" customWidth="1"/>
    <col min="10719" max="10719" width="29.58203125" style="599" customWidth="1"/>
    <col min="10720" max="10720" width="8.1640625" style="599" customWidth="1"/>
    <col min="10721" max="10721" width="7.75" style="599" customWidth="1"/>
    <col min="10722" max="10722" width="5.83203125" style="599" customWidth="1"/>
    <col min="10723" max="10723" width="5.75" style="599" customWidth="1"/>
    <col min="10724" max="10724" width="5.58203125" style="599" customWidth="1"/>
    <col min="10725" max="10726" width="6.25" style="599" customWidth="1"/>
    <col min="10727" max="10727" width="7.25" style="599" customWidth="1"/>
    <col min="10728" max="10728" width="5.83203125" style="599" customWidth="1"/>
    <col min="10729" max="10729" width="6.25" style="599" customWidth="1"/>
    <col min="10730" max="10734" width="6.83203125" style="599" customWidth="1"/>
    <col min="10735" max="10735" width="7.1640625" style="599" customWidth="1"/>
    <col min="10736" max="10737" width="7.4140625" style="599" customWidth="1"/>
    <col min="10738" max="10738" width="7.1640625" style="599" customWidth="1"/>
    <col min="10739" max="10739" width="5.1640625" style="599" customWidth="1"/>
    <col min="10740" max="10740" width="6.25" style="599" customWidth="1"/>
    <col min="10741" max="10741" width="6.4140625" style="599" customWidth="1"/>
    <col min="10742" max="10742" width="5.75" style="599" customWidth="1"/>
    <col min="10743" max="10743" width="6.25" style="599" customWidth="1"/>
    <col min="10744" max="10748" width="6.83203125" style="599" customWidth="1"/>
    <col min="10749" max="10749" width="6.58203125" style="599" customWidth="1"/>
    <col min="10750" max="10751" width="7.58203125" style="599" customWidth="1"/>
    <col min="10752" max="10973" width="9.1640625" style="599"/>
    <col min="10974" max="10974" width="3.4140625" style="599" customWidth="1"/>
    <col min="10975" max="10975" width="29.58203125" style="599" customWidth="1"/>
    <col min="10976" max="10976" width="8.1640625" style="599" customWidth="1"/>
    <col min="10977" max="10977" width="7.75" style="599" customWidth="1"/>
    <col min="10978" max="10978" width="5.83203125" style="599" customWidth="1"/>
    <col min="10979" max="10979" width="5.75" style="599" customWidth="1"/>
    <col min="10980" max="10980" width="5.58203125" style="599" customWidth="1"/>
    <col min="10981" max="10982" width="6.25" style="599" customWidth="1"/>
    <col min="10983" max="10983" width="7.25" style="599" customWidth="1"/>
    <col min="10984" max="10984" width="5.83203125" style="599" customWidth="1"/>
    <col min="10985" max="10985" width="6.25" style="599" customWidth="1"/>
    <col min="10986" max="10990" width="6.83203125" style="599" customWidth="1"/>
    <col min="10991" max="10991" width="7.1640625" style="599" customWidth="1"/>
    <col min="10992" max="10993" width="7.4140625" style="599" customWidth="1"/>
    <col min="10994" max="10994" width="7.1640625" style="599" customWidth="1"/>
    <col min="10995" max="10995" width="5.1640625" style="599" customWidth="1"/>
    <col min="10996" max="10996" width="6.25" style="599" customWidth="1"/>
    <col min="10997" max="10997" width="6.4140625" style="599" customWidth="1"/>
    <col min="10998" max="10998" width="5.75" style="599" customWidth="1"/>
    <col min="10999" max="10999" width="6.25" style="599" customWidth="1"/>
    <col min="11000" max="11004" width="6.83203125" style="599" customWidth="1"/>
    <col min="11005" max="11005" width="6.58203125" style="599" customWidth="1"/>
    <col min="11006" max="11007" width="7.58203125" style="599" customWidth="1"/>
    <col min="11008" max="11229" width="9.1640625" style="599"/>
    <col min="11230" max="11230" width="3.4140625" style="599" customWidth="1"/>
    <col min="11231" max="11231" width="29.58203125" style="599" customWidth="1"/>
    <col min="11232" max="11232" width="8.1640625" style="599" customWidth="1"/>
    <col min="11233" max="11233" width="7.75" style="599" customWidth="1"/>
    <col min="11234" max="11234" width="5.83203125" style="599" customWidth="1"/>
    <col min="11235" max="11235" width="5.75" style="599" customWidth="1"/>
    <col min="11236" max="11236" width="5.58203125" style="599" customWidth="1"/>
    <col min="11237" max="11238" width="6.25" style="599" customWidth="1"/>
    <col min="11239" max="11239" width="7.25" style="599" customWidth="1"/>
    <col min="11240" max="11240" width="5.83203125" style="599" customWidth="1"/>
    <col min="11241" max="11241" width="6.25" style="599" customWidth="1"/>
    <col min="11242" max="11246" width="6.83203125" style="599" customWidth="1"/>
    <col min="11247" max="11247" width="7.1640625" style="599" customWidth="1"/>
    <col min="11248" max="11249" width="7.4140625" style="599" customWidth="1"/>
    <col min="11250" max="11250" width="7.1640625" style="599" customWidth="1"/>
    <col min="11251" max="11251" width="5.1640625" style="599" customWidth="1"/>
    <col min="11252" max="11252" width="6.25" style="599" customWidth="1"/>
    <col min="11253" max="11253" width="6.4140625" style="599" customWidth="1"/>
    <col min="11254" max="11254" width="5.75" style="599" customWidth="1"/>
    <col min="11255" max="11255" width="6.25" style="599" customWidth="1"/>
    <col min="11256" max="11260" width="6.83203125" style="599" customWidth="1"/>
    <col min="11261" max="11261" width="6.58203125" style="599" customWidth="1"/>
    <col min="11262" max="11263" width="7.58203125" style="599" customWidth="1"/>
    <col min="11264" max="11485" width="9.1640625" style="599"/>
    <col min="11486" max="11486" width="3.4140625" style="599" customWidth="1"/>
    <col min="11487" max="11487" width="29.58203125" style="599" customWidth="1"/>
    <col min="11488" max="11488" width="8.1640625" style="599" customWidth="1"/>
    <col min="11489" max="11489" width="7.75" style="599" customWidth="1"/>
    <col min="11490" max="11490" width="5.83203125" style="599" customWidth="1"/>
    <col min="11491" max="11491" width="5.75" style="599" customWidth="1"/>
    <col min="11492" max="11492" width="5.58203125" style="599" customWidth="1"/>
    <col min="11493" max="11494" width="6.25" style="599" customWidth="1"/>
    <col min="11495" max="11495" width="7.25" style="599" customWidth="1"/>
    <col min="11496" max="11496" width="5.83203125" style="599" customWidth="1"/>
    <col min="11497" max="11497" width="6.25" style="599" customWidth="1"/>
    <col min="11498" max="11502" width="6.83203125" style="599" customWidth="1"/>
    <col min="11503" max="11503" width="7.1640625" style="599" customWidth="1"/>
    <col min="11504" max="11505" width="7.4140625" style="599" customWidth="1"/>
    <col min="11506" max="11506" width="7.1640625" style="599" customWidth="1"/>
    <col min="11507" max="11507" width="5.1640625" style="599" customWidth="1"/>
    <col min="11508" max="11508" width="6.25" style="599" customWidth="1"/>
    <col min="11509" max="11509" width="6.4140625" style="599" customWidth="1"/>
    <col min="11510" max="11510" width="5.75" style="599" customWidth="1"/>
    <col min="11511" max="11511" width="6.25" style="599" customWidth="1"/>
    <col min="11512" max="11516" width="6.83203125" style="599" customWidth="1"/>
    <col min="11517" max="11517" width="6.58203125" style="599" customWidth="1"/>
    <col min="11518" max="11519" width="7.58203125" style="599" customWidth="1"/>
    <col min="11520" max="11741" width="9.1640625" style="599"/>
    <col min="11742" max="11742" width="3.4140625" style="599" customWidth="1"/>
    <col min="11743" max="11743" width="29.58203125" style="599" customWidth="1"/>
    <col min="11744" max="11744" width="8.1640625" style="599" customWidth="1"/>
    <col min="11745" max="11745" width="7.75" style="599" customWidth="1"/>
    <col min="11746" max="11746" width="5.83203125" style="599" customWidth="1"/>
    <col min="11747" max="11747" width="5.75" style="599" customWidth="1"/>
    <col min="11748" max="11748" width="5.58203125" style="599" customWidth="1"/>
    <col min="11749" max="11750" width="6.25" style="599" customWidth="1"/>
    <col min="11751" max="11751" width="7.25" style="599" customWidth="1"/>
    <col min="11752" max="11752" width="5.83203125" style="599" customWidth="1"/>
    <col min="11753" max="11753" width="6.25" style="599" customWidth="1"/>
    <col min="11754" max="11758" width="6.83203125" style="599" customWidth="1"/>
    <col min="11759" max="11759" width="7.1640625" style="599" customWidth="1"/>
    <col min="11760" max="11761" width="7.4140625" style="599" customWidth="1"/>
    <col min="11762" max="11762" width="7.1640625" style="599" customWidth="1"/>
    <col min="11763" max="11763" width="5.1640625" style="599" customWidth="1"/>
    <col min="11764" max="11764" width="6.25" style="599" customWidth="1"/>
    <col min="11765" max="11765" width="6.4140625" style="599" customWidth="1"/>
    <col min="11766" max="11766" width="5.75" style="599" customWidth="1"/>
    <col min="11767" max="11767" width="6.25" style="599" customWidth="1"/>
    <col min="11768" max="11772" width="6.83203125" style="599" customWidth="1"/>
    <col min="11773" max="11773" width="6.58203125" style="599" customWidth="1"/>
    <col min="11774" max="11775" width="7.58203125" style="599" customWidth="1"/>
    <col min="11776" max="11997" width="9.1640625" style="599"/>
    <col min="11998" max="11998" width="3.4140625" style="599" customWidth="1"/>
    <col min="11999" max="11999" width="29.58203125" style="599" customWidth="1"/>
    <col min="12000" max="12000" width="8.1640625" style="599" customWidth="1"/>
    <col min="12001" max="12001" width="7.75" style="599" customWidth="1"/>
    <col min="12002" max="12002" width="5.83203125" style="599" customWidth="1"/>
    <col min="12003" max="12003" width="5.75" style="599" customWidth="1"/>
    <col min="12004" max="12004" width="5.58203125" style="599" customWidth="1"/>
    <col min="12005" max="12006" width="6.25" style="599" customWidth="1"/>
    <col min="12007" max="12007" width="7.25" style="599" customWidth="1"/>
    <col min="12008" max="12008" width="5.83203125" style="599" customWidth="1"/>
    <col min="12009" max="12009" width="6.25" style="599" customWidth="1"/>
    <col min="12010" max="12014" width="6.83203125" style="599" customWidth="1"/>
    <col min="12015" max="12015" width="7.1640625" style="599" customWidth="1"/>
    <col min="12016" max="12017" width="7.4140625" style="599" customWidth="1"/>
    <col min="12018" max="12018" width="7.1640625" style="599" customWidth="1"/>
    <col min="12019" max="12019" width="5.1640625" style="599" customWidth="1"/>
    <col min="12020" max="12020" width="6.25" style="599" customWidth="1"/>
    <col min="12021" max="12021" width="6.4140625" style="599" customWidth="1"/>
    <col min="12022" max="12022" width="5.75" style="599" customWidth="1"/>
    <col min="12023" max="12023" width="6.25" style="599" customWidth="1"/>
    <col min="12024" max="12028" width="6.83203125" style="599" customWidth="1"/>
    <col min="12029" max="12029" width="6.58203125" style="599" customWidth="1"/>
    <col min="12030" max="12031" width="7.58203125" style="599" customWidth="1"/>
    <col min="12032" max="12253" width="9.1640625" style="599"/>
    <col min="12254" max="12254" width="3.4140625" style="599" customWidth="1"/>
    <col min="12255" max="12255" width="29.58203125" style="599" customWidth="1"/>
    <col min="12256" max="12256" width="8.1640625" style="599" customWidth="1"/>
    <col min="12257" max="12257" width="7.75" style="599" customWidth="1"/>
    <col min="12258" max="12258" width="5.83203125" style="599" customWidth="1"/>
    <col min="12259" max="12259" width="5.75" style="599" customWidth="1"/>
    <col min="12260" max="12260" width="5.58203125" style="599" customWidth="1"/>
    <col min="12261" max="12262" width="6.25" style="599" customWidth="1"/>
    <col min="12263" max="12263" width="7.25" style="599" customWidth="1"/>
    <col min="12264" max="12264" width="5.83203125" style="599" customWidth="1"/>
    <col min="12265" max="12265" width="6.25" style="599" customWidth="1"/>
    <col min="12266" max="12270" width="6.83203125" style="599" customWidth="1"/>
    <col min="12271" max="12271" width="7.1640625" style="599" customWidth="1"/>
    <col min="12272" max="12273" width="7.4140625" style="599" customWidth="1"/>
    <col min="12274" max="12274" width="7.1640625" style="599" customWidth="1"/>
    <col min="12275" max="12275" width="5.1640625" style="599" customWidth="1"/>
    <col min="12276" max="12276" width="6.25" style="599" customWidth="1"/>
    <col min="12277" max="12277" width="6.4140625" style="599" customWidth="1"/>
    <col min="12278" max="12278" width="5.75" style="599" customWidth="1"/>
    <col min="12279" max="12279" width="6.25" style="599" customWidth="1"/>
    <col min="12280" max="12284" width="6.83203125" style="599" customWidth="1"/>
    <col min="12285" max="12285" width="6.58203125" style="599" customWidth="1"/>
    <col min="12286" max="12287" width="7.58203125" style="599" customWidth="1"/>
    <col min="12288" max="12509" width="9.1640625" style="599"/>
    <col min="12510" max="12510" width="3.4140625" style="599" customWidth="1"/>
    <col min="12511" max="12511" width="29.58203125" style="599" customWidth="1"/>
    <col min="12512" max="12512" width="8.1640625" style="599" customWidth="1"/>
    <col min="12513" max="12513" width="7.75" style="599" customWidth="1"/>
    <col min="12514" max="12514" width="5.83203125" style="599" customWidth="1"/>
    <col min="12515" max="12515" width="5.75" style="599" customWidth="1"/>
    <col min="12516" max="12516" width="5.58203125" style="599" customWidth="1"/>
    <col min="12517" max="12518" width="6.25" style="599" customWidth="1"/>
    <col min="12519" max="12519" width="7.25" style="599" customWidth="1"/>
    <col min="12520" max="12520" width="5.83203125" style="599" customWidth="1"/>
    <col min="12521" max="12521" width="6.25" style="599" customWidth="1"/>
    <col min="12522" max="12526" width="6.83203125" style="599" customWidth="1"/>
    <col min="12527" max="12527" width="7.1640625" style="599" customWidth="1"/>
    <col min="12528" max="12529" width="7.4140625" style="599" customWidth="1"/>
    <col min="12530" max="12530" width="7.1640625" style="599" customWidth="1"/>
    <col min="12531" max="12531" width="5.1640625" style="599" customWidth="1"/>
    <col min="12532" max="12532" width="6.25" style="599" customWidth="1"/>
    <col min="12533" max="12533" width="6.4140625" style="599" customWidth="1"/>
    <col min="12534" max="12534" width="5.75" style="599" customWidth="1"/>
    <col min="12535" max="12535" width="6.25" style="599" customWidth="1"/>
    <col min="12536" max="12540" width="6.83203125" style="599" customWidth="1"/>
    <col min="12541" max="12541" width="6.58203125" style="599" customWidth="1"/>
    <col min="12542" max="12543" width="7.58203125" style="599" customWidth="1"/>
    <col min="12544" max="12765" width="9.1640625" style="599"/>
    <col min="12766" max="12766" width="3.4140625" style="599" customWidth="1"/>
    <col min="12767" max="12767" width="29.58203125" style="599" customWidth="1"/>
    <col min="12768" max="12768" width="8.1640625" style="599" customWidth="1"/>
    <col min="12769" max="12769" width="7.75" style="599" customWidth="1"/>
    <col min="12770" max="12770" width="5.83203125" style="599" customWidth="1"/>
    <col min="12771" max="12771" width="5.75" style="599" customWidth="1"/>
    <col min="12772" max="12772" width="5.58203125" style="599" customWidth="1"/>
    <col min="12773" max="12774" width="6.25" style="599" customWidth="1"/>
    <col min="12775" max="12775" width="7.25" style="599" customWidth="1"/>
    <col min="12776" max="12776" width="5.83203125" style="599" customWidth="1"/>
    <col min="12777" max="12777" width="6.25" style="599" customWidth="1"/>
    <col min="12778" max="12782" width="6.83203125" style="599" customWidth="1"/>
    <col min="12783" max="12783" width="7.1640625" style="599" customWidth="1"/>
    <col min="12784" max="12785" width="7.4140625" style="599" customWidth="1"/>
    <col min="12786" max="12786" width="7.1640625" style="599" customWidth="1"/>
    <col min="12787" max="12787" width="5.1640625" style="599" customWidth="1"/>
    <col min="12788" max="12788" width="6.25" style="599" customWidth="1"/>
    <col min="12789" max="12789" width="6.4140625" style="599" customWidth="1"/>
    <col min="12790" max="12790" width="5.75" style="599" customWidth="1"/>
    <col min="12791" max="12791" width="6.25" style="599" customWidth="1"/>
    <col min="12792" max="12796" width="6.83203125" style="599" customWidth="1"/>
    <col min="12797" max="12797" width="6.58203125" style="599" customWidth="1"/>
    <col min="12798" max="12799" width="7.58203125" style="599" customWidth="1"/>
    <col min="12800" max="13021" width="9.1640625" style="599"/>
    <col min="13022" max="13022" width="3.4140625" style="599" customWidth="1"/>
    <col min="13023" max="13023" width="29.58203125" style="599" customWidth="1"/>
    <col min="13024" max="13024" width="8.1640625" style="599" customWidth="1"/>
    <col min="13025" max="13025" width="7.75" style="599" customWidth="1"/>
    <col min="13026" max="13026" width="5.83203125" style="599" customWidth="1"/>
    <col min="13027" max="13027" width="5.75" style="599" customWidth="1"/>
    <col min="13028" max="13028" width="5.58203125" style="599" customWidth="1"/>
    <col min="13029" max="13030" width="6.25" style="599" customWidth="1"/>
    <col min="13031" max="13031" width="7.25" style="599" customWidth="1"/>
    <col min="13032" max="13032" width="5.83203125" style="599" customWidth="1"/>
    <col min="13033" max="13033" width="6.25" style="599" customWidth="1"/>
    <col min="13034" max="13038" width="6.83203125" style="599" customWidth="1"/>
    <col min="13039" max="13039" width="7.1640625" style="599" customWidth="1"/>
    <col min="13040" max="13041" width="7.4140625" style="599" customWidth="1"/>
    <col min="13042" max="13042" width="7.1640625" style="599" customWidth="1"/>
    <col min="13043" max="13043" width="5.1640625" style="599" customWidth="1"/>
    <col min="13044" max="13044" width="6.25" style="599" customWidth="1"/>
    <col min="13045" max="13045" width="6.4140625" style="599" customWidth="1"/>
    <col min="13046" max="13046" width="5.75" style="599" customWidth="1"/>
    <col min="13047" max="13047" width="6.25" style="599" customWidth="1"/>
    <col min="13048" max="13052" width="6.83203125" style="599" customWidth="1"/>
    <col min="13053" max="13053" width="6.58203125" style="599" customWidth="1"/>
    <col min="13054" max="13055" width="7.58203125" style="599" customWidth="1"/>
    <col min="13056" max="13277" width="9.1640625" style="599"/>
    <col min="13278" max="13278" width="3.4140625" style="599" customWidth="1"/>
    <col min="13279" max="13279" width="29.58203125" style="599" customWidth="1"/>
    <col min="13280" max="13280" width="8.1640625" style="599" customWidth="1"/>
    <col min="13281" max="13281" width="7.75" style="599" customWidth="1"/>
    <col min="13282" max="13282" width="5.83203125" style="599" customWidth="1"/>
    <col min="13283" max="13283" width="5.75" style="599" customWidth="1"/>
    <col min="13284" max="13284" width="5.58203125" style="599" customWidth="1"/>
    <col min="13285" max="13286" width="6.25" style="599" customWidth="1"/>
    <col min="13287" max="13287" width="7.25" style="599" customWidth="1"/>
    <col min="13288" max="13288" width="5.83203125" style="599" customWidth="1"/>
    <col min="13289" max="13289" width="6.25" style="599" customWidth="1"/>
    <col min="13290" max="13294" width="6.83203125" style="599" customWidth="1"/>
    <col min="13295" max="13295" width="7.1640625" style="599" customWidth="1"/>
    <col min="13296" max="13297" width="7.4140625" style="599" customWidth="1"/>
    <col min="13298" max="13298" width="7.1640625" style="599" customWidth="1"/>
    <col min="13299" max="13299" width="5.1640625" style="599" customWidth="1"/>
    <col min="13300" max="13300" width="6.25" style="599" customWidth="1"/>
    <col min="13301" max="13301" width="6.4140625" style="599" customWidth="1"/>
    <col min="13302" max="13302" width="5.75" style="599" customWidth="1"/>
    <col min="13303" max="13303" width="6.25" style="599" customWidth="1"/>
    <col min="13304" max="13308" width="6.83203125" style="599" customWidth="1"/>
    <col min="13309" max="13309" width="6.58203125" style="599" customWidth="1"/>
    <col min="13310" max="13311" width="7.58203125" style="599" customWidth="1"/>
    <col min="13312" max="13533" width="9.1640625" style="599"/>
    <col min="13534" max="13534" width="3.4140625" style="599" customWidth="1"/>
    <col min="13535" max="13535" width="29.58203125" style="599" customWidth="1"/>
    <col min="13536" max="13536" width="8.1640625" style="599" customWidth="1"/>
    <col min="13537" max="13537" width="7.75" style="599" customWidth="1"/>
    <col min="13538" max="13538" width="5.83203125" style="599" customWidth="1"/>
    <col min="13539" max="13539" width="5.75" style="599" customWidth="1"/>
    <col min="13540" max="13540" width="5.58203125" style="599" customWidth="1"/>
    <col min="13541" max="13542" width="6.25" style="599" customWidth="1"/>
    <col min="13543" max="13543" width="7.25" style="599" customWidth="1"/>
    <col min="13544" max="13544" width="5.83203125" style="599" customWidth="1"/>
    <col min="13545" max="13545" width="6.25" style="599" customWidth="1"/>
    <col min="13546" max="13550" width="6.83203125" style="599" customWidth="1"/>
    <col min="13551" max="13551" width="7.1640625" style="599" customWidth="1"/>
    <col min="13552" max="13553" width="7.4140625" style="599" customWidth="1"/>
    <col min="13554" max="13554" width="7.1640625" style="599" customWidth="1"/>
    <col min="13555" max="13555" width="5.1640625" style="599" customWidth="1"/>
    <col min="13556" max="13556" width="6.25" style="599" customWidth="1"/>
    <col min="13557" max="13557" width="6.4140625" style="599" customWidth="1"/>
    <col min="13558" max="13558" width="5.75" style="599" customWidth="1"/>
    <col min="13559" max="13559" width="6.25" style="599" customWidth="1"/>
    <col min="13560" max="13564" width="6.83203125" style="599" customWidth="1"/>
    <col min="13565" max="13565" width="6.58203125" style="599" customWidth="1"/>
    <col min="13566" max="13567" width="7.58203125" style="599" customWidth="1"/>
    <col min="13568" max="13789" width="9.1640625" style="599"/>
    <col min="13790" max="13790" width="3.4140625" style="599" customWidth="1"/>
    <col min="13791" max="13791" width="29.58203125" style="599" customWidth="1"/>
    <col min="13792" max="13792" width="8.1640625" style="599" customWidth="1"/>
    <col min="13793" max="13793" width="7.75" style="599" customWidth="1"/>
    <col min="13794" max="13794" width="5.83203125" style="599" customWidth="1"/>
    <col min="13795" max="13795" width="5.75" style="599" customWidth="1"/>
    <col min="13796" max="13796" width="5.58203125" style="599" customWidth="1"/>
    <col min="13797" max="13798" width="6.25" style="599" customWidth="1"/>
    <col min="13799" max="13799" width="7.25" style="599" customWidth="1"/>
    <col min="13800" max="13800" width="5.83203125" style="599" customWidth="1"/>
    <col min="13801" max="13801" width="6.25" style="599" customWidth="1"/>
    <col min="13802" max="13806" width="6.83203125" style="599" customWidth="1"/>
    <col min="13807" max="13807" width="7.1640625" style="599" customWidth="1"/>
    <col min="13808" max="13809" width="7.4140625" style="599" customWidth="1"/>
    <col min="13810" max="13810" width="7.1640625" style="599" customWidth="1"/>
    <col min="13811" max="13811" width="5.1640625" style="599" customWidth="1"/>
    <col min="13812" max="13812" width="6.25" style="599" customWidth="1"/>
    <col min="13813" max="13813" width="6.4140625" style="599" customWidth="1"/>
    <col min="13814" max="13814" width="5.75" style="599" customWidth="1"/>
    <col min="13815" max="13815" width="6.25" style="599" customWidth="1"/>
    <col min="13816" max="13820" width="6.83203125" style="599" customWidth="1"/>
    <col min="13821" max="13821" width="6.58203125" style="599" customWidth="1"/>
    <col min="13822" max="13823" width="7.58203125" style="599" customWidth="1"/>
    <col min="13824" max="14045" width="9.1640625" style="599"/>
    <col min="14046" max="14046" width="3.4140625" style="599" customWidth="1"/>
    <col min="14047" max="14047" width="29.58203125" style="599" customWidth="1"/>
    <col min="14048" max="14048" width="8.1640625" style="599" customWidth="1"/>
    <col min="14049" max="14049" width="7.75" style="599" customWidth="1"/>
    <col min="14050" max="14050" width="5.83203125" style="599" customWidth="1"/>
    <col min="14051" max="14051" width="5.75" style="599" customWidth="1"/>
    <col min="14052" max="14052" width="5.58203125" style="599" customWidth="1"/>
    <col min="14053" max="14054" width="6.25" style="599" customWidth="1"/>
    <col min="14055" max="14055" width="7.25" style="599" customWidth="1"/>
    <col min="14056" max="14056" width="5.83203125" style="599" customWidth="1"/>
    <col min="14057" max="14057" width="6.25" style="599" customWidth="1"/>
    <col min="14058" max="14062" width="6.83203125" style="599" customWidth="1"/>
    <col min="14063" max="14063" width="7.1640625" style="599" customWidth="1"/>
    <col min="14064" max="14065" width="7.4140625" style="599" customWidth="1"/>
    <col min="14066" max="14066" width="7.1640625" style="599" customWidth="1"/>
    <col min="14067" max="14067" width="5.1640625" style="599" customWidth="1"/>
    <col min="14068" max="14068" width="6.25" style="599" customWidth="1"/>
    <col min="14069" max="14069" width="6.4140625" style="599" customWidth="1"/>
    <col min="14070" max="14070" width="5.75" style="599" customWidth="1"/>
    <col min="14071" max="14071" width="6.25" style="599" customWidth="1"/>
    <col min="14072" max="14076" width="6.83203125" style="599" customWidth="1"/>
    <col min="14077" max="14077" width="6.58203125" style="599" customWidth="1"/>
    <col min="14078" max="14079" width="7.58203125" style="599" customWidth="1"/>
    <col min="14080" max="14301" width="9.1640625" style="599"/>
    <col min="14302" max="14302" width="3.4140625" style="599" customWidth="1"/>
    <col min="14303" max="14303" width="29.58203125" style="599" customWidth="1"/>
    <col min="14304" max="14304" width="8.1640625" style="599" customWidth="1"/>
    <col min="14305" max="14305" width="7.75" style="599" customWidth="1"/>
    <col min="14306" max="14306" width="5.83203125" style="599" customWidth="1"/>
    <col min="14307" max="14307" width="5.75" style="599" customWidth="1"/>
    <col min="14308" max="14308" width="5.58203125" style="599" customWidth="1"/>
    <col min="14309" max="14310" width="6.25" style="599" customWidth="1"/>
    <col min="14311" max="14311" width="7.25" style="599" customWidth="1"/>
    <col min="14312" max="14312" width="5.83203125" style="599" customWidth="1"/>
    <col min="14313" max="14313" width="6.25" style="599" customWidth="1"/>
    <col min="14314" max="14318" width="6.83203125" style="599" customWidth="1"/>
    <col min="14319" max="14319" width="7.1640625" style="599" customWidth="1"/>
    <col min="14320" max="14321" width="7.4140625" style="599" customWidth="1"/>
    <col min="14322" max="14322" width="7.1640625" style="599" customWidth="1"/>
    <col min="14323" max="14323" width="5.1640625" style="599" customWidth="1"/>
    <col min="14324" max="14324" width="6.25" style="599" customWidth="1"/>
    <col min="14325" max="14325" width="6.4140625" style="599" customWidth="1"/>
    <col min="14326" max="14326" width="5.75" style="599" customWidth="1"/>
    <col min="14327" max="14327" width="6.25" style="599" customWidth="1"/>
    <col min="14328" max="14332" width="6.83203125" style="599" customWidth="1"/>
    <col min="14333" max="14333" width="6.58203125" style="599" customWidth="1"/>
    <col min="14334" max="14335" width="7.58203125" style="599" customWidth="1"/>
    <col min="14336" max="14557" width="9.1640625" style="599"/>
    <col min="14558" max="14558" width="3.4140625" style="599" customWidth="1"/>
    <col min="14559" max="14559" width="29.58203125" style="599" customWidth="1"/>
    <col min="14560" max="14560" width="8.1640625" style="599" customWidth="1"/>
    <col min="14561" max="14561" width="7.75" style="599" customWidth="1"/>
    <col min="14562" max="14562" width="5.83203125" style="599" customWidth="1"/>
    <col min="14563" max="14563" width="5.75" style="599" customWidth="1"/>
    <col min="14564" max="14564" width="5.58203125" style="599" customWidth="1"/>
    <col min="14565" max="14566" width="6.25" style="599" customWidth="1"/>
    <col min="14567" max="14567" width="7.25" style="599" customWidth="1"/>
    <col min="14568" max="14568" width="5.83203125" style="599" customWidth="1"/>
    <col min="14569" max="14569" width="6.25" style="599" customWidth="1"/>
    <col min="14570" max="14574" width="6.83203125" style="599" customWidth="1"/>
    <col min="14575" max="14575" width="7.1640625" style="599" customWidth="1"/>
    <col min="14576" max="14577" width="7.4140625" style="599" customWidth="1"/>
    <col min="14578" max="14578" width="7.1640625" style="599" customWidth="1"/>
    <col min="14579" max="14579" width="5.1640625" style="599" customWidth="1"/>
    <col min="14580" max="14580" width="6.25" style="599" customWidth="1"/>
    <col min="14581" max="14581" width="6.4140625" style="599" customWidth="1"/>
    <col min="14582" max="14582" width="5.75" style="599" customWidth="1"/>
    <col min="14583" max="14583" width="6.25" style="599" customWidth="1"/>
    <col min="14584" max="14588" width="6.83203125" style="599" customWidth="1"/>
    <col min="14589" max="14589" width="6.58203125" style="599" customWidth="1"/>
    <col min="14590" max="14591" width="7.58203125" style="599" customWidth="1"/>
    <col min="14592" max="14813" width="9.1640625" style="599"/>
    <col min="14814" max="14814" width="3.4140625" style="599" customWidth="1"/>
    <col min="14815" max="14815" width="29.58203125" style="599" customWidth="1"/>
    <col min="14816" max="14816" width="8.1640625" style="599" customWidth="1"/>
    <col min="14817" max="14817" width="7.75" style="599" customWidth="1"/>
    <col min="14818" max="14818" width="5.83203125" style="599" customWidth="1"/>
    <col min="14819" max="14819" width="5.75" style="599" customWidth="1"/>
    <col min="14820" max="14820" width="5.58203125" style="599" customWidth="1"/>
    <col min="14821" max="14822" width="6.25" style="599" customWidth="1"/>
    <col min="14823" max="14823" width="7.25" style="599" customWidth="1"/>
    <col min="14824" max="14824" width="5.83203125" style="599" customWidth="1"/>
    <col min="14825" max="14825" width="6.25" style="599" customWidth="1"/>
    <col min="14826" max="14830" width="6.83203125" style="599" customWidth="1"/>
    <col min="14831" max="14831" width="7.1640625" style="599" customWidth="1"/>
    <col min="14832" max="14833" width="7.4140625" style="599" customWidth="1"/>
    <col min="14834" max="14834" width="7.1640625" style="599" customWidth="1"/>
    <col min="14835" max="14835" width="5.1640625" style="599" customWidth="1"/>
    <col min="14836" max="14836" width="6.25" style="599" customWidth="1"/>
    <col min="14837" max="14837" width="6.4140625" style="599" customWidth="1"/>
    <col min="14838" max="14838" width="5.75" style="599" customWidth="1"/>
    <col min="14839" max="14839" width="6.25" style="599" customWidth="1"/>
    <col min="14840" max="14844" width="6.83203125" style="599" customWidth="1"/>
    <col min="14845" max="14845" width="6.58203125" style="599" customWidth="1"/>
    <col min="14846" max="14847" width="7.58203125" style="599" customWidth="1"/>
    <col min="14848" max="15069" width="9.1640625" style="599"/>
    <col min="15070" max="15070" width="3.4140625" style="599" customWidth="1"/>
    <col min="15071" max="15071" width="29.58203125" style="599" customWidth="1"/>
    <col min="15072" max="15072" width="8.1640625" style="599" customWidth="1"/>
    <col min="15073" max="15073" width="7.75" style="599" customWidth="1"/>
    <col min="15074" max="15074" width="5.83203125" style="599" customWidth="1"/>
    <col min="15075" max="15075" width="5.75" style="599" customWidth="1"/>
    <col min="15076" max="15076" width="5.58203125" style="599" customWidth="1"/>
    <col min="15077" max="15078" width="6.25" style="599" customWidth="1"/>
    <col min="15079" max="15079" width="7.25" style="599" customWidth="1"/>
    <col min="15080" max="15080" width="5.83203125" style="599" customWidth="1"/>
    <col min="15081" max="15081" width="6.25" style="599" customWidth="1"/>
    <col min="15082" max="15086" width="6.83203125" style="599" customWidth="1"/>
    <col min="15087" max="15087" width="7.1640625" style="599" customWidth="1"/>
    <col min="15088" max="15089" width="7.4140625" style="599" customWidth="1"/>
    <col min="15090" max="15090" width="7.1640625" style="599" customWidth="1"/>
    <col min="15091" max="15091" width="5.1640625" style="599" customWidth="1"/>
    <col min="15092" max="15092" width="6.25" style="599" customWidth="1"/>
    <col min="15093" max="15093" width="6.4140625" style="599" customWidth="1"/>
    <col min="15094" max="15094" width="5.75" style="599" customWidth="1"/>
    <col min="15095" max="15095" width="6.25" style="599" customWidth="1"/>
    <col min="15096" max="15100" width="6.83203125" style="599" customWidth="1"/>
    <col min="15101" max="15101" width="6.58203125" style="599" customWidth="1"/>
    <col min="15102" max="15103" width="7.58203125" style="599" customWidth="1"/>
    <col min="15104" max="15325" width="9.1640625" style="599"/>
    <col min="15326" max="15326" width="3.4140625" style="599" customWidth="1"/>
    <col min="15327" max="15327" width="29.58203125" style="599" customWidth="1"/>
    <col min="15328" max="15328" width="8.1640625" style="599" customWidth="1"/>
    <col min="15329" max="15329" width="7.75" style="599" customWidth="1"/>
    <col min="15330" max="15330" width="5.83203125" style="599" customWidth="1"/>
    <col min="15331" max="15331" width="5.75" style="599" customWidth="1"/>
    <col min="15332" max="15332" width="5.58203125" style="599" customWidth="1"/>
    <col min="15333" max="15334" width="6.25" style="599" customWidth="1"/>
    <col min="15335" max="15335" width="7.25" style="599" customWidth="1"/>
    <col min="15336" max="15336" width="5.83203125" style="599" customWidth="1"/>
    <col min="15337" max="15337" width="6.25" style="599" customWidth="1"/>
    <col min="15338" max="15342" width="6.83203125" style="599" customWidth="1"/>
    <col min="15343" max="15343" width="7.1640625" style="599" customWidth="1"/>
    <col min="15344" max="15345" width="7.4140625" style="599" customWidth="1"/>
    <col min="15346" max="15346" width="7.1640625" style="599" customWidth="1"/>
    <col min="15347" max="15347" width="5.1640625" style="599" customWidth="1"/>
    <col min="15348" max="15348" width="6.25" style="599" customWidth="1"/>
    <col min="15349" max="15349" width="6.4140625" style="599" customWidth="1"/>
    <col min="15350" max="15350" width="5.75" style="599" customWidth="1"/>
    <col min="15351" max="15351" width="6.25" style="599" customWidth="1"/>
    <col min="15352" max="15356" width="6.83203125" style="599" customWidth="1"/>
    <col min="15357" max="15357" width="6.58203125" style="599" customWidth="1"/>
    <col min="15358" max="15359" width="7.58203125" style="599" customWidth="1"/>
    <col min="15360" max="15581" width="9.1640625" style="599"/>
    <col min="15582" max="15582" width="3.4140625" style="599" customWidth="1"/>
    <col min="15583" max="15583" width="29.58203125" style="599" customWidth="1"/>
    <col min="15584" max="15584" width="8.1640625" style="599" customWidth="1"/>
    <col min="15585" max="15585" width="7.75" style="599" customWidth="1"/>
    <col min="15586" max="15586" width="5.83203125" style="599" customWidth="1"/>
    <col min="15587" max="15587" width="5.75" style="599" customWidth="1"/>
    <col min="15588" max="15588" width="5.58203125" style="599" customWidth="1"/>
    <col min="15589" max="15590" width="6.25" style="599" customWidth="1"/>
    <col min="15591" max="15591" width="7.25" style="599" customWidth="1"/>
    <col min="15592" max="15592" width="5.83203125" style="599" customWidth="1"/>
    <col min="15593" max="15593" width="6.25" style="599" customWidth="1"/>
    <col min="15594" max="15598" width="6.83203125" style="599" customWidth="1"/>
    <col min="15599" max="15599" width="7.1640625" style="599" customWidth="1"/>
    <col min="15600" max="15601" width="7.4140625" style="599" customWidth="1"/>
    <col min="15602" max="15602" width="7.1640625" style="599" customWidth="1"/>
    <col min="15603" max="15603" width="5.1640625" style="599" customWidth="1"/>
    <col min="15604" max="15604" width="6.25" style="599" customWidth="1"/>
    <col min="15605" max="15605" width="6.4140625" style="599" customWidth="1"/>
    <col min="15606" max="15606" width="5.75" style="599" customWidth="1"/>
    <col min="15607" max="15607" width="6.25" style="599" customWidth="1"/>
    <col min="15608" max="15612" width="6.83203125" style="599" customWidth="1"/>
    <col min="15613" max="15613" width="6.58203125" style="599" customWidth="1"/>
    <col min="15614" max="15615" width="7.58203125" style="599" customWidth="1"/>
    <col min="15616" max="15837" width="9.1640625" style="599"/>
    <col min="15838" max="15838" width="3.4140625" style="599" customWidth="1"/>
    <col min="15839" max="15839" width="29.58203125" style="599" customWidth="1"/>
    <col min="15840" max="15840" width="8.1640625" style="599" customWidth="1"/>
    <col min="15841" max="15841" width="7.75" style="599" customWidth="1"/>
    <col min="15842" max="15842" width="5.83203125" style="599" customWidth="1"/>
    <col min="15843" max="15843" width="5.75" style="599" customWidth="1"/>
    <col min="15844" max="15844" width="5.58203125" style="599" customWidth="1"/>
    <col min="15845" max="15846" width="6.25" style="599" customWidth="1"/>
    <col min="15847" max="15847" width="7.25" style="599" customWidth="1"/>
    <col min="15848" max="15848" width="5.83203125" style="599" customWidth="1"/>
    <col min="15849" max="15849" width="6.25" style="599" customWidth="1"/>
    <col min="15850" max="15854" width="6.83203125" style="599" customWidth="1"/>
    <col min="15855" max="15855" width="7.1640625" style="599" customWidth="1"/>
    <col min="15856" max="15857" width="7.4140625" style="599" customWidth="1"/>
    <col min="15858" max="15858" width="7.1640625" style="599" customWidth="1"/>
    <col min="15859" max="15859" width="5.1640625" style="599" customWidth="1"/>
    <col min="15860" max="15860" width="6.25" style="599" customWidth="1"/>
    <col min="15861" max="15861" width="6.4140625" style="599" customWidth="1"/>
    <col min="15862" max="15862" width="5.75" style="599" customWidth="1"/>
    <col min="15863" max="15863" width="6.25" style="599" customWidth="1"/>
    <col min="15864" max="15868" width="6.83203125" style="599" customWidth="1"/>
    <col min="15869" max="15869" width="6.58203125" style="599" customWidth="1"/>
    <col min="15870" max="15871" width="7.58203125" style="599" customWidth="1"/>
    <col min="15872" max="16093" width="9.1640625" style="599"/>
    <col min="16094" max="16094" width="3.4140625" style="599" customWidth="1"/>
    <col min="16095" max="16095" width="29.58203125" style="599" customWidth="1"/>
    <col min="16096" max="16096" width="8.1640625" style="599" customWidth="1"/>
    <col min="16097" max="16097" width="7.75" style="599" customWidth="1"/>
    <col min="16098" max="16098" width="5.83203125" style="599" customWidth="1"/>
    <col min="16099" max="16099" width="5.75" style="599" customWidth="1"/>
    <col min="16100" max="16100" width="5.58203125" style="599" customWidth="1"/>
    <col min="16101" max="16102" width="6.25" style="599" customWidth="1"/>
    <col min="16103" max="16103" width="7.25" style="599" customWidth="1"/>
    <col min="16104" max="16104" width="5.83203125" style="599" customWidth="1"/>
    <col min="16105" max="16105" width="6.25" style="599" customWidth="1"/>
    <col min="16106" max="16110" width="6.83203125" style="599" customWidth="1"/>
    <col min="16111" max="16111" width="7.1640625" style="599" customWidth="1"/>
    <col min="16112" max="16113" width="7.4140625" style="599" customWidth="1"/>
    <col min="16114" max="16114" width="7.1640625" style="599" customWidth="1"/>
    <col min="16115" max="16115" width="5.1640625" style="599" customWidth="1"/>
    <col min="16116" max="16116" width="6.25" style="599" customWidth="1"/>
    <col min="16117" max="16117" width="6.4140625" style="599" customWidth="1"/>
    <col min="16118" max="16118" width="5.75" style="599" customWidth="1"/>
    <col min="16119" max="16119" width="6.25" style="599" customWidth="1"/>
    <col min="16120" max="16124" width="6.83203125" style="599" customWidth="1"/>
    <col min="16125" max="16125" width="6.58203125" style="599" customWidth="1"/>
    <col min="16126" max="16127" width="7.58203125" style="599" customWidth="1"/>
    <col min="16128" max="16384" width="9.1640625" style="599"/>
  </cols>
  <sheetData>
    <row r="1" spans="1:20" ht="13.5" customHeight="1">
      <c r="Q1" s="872" t="s">
        <v>552</v>
      </c>
      <c r="R1" s="872"/>
    </row>
    <row r="2" spans="1:20" ht="36.75" customHeight="1">
      <c r="A2" s="874" t="s">
        <v>555</v>
      </c>
      <c r="B2" s="874"/>
      <c r="C2" s="874"/>
      <c r="D2" s="874"/>
      <c r="E2" s="874"/>
      <c r="F2" s="874"/>
      <c r="G2" s="874"/>
      <c r="H2" s="874"/>
      <c r="I2" s="874"/>
      <c r="J2" s="874"/>
      <c r="K2" s="874"/>
      <c r="L2" s="874"/>
      <c r="M2" s="874"/>
      <c r="N2" s="874"/>
      <c r="O2" s="874"/>
      <c r="P2" s="874"/>
      <c r="Q2" s="874"/>
      <c r="R2" s="874"/>
    </row>
    <row r="3" spans="1:20" ht="15.75" customHeight="1">
      <c r="A3" s="875" t="str">
        <f>'TỔNG HỢP'!A3:D3</f>
        <v>(Kèm theo Tờ trình số         /TTr-UBND ngày       /12/2024 của UBND huyện Na Rì)</v>
      </c>
      <c r="B3" s="875"/>
      <c r="C3" s="875"/>
      <c r="D3" s="875"/>
      <c r="E3" s="875"/>
      <c r="F3" s="875"/>
      <c r="G3" s="875"/>
      <c r="H3" s="875"/>
      <c r="I3" s="875"/>
      <c r="J3" s="875"/>
      <c r="K3" s="875"/>
      <c r="L3" s="875"/>
      <c r="M3" s="875"/>
      <c r="N3" s="875"/>
      <c r="O3" s="875"/>
      <c r="P3" s="875"/>
      <c r="Q3" s="875"/>
      <c r="R3" s="875"/>
    </row>
    <row r="4" spans="1:20" ht="21.75" customHeight="1">
      <c r="O4" s="873" t="s">
        <v>571</v>
      </c>
      <c r="P4" s="873"/>
      <c r="Q4" s="873"/>
      <c r="R4" s="873"/>
    </row>
    <row r="5" spans="1:20" ht="22.5" customHeight="1">
      <c r="A5" s="876" t="s">
        <v>493</v>
      </c>
      <c r="B5" s="876" t="s">
        <v>57</v>
      </c>
      <c r="C5" s="870" t="s">
        <v>492</v>
      </c>
      <c r="D5" s="877" t="s">
        <v>491</v>
      </c>
      <c r="E5" s="877"/>
      <c r="F5" s="877"/>
      <c r="G5" s="877"/>
      <c r="H5" s="877"/>
      <c r="I5" s="877"/>
      <c r="J5" s="877"/>
      <c r="K5" s="877"/>
      <c r="L5" s="877"/>
      <c r="M5" s="877"/>
      <c r="N5" s="878" t="s">
        <v>490</v>
      </c>
      <c r="O5" s="880" t="s">
        <v>489</v>
      </c>
      <c r="P5" s="881" t="s">
        <v>488</v>
      </c>
      <c r="Q5" s="870" t="s">
        <v>557</v>
      </c>
      <c r="R5" s="870" t="s">
        <v>561</v>
      </c>
    </row>
    <row r="6" spans="1:20" ht="87" customHeight="1">
      <c r="A6" s="876"/>
      <c r="B6" s="876"/>
      <c r="C6" s="871"/>
      <c r="D6" s="628" t="s">
        <v>487</v>
      </c>
      <c r="E6" s="628" t="s">
        <v>486</v>
      </c>
      <c r="F6" s="628" t="s">
        <v>485</v>
      </c>
      <c r="G6" s="628" t="s">
        <v>484</v>
      </c>
      <c r="H6" s="628" t="s">
        <v>483</v>
      </c>
      <c r="I6" s="628" t="s">
        <v>482</v>
      </c>
      <c r="J6" s="628" t="s">
        <v>481</v>
      </c>
      <c r="K6" s="628" t="s">
        <v>569</v>
      </c>
      <c r="L6" s="628" t="s">
        <v>572</v>
      </c>
      <c r="M6" s="627" t="s">
        <v>573</v>
      </c>
      <c r="N6" s="879"/>
      <c r="O6" s="880"/>
      <c r="P6" s="881"/>
      <c r="Q6" s="871"/>
      <c r="R6" s="871"/>
    </row>
    <row r="7" spans="1:20" s="624" customFormat="1" ht="17.25" customHeight="1">
      <c r="A7" s="626">
        <v>1</v>
      </c>
      <c r="B7" s="626">
        <v>2</v>
      </c>
      <c r="C7" s="626" t="s">
        <v>480</v>
      </c>
      <c r="D7" s="625">
        <v>4</v>
      </c>
      <c r="E7" s="625">
        <v>5</v>
      </c>
      <c r="F7" s="625">
        <v>6</v>
      </c>
      <c r="G7" s="625">
        <v>7</v>
      </c>
      <c r="H7" s="625">
        <v>8</v>
      </c>
      <c r="I7" s="625">
        <v>9</v>
      </c>
      <c r="J7" s="625">
        <v>10</v>
      </c>
      <c r="K7" s="625">
        <v>11</v>
      </c>
      <c r="L7" s="625">
        <v>12</v>
      </c>
      <c r="M7" s="625">
        <v>13</v>
      </c>
      <c r="N7" s="625">
        <v>14</v>
      </c>
      <c r="O7" s="625" t="s">
        <v>479</v>
      </c>
      <c r="P7" s="625">
        <v>16</v>
      </c>
      <c r="Q7" s="662" t="s">
        <v>558</v>
      </c>
      <c r="R7" s="662" t="s">
        <v>556</v>
      </c>
    </row>
    <row r="8" spans="1:20" ht="25.5" customHeight="1">
      <c r="A8" s="623"/>
      <c r="B8" s="623" t="s">
        <v>14</v>
      </c>
      <c r="C8" s="622">
        <f t="shared" ref="C8:P8" si="0">SUM(C9:C25)</f>
        <v>9075990</v>
      </c>
      <c r="D8" s="622">
        <f t="shared" si="0"/>
        <v>6828558</v>
      </c>
      <c r="E8" s="622">
        <f t="shared" si="0"/>
        <v>284942</v>
      </c>
      <c r="F8" s="622">
        <f t="shared" si="0"/>
        <v>187380</v>
      </c>
      <c r="G8" s="622">
        <f t="shared" si="0"/>
        <v>103097</v>
      </c>
      <c r="H8" s="622">
        <f t="shared" si="0"/>
        <v>9914</v>
      </c>
      <c r="I8" s="622">
        <f t="shared" si="0"/>
        <v>198421</v>
      </c>
      <c r="J8" s="622">
        <f t="shared" si="0"/>
        <v>48600</v>
      </c>
      <c r="K8" s="622">
        <f t="shared" si="0"/>
        <v>36000</v>
      </c>
      <c r="L8" s="622">
        <f t="shared" si="0"/>
        <v>702546</v>
      </c>
      <c r="M8" s="622">
        <f t="shared" si="0"/>
        <v>676532</v>
      </c>
      <c r="N8" s="622">
        <f t="shared" si="0"/>
        <v>786398.57900000003</v>
      </c>
      <c r="O8" s="622">
        <f t="shared" si="0"/>
        <v>8289591.4210000001</v>
      </c>
      <c r="P8" s="622">
        <f t="shared" si="0"/>
        <v>3315824</v>
      </c>
      <c r="Q8" s="676">
        <f t="shared" ref="Q8" si="1">SUM(Q9:Q25)</f>
        <v>4973765</v>
      </c>
      <c r="R8" s="676">
        <f>SUM(R9:R25)</f>
        <v>4973765</v>
      </c>
      <c r="S8" s="621"/>
      <c r="T8" s="621"/>
    </row>
    <row r="9" spans="1:20" s="604" customFormat="1" ht="25" customHeight="1">
      <c r="A9" s="677">
        <v>1</v>
      </c>
      <c r="B9" s="678" t="s">
        <v>207</v>
      </c>
      <c r="C9" s="679">
        <f t="shared" ref="C9:C25" si="2">SUM(D9:M9)</f>
        <v>451703</v>
      </c>
      <c r="D9" s="680">
        <v>323652</v>
      </c>
      <c r="E9" s="680">
        <f>18468+1312</f>
        <v>19780</v>
      </c>
      <c r="F9" s="680">
        <v>12636</v>
      </c>
      <c r="G9" s="680">
        <f>4082+9331</f>
        <v>13413</v>
      </c>
      <c r="H9" s="680">
        <v>1749</v>
      </c>
      <c r="I9" s="680">
        <v>22169</v>
      </c>
      <c r="J9" s="680">
        <v>9720</v>
      </c>
      <c r="K9" s="680"/>
      <c r="L9" s="680"/>
      <c r="M9" s="680">
        <f>37309+11275</f>
        <v>48584</v>
      </c>
      <c r="N9" s="681">
        <v>27140</v>
      </c>
      <c r="O9" s="681">
        <f t="shared" ref="O9:O25" si="3">C9-N9</f>
        <v>424563</v>
      </c>
      <c r="P9" s="681">
        <f t="shared" ref="P9:P21" si="4">ROUNDDOWN(O9*0.4,0)</f>
        <v>169825</v>
      </c>
      <c r="Q9" s="682">
        <f>ROUNDDOWN((O9-P9),0)</f>
        <v>254738</v>
      </c>
      <c r="R9" s="682">
        <f>Q9</f>
        <v>254738</v>
      </c>
    </row>
    <row r="10" spans="1:20" s="604" customFormat="1" ht="25" customHeight="1">
      <c r="A10" s="616">
        <v>2</v>
      </c>
      <c r="B10" s="615" t="s">
        <v>199</v>
      </c>
      <c r="C10" s="614">
        <f t="shared" si="2"/>
        <v>541414</v>
      </c>
      <c r="D10" s="613">
        <v>414055</v>
      </c>
      <c r="E10" s="613">
        <f>17496+1312</f>
        <v>18808</v>
      </c>
      <c r="F10" s="613">
        <v>13608</v>
      </c>
      <c r="G10" s="613">
        <v>4536</v>
      </c>
      <c r="H10" s="613"/>
      <c r="I10" s="613">
        <v>6292</v>
      </c>
      <c r="J10" s="613"/>
      <c r="K10" s="613"/>
      <c r="L10" s="613">
        <v>48411</v>
      </c>
      <c r="M10" s="613">
        <f>28188+7516</f>
        <v>35704</v>
      </c>
      <c r="N10" s="611">
        <v>188900</v>
      </c>
      <c r="O10" s="611">
        <f t="shared" si="3"/>
        <v>352514</v>
      </c>
      <c r="P10" s="611">
        <f t="shared" si="4"/>
        <v>141005</v>
      </c>
      <c r="Q10" s="663">
        <f t="shared" ref="Q10:Q25" si="5">ROUNDDOWN((O10-P10),0)</f>
        <v>211509</v>
      </c>
      <c r="R10" s="663">
        <f t="shared" ref="R10:R25" si="6">Q10</f>
        <v>211509</v>
      </c>
      <c r="T10" s="674">
        <f>R8+'06. CCTL HUYỆN'!N8</f>
        <v>20608707</v>
      </c>
    </row>
    <row r="11" spans="1:20" s="604" customFormat="1" ht="25" customHeight="1">
      <c r="A11" s="616">
        <v>3</v>
      </c>
      <c r="B11" s="615" t="s">
        <v>478</v>
      </c>
      <c r="C11" s="614">
        <f t="shared" si="2"/>
        <v>474812</v>
      </c>
      <c r="D11" s="613">
        <v>369914</v>
      </c>
      <c r="E11" s="613">
        <f>16524+1458</f>
        <v>17982</v>
      </c>
      <c r="F11" s="613">
        <v>9720</v>
      </c>
      <c r="G11" s="613">
        <f>3629+8554</f>
        <v>12183</v>
      </c>
      <c r="H11" s="613">
        <v>146</v>
      </c>
      <c r="I11" s="613">
        <v>7390</v>
      </c>
      <c r="J11" s="613">
        <v>4860</v>
      </c>
      <c r="K11" s="613"/>
      <c r="L11" s="613"/>
      <c r="M11" s="613">
        <f>26309+26308</f>
        <v>52617</v>
      </c>
      <c r="N11" s="611">
        <v>15382</v>
      </c>
      <c r="O11" s="611">
        <f t="shared" si="3"/>
        <v>459430</v>
      </c>
      <c r="P11" s="611">
        <f t="shared" si="4"/>
        <v>183772</v>
      </c>
      <c r="Q11" s="663">
        <f t="shared" si="5"/>
        <v>275658</v>
      </c>
      <c r="R11" s="663">
        <f t="shared" si="6"/>
        <v>275658</v>
      </c>
    </row>
    <row r="12" spans="1:20" s="604" customFormat="1" ht="25" customHeight="1">
      <c r="A12" s="616">
        <v>4</v>
      </c>
      <c r="B12" s="615" t="s">
        <v>477</v>
      </c>
      <c r="C12" s="614">
        <f t="shared" si="2"/>
        <v>527540</v>
      </c>
      <c r="D12" s="613">
        <v>352409</v>
      </c>
      <c r="E12" s="613">
        <f>15552+1021</f>
        <v>16573</v>
      </c>
      <c r="F12" s="613">
        <v>10692</v>
      </c>
      <c r="G12" s="613">
        <v>3629</v>
      </c>
      <c r="H12" s="613"/>
      <c r="I12" s="613">
        <v>7390</v>
      </c>
      <c r="J12" s="613"/>
      <c r="K12" s="613"/>
      <c r="L12" s="613">
        <v>72954</v>
      </c>
      <c r="M12" s="613">
        <f>26309+37584</f>
        <v>63893</v>
      </c>
      <c r="N12" s="611">
        <v>7600</v>
      </c>
      <c r="O12" s="611">
        <f t="shared" si="3"/>
        <v>519940</v>
      </c>
      <c r="P12" s="611">
        <f t="shared" si="4"/>
        <v>207976</v>
      </c>
      <c r="Q12" s="663">
        <f t="shared" si="5"/>
        <v>311964</v>
      </c>
      <c r="R12" s="663">
        <f t="shared" si="6"/>
        <v>311964</v>
      </c>
    </row>
    <row r="13" spans="1:20" s="604" customFormat="1" ht="25" customHeight="1">
      <c r="A13" s="616">
        <v>5</v>
      </c>
      <c r="B13" s="615" t="s">
        <v>201</v>
      </c>
      <c r="C13" s="614">
        <f t="shared" si="2"/>
        <v>434952</v>
      </c>
      <c r="D13" s="613">
        <v>360429</v>
      </c>
      <c r="E13" s="613">
        <f>13608+1166</f>
        <v>14774</v>
      </c>
      <c r="F13" s="613">
        <v>10692</v>
      </c>
      <c r="G13" s="613">
        <f>3629+8554</f>
        <v>12183</v>
      </c>
      <c r="H13" s="613">
        <v>4374</v>
      </c>
      <c r="I13" s="613">
        <v>7390</v>
      </c>
      <c r="J13" s="613">
        <v>4860</v>
      </c>
      <c r="K13" s="613"/>
      <c r="L13" s="613"/>
      <c r="M13" s="613">
        <v>20250</v>
      </c>
      <c r="N13" s="619">
        <v>28185</v>
      </c>
      <c r="O13" s="611">
        <f t="shared" si="3"/>
        <v>406767</v>
      </c>
      <c r="P13" s="611">
        <f t="shared" si="4"/>
        <v>162706</v>
      </c>
      <c r="Q13" s="663">
        <f t="shared" si="5"/>
        <v>244061</v>
      </c>
      <c r="R13" s="663">
        <f t="shared" si="6"/>
        <v>244061</v>
      </c>
    </row>
    <row r="14" spans="1:20" s="604" customFormat="1" ht="25" customHeight="1">
      <c r="A14" s="616">
        <v>6</v>
      </c>
      <c r="B14" s="615" t="s">
        <v>476</v>
      </c>
      <c r="C14" s="614">
        <f t="shared" si="2"/>
        <v>481006</v>
      </c>
      <c r="D14" s="613">
        <v>404817</v>
      </c>
      <c r="E14" s="613">
        <f>14580+1166</f>
        <v>15746</v>
      </c>
      <c r="F14" s="613">
        <v>9720</v>
      </c>
      <c r="G14" s="613">
        <v>4536</v>
      </c>
      <c r="H14" s="613"/>
      <c r="I14" s="613"/>
      <c r="J14" s="613"/>
      <c r="K14" s="613">
        <v>18000</v>
      </c>
      <c r="L14" s="613"/>
      <c r="M14" s="613">
        <f>24429+3758</f>
        <v>28187</v>
      </c>
      <c r="N14" s="619">
        <v>39957</v>
      </c>
      <c r="O14" s="611">
        <f t="shared" si="3"/>
        <v>441049</v>
      </c>
      <c r="P14" s="611">
        <f t="shared" si="4"/>
        <v>176419</v>
      </c>
      <c r="Q14" s="663">
        <f t="shared" si="5"/>
        <v>264630</v>
      </c>
      <c r="R14" s="663">
        <f>Q14</f>
        <v>264630</v>
      </c>
    </row>
    <row r="15" spans="1:20" s="604" customFormat="1" ht="25" customHeight="1">
      <c r="A15" s="616">
        <v>7</v>
      </c>
      <c r="B15" s="615" t="s">
        <v>475</v>
      </c>
      <c r="C15" s="614">
        <f t="shared" si="2"/>
        <v>456605</v>
      </c>
      <c r="D15" s="613">
        <v>341453</v>
      </c>
      <c r="E15" s="613">
        <f>15552+1750</f>
        <v>17302</v>
      </c>
      <c r="F15" s="613">
        <v>10692</v>
      </c>
      <c r="G15" s="613">
        <f>3629+8165</f>
        <v>11794</v>
      </c>
      <c r="H15" s="613">
        <v>3645</v>
      </c>
      <c r="I15" s="613">
        <v>11633</v>
      </c>
      <c r="J15" s="613">
        <v>4860</v>
      </c>
      <c r="K15" s="613"/>
      <c r="L15" s="613"/>
      <c r="M15" s="613">
        <f>25159+30067</f>
        <v>55226</v>
      </c>
      <c r="N15" s="619">
        <v>19375</v>
      </c>
      <c r="O15" s="611">
        <f t="shared" si="3"/>
        <v>437230</v>
      </c>
      <c r="P15" s="611">
        <f t="shared" si="4"/>
        <v>174892</v>
      </c>
      <c r="Q15" s="663">
        <f t="shared" si="5"/>
        <v>262338</v>
      </c>
      <c r="R15" s="663">
        <f t="shared" si="6"/>
        <v>262338</v>
      </c>
    </row>
    <row r="16" spans="1:20" s="604" customFormat="1" ht="25" customHeight="1">
      <c r="A16" s="616">
        <v>8</v>
      </c>
      <c r="B16" s="615" t="s">
        <v>200</v>
      </c>
      <c r="C16" s="614">
        <f t="shared" si="2"/>
        <v>713432</v>
      </c>
      <c r="D16" s="613">
        <v>452494</v>
      </c>
      <c r="E16" s="613">
        <f>17496+1458</f>
        <v>18954</v>
      </c>
      <c r="F16" s="613">
        <v>11664</v>
      </c>
      <c r="G16" s="613">
        <v>4536</v>
      </c>
      <c r="H16" s="613"/>
      <c r="I16" s="613">
        <v>22168</v>
      </c>
      <c r="J16" s="613"/>
      <c r="K16" s="613"/>
      <c r="L16" s="613">
        <f>99441+64712</f>
        <v>164153</v>
      </c>
      <c r="M16" s="613">
        <f>35705+3758</f>
        <v>39463</v>
      </c>
      <c r="N16" s="619">
        <v>15820.013000000001</v>
      </c>
      <c r="O16" s="611">
        <f t="shared" si="3"/>
        <v>697611.98699999996</v>
      </c>
      <c r="P16" s="611">
        <f t="shared" si="4"/>
        <v>279044</v>
      </c>
      <c r="Q16" s="663">
        <f t="shared" si="5"/>
        <v>418567</v>
      </c>
      <c r="R16" s="663">
        <f t="shared" si="6"/>
        <v>418567</v>
      </c>
    </row>
    <row r="17" spans="1:18" s="604" customFormat="1" ht="25" customHeight="1">
      <c r="A17" s="616">
        <v>9</v>
      </c>
      <c r="B17" s="615" t="s">
        <v>474</v>
      </c>
      <c r="C17" s="614">
        <f t="shared" si="2"/>
        <v>499184</v>
      </c>
      <c r="D17" s="613">
        <v>428690</v>
      </c>
      <c r="E17" s="613">
        <f>13608+1021</f>
        <v>14629</v>
      </c>
      <c r="F17" s="613">
        <v>10692</v>
      </c>
      <c r="G17" s="613">
        <v>4082</v>
      </c>
      <c r="H17" s="613"/>
      <c r="I17" s="613">
        <v>13681</v>
      </c>
      <c r="J17" s="613">
        <v>4860</v>
      </c>
      <c r="K17" s="613"/>
      <c r="L17" s="613"/>
      <c r="M17" s="613">
        <f>11275+11275</f>
        <v>22550</v>
      </c>
      <c r="N17" s="619">
        <v>34923</v>
      </c>
      <c r="O17" s="611">
        <f t="shared" si="3"/>
        <v>464261</v>
      </c>
      <c r="P17" s="611">
        <f t="shared" si="4"/>
        <v>185704</v>
      </c>
      <c r="Q17" s="663">
        <f t="shared" si="5"/>
        <v>278557</v>
      </c>
      <c r="R17" s="663">
        <f t="shared" si="6"/>
        <v>278557</v>
      </c>
    </row>
    <row r="18" spans="1:18" s="604" customFormat="1" ht="25" customHeight="1">
      <c r="A18" s="616">
        <v>10</v>
      </c>
      <c r="B18" s="615" t="s">
        <v>206</v>
      </c>
      <c r="C18" s="614">
        <f t="shared" si="2"/>
        <v>553119</v>
      </c>
      <c r="D18" s="613">
        <v>410951</v>
      </c>
      <c r="E18" s="613">
        <f>10692+875</f>
        <v>11567</v>
      </c>
      <c r="F18" s="613">
        <v>7776</v>
      </c>
      <c r="G18" s="613">
        <v>4082</v>
      </c>
      <c r="H18" s="613"/>
      <c r="I18" s="613">
        <v>13681</v>
      </c>
      <c r="J18" s="613">
        <v>4860</v>
      </c>
      <c r="K18" s="613"/>
      <c r="L18" s="613">
        <v>87048</v>
      </c>
      <c r="M18" s="613">
        <f>9396+3758</f>
        <v>13154</v>
      </c>
      <c r="N18" s="612">
        <v>114084</v>
      </c>
      <c r="O18" s="611">
        <f t="shared" si="3"/>
        <v>439035</v>
      </c>
      <c r="P18" s="611">
        <f t="shared" si="4"/>
        <v>175614</v>
      </c>
      <c r="Q18" s="663">
        <f t="shared" si="5"/>
        <v>263421</v>
      </c>
      <c r="R18" s="663">
        <f t="shared" si="6"/>
        <v>263421</v>
      </c>
    </row>
    <row r="19" spans="1:18" s="604" customFormat="1" ht="25" customHeight="1">
      <c r="A19" s="616">
        <v>11</v>
      </c>
      <c r="B19" s="615" t="s">
        <v>470</v>
      </c>
      <c r="C19" s="614">
        <f t="shared" si="2"/>
        <v>464561</v>
      </c>
      <c r="D19" s="613">
        <v>398975</v>
      </c>
      <c r="E19" s="613">
        <f>13608+1021</f>
        <v>14629</v>
      </c>
      <c r="F19" s="613">
        <v>10692</v>
      </c>
      <c r="G19" s="613">
        <v>4082</v>
      </c>
      <c r="H19" s="613"/>
      <c r="I19" s="613">
        <v>4243</v>
      </c>
      <c r="J19" s="613"/>
      <c r="K19" s="613"/>
      <c r="L19" s="613"/>
      <c r="M19" s="613">
        <v>31940</v>
      </c>
      <c r="N19" s="619">
        <v>0</v>
      </c>
      <c r="O19" s="611">
        <f t="shared" si="3"/>
        <v>464561</v>
      </c>
      <c r="P19" s="611">
        <f t="shared" si="4"/>
        <v>185824</v>
      </c>
      <c r="Q19" s="663">
        <f t="shared" si="5"/>
        <v>278737</v>
      </c>
      <c r="R19" s="663">
        <f t="shared" si="6"/>
        <v>278737</v>
      </c>
    </row>
    <row r="20" spans="1:18" s="618" customFormat="1" ht="25" customHeight="1">
      <c r="A20" s="616">
        <v>12</v>
      </c>
      <c r="B20" s="615" t="s">
        <v>473</v>
      </c>
      <c r="C20" s="614">
        <f t="shared" si="2"/>
        <v>495384</v>
      </c>
      <c r="D20" s="613">
        <v>415503</v>
      </c>
      <c r="E20" s="613">
        <f>16524+1604</f>
        <v>18128</v>
      </c>
      <c r="F20" s="613">
        <v>10692</v>
      </c>
      <c r="G20" s="613">
        <v>4082</v>
      </c>
      <c r="H20" s="620"/>
      <c r="I20" s="620"/>
      <c r="J20" s="620"/>
      <c r="K20" s="620"/>
      <c r="L20" s="620"/>
      <c r="M20" s="620">
        <f>24429+22550</f>
        <v>46979</v>
      </c>
      <c r="N20" s="619">
        <v>96420</v>
      </c>
      <c r="O20" s="611">
        <f t="shared" si="3"/>
        <v>398964</v>
      </c>
      <c r="P20" s="611">
        <f t="shared" si="4"/>
        <v>159585</v>
      </c>
      <c r="Q20" s="663">
        <f t="shared" si="5"/>
        <v>239379</v>
      </c>
      <c r="R20" s="663">
        <f t="shared" si="6"/>
        <v>239379</v>
      </c>
    </row>
    <row r="21" spans="1:18" s="617" customFormat="1" ht="25" customHeight="1">
      <c r="A21" s="616">
        <v>13</v>
      </c>
      <c r="B21" s="615" t="s">
        <v>472</v>
      </c>
      <c r="C21" s="614">
        <f t="shared" si="2"/>
        <v>789348</v>
      </c>
      <c r="D21" s="613">
        <v>518575</v>
      </c>
      <c r="E21" s="613">
        <f>18468+875</f>
        <v>19343</v>
      </c>
      <c r="F21" s="613">
        <v>11664</v>
      </c>
      <c r="G21" s="613">
        <v>4536</v>
      </c>
      <c r="H21" s="613"/>
      <c r="I21" s="613">
        <v>20121</v>
      </c>
      <c r="J21" s="613"/>
      <c r="K21" s="613"/>
      <c r="L21" s="613">
        <v>149338</v>
      </c>
      <c r="M21" s="613">
        <f>39463+26308</f>
        <v>65771</v>
      </c>
      <c r="N21" s="612">
        <v>48286</v>
      </c>
      <c r="O21" s="611">
        <f t="shared" si="3"/>
        <v>741062</v>
      </c>
      <c r="P21" s="611">
        <f t="shared" si="4"/>
        <v>296424</v>
      </c>
      <c r="Q21" s="663">
        <f t="shared" si="5"/>
        <v>444638</v>
      </c>
      <c r="R21" s="663">
        <f t="shared" si="6"/>
        <v>444638</v>
      </c>
    </row>
    <row r="22" spans="1:18" s="617" customFormat="1" ht="25" customHeight="1">
      <c r="A22" s="616">
        <v>14</v>
      </c>
      <c r="B22" s="615" t="s">
        <v>254</v>
      </c>
      <c r="C22" s="614">
        <f t="shared" si="2"/>
        <v>483735</v>
      </c>
      <c r="D22" s="613">
        <v>400841</v>
      </c>
      <c r="E22" s="613">
        <f>14580+1166</f>
        <v>15746</v>
      </c>
      <c r="F22" s="613">
        <f>10692+(0.3*1800*2*7)</f>
        <v>18252</v>
      </c>
      <c r="G22" s="613">
        <v>4536</v>
      </c>
      <c r="H22" s="613"/>
      <c r="I22" s="613">
        <v>10535</v>
      </c>
      <c r="J22" s="613"/>
      <c r="K22" s="613"/>
      <c r="L22" s="613"/>
      <c r="M22" s="613">
        <f>18792+15033</f>
        <v>33825</v>
      </c>
      <c r="N22" s="612">
        <v>19879</v>
      </c>
      <c r="O22" s="611">
        <f t="shared" si="3"/>
        <v>463856</v>
      </c>
      <c r="P22" s="611">
        <f>ROUNDDOWN(O22*0.4,0)-6</f>
        <v>185536</v>
      </c>
      <c r="Q22" s="663">
        <f t="shared" si="5"/>
        <v>278320</v>
      </c>
      <c r="R22" s="663">
        <f t="shared" si="6"/>
        <v>278320</v>
      </c>
    </row>
    <row r="23" spans="1:18" s="617" customFormat="1" ht="25" customHeight="1">
      <c r="A23" s="616">
        <v>15</v>
      </c>
      <c r="B23" s="615" t="s">
        <v>205</v>
      </c>
      <c r="C23" s="614">
        <f t="shared" si="2"/>
        <v>565721</v>
      </c>
      <c r="D23" s="613">
        <v>435186</v>
      </c>
      <c r="E23" s="613">
        <f>16524+1021</f>
        <v>17545</v>
      </c>
      <c r="F23" s="613">
        <v>10692</v>
      </c>
      <c r="G23" s="613">
        <v>3629</v>
      </c>
      <c r="H23" s="613"/>
      <c r="I23" s="613">
        <v>41192</v>
      </c>
      <c r="J23" s="613">
        <v>4860</v>
      </c>
      <c r="K23" s="613"/>
      <c r="L23" s="613"/>
      <c r="M23" s="613">
        <f>41342+11275</f>
        <v>52617</v>
      </c>
      <c r="N23" s="612">
        <v>130375.42600000001</v>
      </c>
      <c r="O23" s="611">
        <f t="shared" si="3"/>
        <v>435345.57400000002</v>
      </c>
      <c r="P23" s="611">
        <f>ROUNDDOWN(O23*0.4,0)</f>
        <v>174138</v>
      </c>
      <c r="Q23" s="663">
        <f t="shared" si="5"/>
        <v>261207</v>
      </c>
      <c r="R23" s="663">
        <f t="shared" si="6"/>
        <v>261207</v>
      </c>
    </row>
    <row r="24" spans="1:18" s="604" customFormat="1" ht="25" customHeight="1">
      <c r="A24" s="616">
        <v>16</v>
      </c>
      <c r="B24" s="615" t="s">
        <v>220</v>
      </c>
      <c r="C24" s="614">
        <f t="shared" si="2"/>
        <v>630855</v>
      </c>
      <c r="D24" s="613">
        <v>371349</v>
      </c>
      <c r="E24" s="613">
        <f>14580+1166</f>
        <v>15746</v>
      </c>
      <c r="F24" s="613">
        <v>8748</v>
      </c>
      <c r="G24" s="613">
        <v>4536</v>
      </c>
      <c r="H24" s="613"/>
      <c r="I24" s="613">
        <v>7390</v>
      </c>
      <c r="J24" s="613">
        <v>4860</v>
      </c>
      <c r="K24" s="613"/>
      <c r="L24" s="613">
        <f>180642</f>
        <v>180642</v>
      </c>
      <c r="M24" s="613">
        <f>18792+18792</f>
        <v>37584</v>
      </c>
      <c r="N24" s="612">
        <v>0</v>
      </c>
      <c r="O24" s="611">
        <f t="shared" si="3"/>
        <v>630855</v>
      </c>
      <c r="P24" s="611">
        <f>ROUNDDOWN(O24*0.4,0)</f>
        <v>252342</v>
      </c>
      <c r="Q24" s="663">
        <f t="shared" si="5"/>
        <v>378513</v>
      </c>
      <c r="R24" s="663">
        <f t="shared" si="6"/>
        <v>378513</v>
      </c>
    </row>
    <row r="25" spans="1:18" s="604" customFormat="1" ht="25" customHeight="1">
      <c r="A25" s="610">
        <v>17</v>
      </c>
      <c r="B25" s="609" t="s">
        <v>471</v>
      </c>
      <c r="C25" s="608">
        <f t="shared" si="2"/>
        <v>512619</v>
      </c>
      <c r="D25" s="607">
        <v>429265</v>
      </c>
      <c r="E25" s="607">
        <f>16524+1166</f>
        <v>17690</v>
      </c>
      <c r="F25" s="607">
        <v>8748</v>
      </c>
      <c r="G25" s="607">
        <v>2722</v>
      </c>
      <c r="H25" s="607"/>
      <c r="I25" s="607">
        <v>3146</v>
      </c>
      <c r="J25" s="607">
        <v>4860</v>
      </c>
      <c r="K25" s="607">
        <v>18000</v>
      </c>
      <c r="L25" s="607"/>
      <c r="M25" s="607">
        <f>16913+11275</f>
        <v>28188</v>
      </c>
      <c r="N25" s="606">
        <v>72.14</v>
      </c>
      <c r="O25" s="605">
        <f t="shared" si="3"/>
        <v>512546.86</v>
      </c>
      <c r="P25" s="605">
        <f>ROUNDDOWN(O25*0.4,0)</f>
        <v>205018</v>
      </c>
      <c r="Q25" s="664">
        <f t="shared" si="5"/>
        <v>307528</v>
      </c>
      <c r="R25" s="664">
        <f t="shared" si="6"/>
        <v>307528</v>
      </c>
    </row>
  </sheetData>
  <mergeCells count="13">
    <mergeCell ref="P5:P6"/>
    <mergeCell ref="A2:R2"/>
    <mergeCell ref="Q1:R1"/>
    <mergeCell ref="Q5:Q6"/>
    <mergeCell ref="R5:R6"/>
    <mergeCell ref="A3:R3"/>
    <mergeCell ref="C5:C6"/>
    <mergeCell ref="A5:A6"/>
    <mergeCell ref="B5:B6"/>
    <mergeCell ref="D5:M5"/>
    <mergeCell ref="N5:N6"/>
    <mergeCell ref="O5:O6"/>
    <mergeCell ref="O4:R4"/>
  </mergeCells>
  <pageMargins left="0.35" right="0.22" top="0.33" bottom="0.27559055118110198" header="0.19" footer="0.15748031496063"/>
  <pageSetup paperSize="9" scale="78" orientation="landscape" useFirstPageNumber="1" verticalDpi="0" r:id="rId1"/>
  <headerFooter>
    <oddFooter>&amp;C&amp;"Times New Roman,Regular"&amp;10&amp;P</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3"/>
  <sheetViews>
    <sheetView zoomScaleNormal="100" workbookViewId="0">
      <pane ySplit="6" topLeftCell="A7" activePane="bottomLeft" state="frozen"/>
      <selection activeCell="B12" sqref="B12"/>
      <selection pane="bottomLeft" activeCell="P15" sqref="P15"/>
    </sheetView>
  </sheetViews>
  <sheetFormatPr defaultColWidth="9.1640625" defaultRowHeight="16.5"/>
  <cols>
    <col min="1" max="1" width="6.1640625" style="685" customWidth="1"/>
    <col min="2" max="2" width="52.58203125" style="685" customWidth="1"/>
    <col min="3" max="3" width="8.75" style="685" customWidth="1"/>
    <col min="4" max="4" width="7.25" style="685" customWidth="1"/>
    <col min="5" max="5" width="7" style="685" customWidth="1"/>
    <col min="6" max="6" width="10.58203125" style="685" customWidth="1"/>
    <col min="7" max="7" width="12.4140625" style="685" customWidth="1"/>
    <col min="8" max="8" width="7" style="685" customWidth="1"/>
    <col min="9" max="9" width="7.58203125" style="685" customWidth="1"/>
    <col min="10" max="10" width="10.4140625" style="685" customWidth="1"/>
    <col min="11" max="11" width="12.75" style="685" customWidth="1"/>
    <col min="12" max="12" width="12.58203125" style="685" customWidth="1"/>
    <col min="13" max="13" width="40.1640625" style="685" customWidth="1"/>
    <col min="14" max="14" width="18.75" style="685" hidden="1" customWidth="1"/>
    <col min="15" max="16" width="9.1640625" style="685"/>
    <col min="17" max="17" width="13.75" style="685" customWidth="1"/>
    <col min="18" max="16384" width="9.1640625" style="685"/>
  </cols>
  <sheetData>
    <row r="1" spans="1:17">
      <c r="A1" s="686"/>
      <c r="B1" s="713"/>
      <c r="C1" s="686"/>
      <c r="D1" s="686"/>
      <c r="E1" s="686"/>
      <c r="F1" s="686"/>
      <c r="G1" s="686"/>
      <c r="H1" s="686"/>
      <c r="I1" s="686"/>
      <c r="J1" s="686"/>
      <c r="K1" s="686"/>
      <c r="L1" s="730"/>
      <c r="M1" s="729" t="s">
        <v>56</v>
      </c>
      <c r="N1" s="686"/>
    </row>
    <row r="2" spans="1:17">
      <c r="A2" s="885" t="s">
        <v>173</v>
      </c>
      <c r="B2" s="885"/>
      <c r="C2" s="885"/>
      <c r="D2" s="885"/>
      <c r="E2" s="885"/>
      <c r="F2" s="885"/>
      <c r="G2" s="885"/>
      <c r="H2" s="885"/>
      <c r="I2" s="885"/>
      <c r="J2" s="885"/>
      <c r="K2" s="885"/>
      <c r="L2" s="885"/>
      <c r="M2" s="885"/>
      <c r="N2" s="686"/>
    </row>
    <row r="3" spans="1:17" ht="27" customHeight="1">
      <c r="A3" s="886" t="str">
        <f>'TỔNG HỢP'!A3:D3</f>
        <v>(Kèm theo Tờ trình số         /TTr-UBND ngày       /12/2024 của UBND huyện Na Rì)</v>
      </c>
      <c r="B3" s="886"/>
      <c r="C3" s="886"/>
      <c r="D3" s="886"/>
      <c r="E3" s="886"/>
      <c r="F3" s="886"/>
      <c r="G3" s="886"/>
      <c r="H3" s="886"/>
      <c r="I3" s="886"/>
      <c r="J3" s="886"/>
      <c r="K3" s="886"/>
      <c r="L3" s="886"/>
      <c r="M3" s="886"/>
    </row>
    <row r="4" spans="1:17" ht="24.65" customHeight="1">
      <c r="A4" s="728"/>
      <c r="B4" s="728"/>
      <c r="C4" s="728"/>
      <c r="D4" s="728"/>
      <c r="E4" s="728"/>
      <c r="F4" s="728"/>
      <c r="G4" s="728"/>
      <c r="H4" s="728"/>
      <c r="I4" s="728"/>
      <c r="J4" s="728"/>
      <c r="K4" s="728"/>
      <c r="L4" s="887" t="s">
        <v>22</v>
      </c>
      <c r="M4" s="887"/>
    </row>
    <row r="5" spans="1:17" ht="22.5" customHeight="1">
      <c r="A5" s="888" t="s">
        <v>13</v>
      </c>
      <c r="B5" s="888" t="s">
        <v>57</v>
      </c>
      <c r="C5" s="889" t="s">
        <v>172</v>
      </c>
      <c r="D5" s="891" t="s">
        <v>744</v>
      </c>
      <c r="E5" s="892"/>
      <c r="F5" s="892"/>
      <c r="G5" s="893"/>
      <c r="H5" s="891" t="s">
        <v>743</v>
      </c>
      <c r="I5" s="892"/>
      <c r="J5" s="892"/>
      <c r="K5" s="893"/>
      <c r="L5" s="889" t="s">
        <v>182</v>
      </c>
      <c r="M5" s="888" t="s">
        <v>0</v>
      </c>
      <c r="N5" s="686"/>
    </row>
    <row r="6" spans="1:17" ht="37.5" customHeight="1">
      <c r="A6" s="888"/>
      <c r="B6" s="888"/>
      <c r="C6" s="890"/>
      <c r="D6" s="724" t="s">
        <v>171</v>
      </c>
      <c r="E6" s="724" t="s">
        <v>742</v>
      </c>
      <c r="F6" s="727" t="s">
        <v>741</v>
      </c>
      <c r="G6" s="724" t="s">
        <v>170</v>
      </c>
      <c r="H6" s="724" t="s">
        <v>171</v>
      </c>
      <c r="I6" s="724" t="s">
        <v>742</v>
      </c>
      <c r="J6" s="727" t="s">
        <v>741</v>
      </c>
      <c r="K6" s="724" t="s">
        <v>170</v>
      </c>
      <c r="L6" s="890"/>
      <c r="M6" s="888"/>
      <c r="N6" s="686"/>
    </row>
    <row r="7" spans="1:17">
      <c r="A7" s="725">
        <v>1</v>
      </c>
      <c r="B7" s="725">
        <v>2</v>
      </c>
      <c r="C7" s="725">
        <v>3</v>
      </c>
      <c r="D7" s="725">
        <v>4</v>
      </c>
      <c r="E7" s="725">
        <v>5</v>
      </c>
      <c r="F7" s="726">
        <v>6</v>
      </c>
      <c r="G7" s="725">
        <v>7</v>
      </c>
      <c r="H7" s="725">
        <v>8</v>
      </c>
      <c r="I7" s="725">
        <v>9</v>
      </c>
      <c r="J7" s="726">
        <v>10</v>
      </c>
      <c r="K7" s="725">
        <v>11</v>
      </c>
      <c r="L7" s="725">
        <v>12</v>
      </c>
      <c r="M7" s="725">
        <v>13</v>
      </c>
      <c r="N7" s="686"/>
    </row>
    <row r="8" spans="1:17" ht="24.75" customHeight="1">
      <c r="A8" s="724"/>
      <c r="B8" s="724" t="s">
        <v>14</v>
      </c>
      <c r="C8" s="723"/>
      <c r="D8" s="722"/>
      <c r="E8" s="722"/>
      <c r="F8" s="721"/>
      <c r="G8" s="721">
        <f>G9+G13+G17+G123+G61</f>
        <v>499170400</v>
      </c>
      <c r="H8" s="722"/>
      <c r="I8" s="722"/>
      <c r="J8" s="721"/>
      <c r="K8" s="721">
        <f>K9+K13+K17+K123+K61</f>
        <v>463997000</v>
      </c>
      <c r="L8" s="721">
        <f>L9+L13+L17+L123+L61</f>
        <v>-35173400</v>
      </c>
      <c r="M8" s="720"/>
      <c r="N8" s="719">
        <f>K8+'09- DT TĐ (lần 2)'!K8</f>
        <v>770192000</v>
      </c>
      <c r="Q8" s="703"/>
    </row>
    <row r="9" spans="1:17" ht="24.75" customHeight="1">
      <c r="A9" s="751" t="s">
        <v>2</v>
      </c>
      <c r="B9" s="752" t="s">
        <v>740</v>
      </c>
      <c r="C9" s="753"/>
      <c r="D9" s="754"/>
      <c r="E9" s="754"/>
      <c r="F9" s="755"/>
      <c r="G9" s="755">
        <f>G10</f>
        <v>100000000</v>
      </c>
      <c r="H9" s="754"/>
      <c r="I9" s="754"/>
      <c r="J9" s="755"/>
      <c r="K9" s="755">
        <f>K10</f>
        <v>100000000</v>
      </c>
      <c r="L9" s="755">
        <f>L10</f>
        <v>0</v>
      </c>
      <c r="M9" s="756"/>
      <c r="N9" s="686"/>
      <c r="Q9" s="703"/>
    </row>
    <row r="10" spans="1:17" ht="35.5" customHeight="1">
      <c r="A10" s="693">
        <v>1</v>
      </c>
      <c r="B10" s="697" t="s">
        <v>739</v>
      </c>
      <c r="C10" s="696"/>
      <c r="D10" s="695"/>
      <c r="E10" s="695"/>
      <c r="F10" s="694"/>
      <c r="G10" s="694">
        <f>SUM(G11:G12)</f>
        <v>100000000</v>
      </c>
      <c r="H10" s="695"/>
      <c r="I10" s="695"/>
      <c r="J10" s="694"/>
      <c r="K10" s="694">
        <f>SUM(K11:K12)</f>
        <v>100000000</v>
      </c>
      <c r="L10" s="694">
        <f>SUM(L11:L12)</f>
        <v>0</v>
      </c>
      <c r="M10" s="687"/>
      <c r="N10" s="686"/>
      <c r="Q10" s="703"/>
    </row>
    <row r="11" spans="1:17" ht="21" customHeight="1">
      <c r="A11" s="692" t="s">
        <v>15</v>
      </c>
      <c r="B11" s="691" t="s">
        <v>738</v>
      </c>
      <c r="C11" s="690" t="s">
        <v>163</v>
      </c>
      <c r="D11" s="689">
        <v>25</v>
      </c>
      <c r="E11" s="689">
        <v>27</v>
      </c>
      <c r="F11" s="688">
        <v>200000</v>
      </c>
      <c r="G11" s="688">
        <f>D11*E11*F11</f>
        <v>135000000</v>
      </c>
      <c r="H11" s="689">
        <v>25</v>
      </c>
      <c r="I11" s="689">
        <v>27</v>
      </c>
      <c r="J11" s="688">
        <v>200000</v>
      </c>
      <c r="K11" s="688">
        <f>H11*I11*J11</f>
        <v>135000000</v>
      </c>
      <c r="L11" s="688">
        <f>K11-G11</f>
        <v>0</v>
      </c>
      <c r="M11" s="687"/>
      <c r="N11" s="686"/>
      <c r="Q11" s="703"/>
    </row>
    <row r="12" spans="1:17" ht="25" customHeight="1">
      <c r="A12" s="692" t="s">
        <v>15</v>
      </c>
      <c r="B12" s="691" t="s">
        <v>737</v>
      </c>
      <c r="C12" s="690"/>
      <c r="D12" s="689"/>
      <c r="E12" s="689"/>
      <c r="F12" s="688"/>
      <c r="G12" s="688">
        <v>-35000000</v>
      </c>
      <c r="H12" s="689"/>
      <c r="I12" s="689"/>
      <c r="J12" s="688"/>
      <c r="K12" s="688">
        <v>-35000000</v>
      </c>
      <c r="L12" s="688">
        <f>K12-G12</f>
        <v>0</v>
      </c>
      <c r="M12" s="687" t="s">
        <v>767</v>
      </c>
      <c r="N12" s="686"/>
      <c r="Q12" s="703"/>
    </row>
    <row r="13" spans="1:17" ht="28.5" customHeight="1">
      <c r="A13" s="757" t="s">
        <v>3</v>
      </c>
      <c r="B13" s="758" t="s">
        <v>736</v>
      </c>
      <c r="C13" s="759"/>
      <c r="D13" s="760"/>
      <c r="E13" s="760"/>
      <c r="F13" s="761"/>
      <c r="G13" s="761">
        <f>SUM(G14:G16)</f>
        <v>22380000</v>
      </c>
      <c r="H13" s="760"/>
      <c r="I13" s="760"/>
      <c r="J13" s="761"/>
      <c r="K13" s="761">
        <f>SUM(K14:K16)</f>
        <v>22380000</v>
      </c>
      <c r="L13" s="761">
        <f>SUM(L14:L16)</f>
        <v>0</v>
      </c>
      <c r="M13" s="762"/>
      <c r="N13" s="686"/>
      <c r="Q13" s="703"/>
    </row>
    <row r="14" spans="1:17" ht="77.5">
      <c r="A14" s="715">
        <v>1</v>
      </c>
      <c r="B14" s="714" t="s">
        <v>735</v>
      </c>
      <c r="C14" s="718" t="s">
        <v>731</v>
      </c>
      <c r="D14" s="716">
        <v>1</v>
      </c>
      <c r="E14" s="689">
        <v>1</v>
      </c>
      <c r="F14" s="688">
        <v>6480000</v>
      </c>
      <c r="G14" s="688">
        <f>D14*E14*F14</f>
        <v>6480000</v>
      </c>
      <c r="H14" s="716">
        <v>1</v>
      </c>
      <c r="I14" s="689">
        <v>1</v>
      </c>
      <c r="J14" s="688">
        <v>6480000</v>
      </c>
      <c r="K14" s="688">
        <f>H14*I14*J14</f>
        <v>6480000</v>
      </c>
      <c r="L14" s="688">
        <f>K14-G14</f>
        <v>0</v>
      </c>
      <c r="M14" s="715" t="s">
        <v>733</v>
      </c>
      <c r="N14" s="686"/>
      <c r="Q14" s="703"/>
    </row>
    <row r="15" spans="1:17" ht="93">
      <c r="A15" s="717">
        <v>2</v>
      </c>
      <c r="B15" s="714" t="s">
        <v>734</v>
      </c>
      <c r="C15" s="715" t="s">
        <v>731</v>
      </c>
      <c r="D15" s="716">
        <v>1</v>
      </c>
      <c r="E15" s="689">
        <v>1</v>
      </c>
      <c r="F15" s="688">
        <v>5400000</v>
      </c>
      <c r="G15" s="688">
        <f>D15*E15*F15</f>
        <v>5400000</v>
      </c>
      <c r="H15" s="716">
        <v>1</v>
      </c>
      <c r="I15" s="689">
        <v>1</v>
      </c>
      <c r="J15" s="688">
        <v>5400000</v>
      </c>
      <c r="K15" s="688">
        <f>H15*I15*J15</f>
        <v>5400000</v>
      </c>
      <c r="L15" s="688">
        <f>K15-G15</f>
        <v>0</v>
      </c>
      <c r="M15" s="715" t="s">
        <v>733</v>
      </c>
      <c r="N15" s="686"/>
      <c r="Q15" s="703"/>
    </row>
    <row r="16" spans="1:17" ht="62">
      <c r="A16" s="692">
        <v>3</v>
      </c>
      <c r="B16" s="714" t="s">
        <v>732</v>
      </c>
      <c r="C16" s="690" t="s">
        <v>731</v>
      </c>
      <c r="D16" s="689">
        <v>1</v>
      </c>
      <c r="E16" s="689">
        <v>1</v>
      </c>
      <c r="F16" s="688">
        <v>10500000</v>
      </c>
      <c r="G16" s="688">
        <f>D16*E16*F16</f>
        <v>10500000</v>
      </c>
      <c r="H16" s="689">
        <v>1</v>
      </c>
      <c r="I16" s="689">
        <v>1</v>
      </c>
      <c r="J16" s="688">
        <v>10500000</v>
      </c>
      <c r="K16" s="688">
        <f>H16*I16*J16</f>
        <v>10500000</v>
      </c>
      <c r="L16" s="688">
        <f>K16-G16</f>
        <v>0</v>
      </c>
      <c r="M16" s="687" t="s">
        <v>180</v>
      </c>
      <c r="N16" s="686"/>
      <c r="Q16" s="703"/>
    </row>
    <row r="17" spans="1:14" ht="33" customHeight="1">
      <c r="A17" s="762" t="s">
        <v>4</v>
      </c>
      <c r="B17" s="763" t="s">
        <v>730</v>
      </c>
      <c r="C17" s="759"/>
      <c r="D17" s="760"/>
      <c r="E17" s="760"/>
      <c r="F17" s="761"/>
      <c r="G17" s="761">
        <f>G18</f>
        <v>182350400</v>
      </c>
      <c r="H17" s="760"/>
      <c r="I17" s="760"/>
      <c r="J17" s="761"/>
      <c r="K17" s="761">
        <f>K18</f>
        <v>178400000</v>
      </c>
      <c r="L17" s="761">
        <f>K17-G17</f>
        <v>-3950400</v>
      </c>
      <c r="M17" s="764"/>
      <c r="N17" s="686"/>
    </row>
    <row r="18" spans="1:14" ht="34.5" customHeight="1">
      <c r="A18" s="693">
        <v>1</v>
      </c>
      <c r="B18" s="697" t="s">
        <v>729</v>
      </c>
      <c r="C18" s="696"/>
      <c r="D18" s="695"/>
      <c r="E18" s="695"/>
      <c r="F18" s="694"/>
      <c r="G18" s="694">
        <f>G19+G23+G27+G30+G34+G45</f>
        <v>182350400</v>
      </c>
      <c r="H18" s="695"/>
      <c r="I18" s="695"/>
      <c r="J18" s="694"/>
      <c r="K18" s="694">
        <f>K19+K23+K27+K30+K34+K45</f>
        <v>178400000</v>
      </c>
      <c r="L18" s="694">
        <f>K18-G18</f>
        <v>-3950400</v>
      </c>
      <c r="M18" s="687"/>
      <c r="N18" s="686"/>
    </row>
    <row r="19" spans="1:14" s="712" customFormat="1" ht="53.15" customHeight="1">
      <c r="A19" s="704" t="s">
        <v>168</v>
      </c>
      <c r="B19" s="708" t="s">
        <v>728</v>
      </c>
      <c r="C19" s="707"/>
      <c r="D19" s="706"/>
      <c r="E19" s="706"/>
      <c r="F19" s="705"/>
      <c r="G19" s="705">
        <f>SUM(G20:G22)</f>
        <v>8190000</v>
      </c>
      <c r="H19" s="706"/>
      <c r="I19" s="706"/>
      <c r="J19" s="705"/>
      <c r="K19" s="705">
        <f>SUM(K20:K22)</f>
        <v>4245000</v>
      </c>
      <c r="L19" s="705">
        <f>SUM(L20:L22)</f>
        <v>-3945000</v>
      </c>
      <c r="M19" s="704"/>
      <c r="N19" s="713"/>
    </row>
    <row r="20" spans="1:14" ht="27.75" customHeight="1">
      <c r="A20" s="692" t="s">
        <v>15</v>
      </c>
      <c r="B20" s="691" t="s">
        <v>721</v>
      </c>
      <c r="C20" s="690" t="s">
        <v>163</v>
      </c>
      <c r="D20" s="689">
        <v>21</v>
      </c>
      <c r="E20" s="689">
        <v>1</v>
      </c>
      <c r="F20" s="688">
        <v>290000</v>
      </c>
      <c r="G20" s="688">
        <f>F20*E20*D20</f>
        <v>6090000</v>
      </c>
      <c r="H20" s="689">
        <v>21</v>
      </c>
      <c r="I20" s="689">
        <v>0.5</v>
      </c>
      <c r="J20" s="688">
        <v>290000</v>
      </c>
      <c r="K20" s="688">
        <f>J20*I20*H20</f>
        <v>3045000</v>
      </c>
      <c r="L20" s="688">
        <f t="shared" ref="L20:L26" si="0">K20-G20</f>
        <v>-3045000</v>
      </c>
      <c r="M20" s="883" t="s">
        <v>727</v>
      </c>
      <c r="N20" s="686"/>
    </row>
    <row r="21" spans="1:14" ht="38.15" customHeight="1">
      <c r="A21" s="692" t="s">
        <v>15</v>
      </c>
      <c r="B21" s="691" t="s">
        <v>726</v>
      </c>
      <c r="C21" s="690" t="s">
        <v>163</v>
      </c>
      <c r="D21" s="689">
        <v>9</v>
      </c>
      <c r="E21" s="689">
        <v>1</v>
      </c>
      <c r="F21" s="688">
        <v>200000</v>
      </c>
      <c r="G21" s="688">
        <f>F21*E21*D21</f>
        <v>1800000</v>
      </c>
      <c r="H21" s="689">
        <v>9</v>
      </c>
      <c r="I21" s="689">
        <v>0.5</v>
      </c>
      <c r="J21" s="688">
        <v>200000</v>
      </c>
      <c r="K21" s="688">
        <f>J21*I21*H21</f>
        <v>900000</v>
      </c>
      <c r="L21" s="688">
        <f t="shared" si="0"/>
        <v>-900000</v>
      </c>
      <c r="M21" s="883"/>
      <c r="N21" s="686"/>
    </row>
    <row r="22" spans="1:14" ht="25" customHeight="1">
      <c r="A22" s="692" t="s">
        <v>15</v>
      </c>
      <c r="B22" s="691" t="s">
        <v>724</v>
      </c>
      <c r="C22" s="690" t="s">
        <v>163</v>
      </c>
      <c r="D22" s="689">
        <v>30</v>
      </c>
      <c r="E22" s="689">
        <v>1</v>
      </c>
      <c r="F22" s="688">
        <v>10000</v>
      </c>
      <c r="G22" s="688">
        <f>F22*E22*D22</f>
        <v>300000</v>
      </c>
      <c r="H22" s="689">
        <v>30</v>
      </c>
      <c r="I22" s="689">
        <v>1</v>
      </c>
      <c r="J22" s="688">
        <v>10000</v>
      </c>
      <c r="K22" s="688">
        <f>J22*I22*H22</f>
        <v>300000</v>
      </c>
      <c r="L22" s="688">
        <f t="shared" si="0"/>
        <v>0</v>
      </c>
      <c r="M22" s="687" t="s">
        <v>181</v>
      </c>
      <c r="N22" s="686"/>
    </row>
    <row r="23" spans="1:14" ht="22.5" customHeight="1">
      <c r="A23" s="711" t="s">
        <v>167</v>
      </c>
      <c r="B23" s="708" t="s">
        <v>725</v>
      </c>
      <c r="C23" s="707"/>
      <c r="D23" s="706"/>
      <c r="E23" s="706"/>
      <c r="F23" s="705"/>
      <c r="G23" s="705">
        <f>SUM(G24:G26)</f>
        <v>32760000</v>
      </c>
      <c r="H23" s="706"/>
      <c r="I23" s="706"/>
      <c r="J23" s="705"/>
      <c r="K23" s="705">
        <f>SUM(K24:K26)</f>
        <v>32760000</v>
      </c>
      <c r="L23" s="705">
        <f t="shared" si="0"/>
        <v>0</v>
      </c>
      <c r="M23" s="704"/>
      <c r="N23" s="686"/>
    </row>
    <row r="24" spans="1:14" ht="22.5" customHeight="1">
      <c r="A24" s="692" t="s">
        <v>15</v>
      </c>
      <c r="B24" s="691" t="s">
        <v>721</v>
      </c>
      <c r="C24" s="690" t="s">
        <v>163</v>
      </c>
      <c r="D24" s="689">
        <v>21</v>
      </c>
      <c r="E24" s="689">
        <v>4</v>
      </c>
      <c r="F24" s="688">
        <v>290000</v>
      </c>
      <c r="G24" s="688">
        <f>F24*E24*D24</f>
        <v>24360000</v>
      </c>
      <c r="H24" s="689">
        <v>21</v>
      </c>
      <c r="I24" s="689">
        <v>4</v>
      </c>
      <c r="J24" s="688">
        <v>290000</v>
      </c>
      <c r="K24" s="688">
        <f>J24*I24*H24</f>
        <v>24360000</v>
      </c>
      <c r="L24" s="688">
        <f t="shared" si="0"/>
        <v>0</v>
      </c>
      <c r="M24" s="883" t="s">
        <v>720</v>
      </c>
      <c r="N24" s="686"/>
    </row>
    <row r="25" spans="1:14" ht="22.5" customHeight="1">
      <c r="A25" s="692" t="s">
        <v>15</v>
      </c>
      <c r="B25" s="691" t="s">
        <v>719</v>
      </c>
      <c r="C25" s="690" t="s">
        <v>163</v>
      </c>
      <c r="D25" s="689">
        <v>9</v>
      </c>
      <c r="E25" s="689">
        <v>4</v>
      </c>
      <c r="F25" s="688">
        <v>200000</v>
      </c>
      <c r="G25" s="688">
        <f>F25*E25*D25</f>
        <v>7200000</v>
      </c>
      <c r="H25" s="689">
        <v>9</v>
      </c>
      <c r="I25" s="689">
        <v>4</v>
      </c>
      <c r="J25" s="688">
        <v>200000</v>
      </c>
      <c r="K25" s="688">
        <f>J25*I25*H25</f>
        <v>7200000</v>
      </c>
      <c r="L25" s="688">
        <f t="shared" si="0"/>
        <v>0</v>
      </c>
      <c r="M25" s="883"/>
      <c r="N25" s="686"/>
    </row>
    <row r="26" spans="1:14" ht="23.15" customHeight="1">
      <c r="A26" s="692" t="s">
        <v>15</v>
      </c>
      <c r="B26" s="691" t="s">
        <v>724</v>
      </c>
      <c r="C26" s="690" t="s">
        <v>163</v>
      </c>
      <c r="D26" s="689">
        <v>30</v>
      </c>
      <c r="E26" s="689">
        <v>4</v>
      </c>
      <c r="F26" s="688">
        <v>10000</v>
      </c>
      <c r="G26" s="688">
        <f>F26*E26*D26</f>
        <v>1200000</v>
      </c>
      <c r="H26" s="689">
        <v>30</v>
      </c>
      <c r="I26" s="689">
        <v>4</v>
      </c>
      <c r="J26" s="688">
        <v>10000</v>
      </c>
      <c r="K26" s="688">
        <f>J26*I26*H26</f>
        <v>1200000</v>
      </c>
      <c r="L26" s="688">
        <f t="shared" si="0"/>
        <v>0</v>
      </c>
      <c r="M26" s="687" t="s">
        <v>181</v>
      </c>
      <c r="N26" s="686"/>
    </row>
    <row r="27" spans="1:14" ht="21.65" customHeight="1">
      <c r="A27" s="711" t="s">
        <v>166</v>
      </c>
      <c r="B27" s="708" t="s">
        <v>723</v>
      </c>
      <c r="C27" s="707"/>
      <c r="D27" s="706"/>
      <c r="E27" s="706"/>
      <c r="F27" s="705"/>
      <c r="G27" s="705">
        <f>SUM(G28:G29)</f>
        <v>6300000</v>
      </c>
      <c r="H27" s="706"/>
      <c r="I27" s="706"/>
      <c r="J27" s="705"/>
      <c r="K27" s="705">
        <f>SUM(K28:K29)</f>
        <v>6300000</v>
      </c>
      <c r="L27" s="705">
        <f>SUM(L28:L29)</f>
        <v>0</v>
      </c>
      <c r="M27" s="704"/>
      <c r="N27" s="686"/>
    </row>
    <row r="28" spans="1:14" ht="33.75" customHeight="1">
      <c r="A28" s="692" t="s">
        <v>15</v>
      </c>
      <c r="B28" s="691" t="s">
        <v>721</v>
      </c>
      <c r="C28" s="690" t="s">
        <v>163</v>
      </c>
      <c r="D28" s="689">
        <v>21</v>
      </c>
      <c r="E28" s="689">
        <v>1</v>
      </c>
      <c r="F28" s="688">
        <v>290000</v>
      </c>
      <c r="G28" s="688">
        <f>F28*E28*D28</f>
        <v>6090000</v>
      </c>
      <c r="H28" s="689">
        <v>21</v>
      </c>
      <c r="I28" s="689">
        <v>1</v>
      </c>
      <c r="J28" s="688">
        <v>290000</v>
      </c>
      <c r="K28" s="688">
        <f>J28*I28*H28</f>
        <v>6090000</v>
      </c>
      <c r="L28" s="688">
        <f>K28-G28</f>
        <v>0</v>
      </c>
      <c r="M28" s="687" t="s">
        <v>720</v>
      </c>
      <c r="N28" s="686"/>
    </row>
    <row r="29" spans="1:14" ht="21.65" customHeight="1">
      <c r="A29" s="692" t="s">
        <v>15</v>
      </c>
      <c r="B29" s="691" t="s">
        <v>718</v>
      </c>
      <c r="C29" s="690" t="s">
        <v>163</v>
      </c>
      <c r="D29" s="689">
        <v>21</v>
      </c>
      <c r="E29" s="689">
        <v>1</v>
      </c>
      <c r="F29" s="688">
        <v>10000</v>
      </c>
      <c r="G29" s="688">
        <f>F29*E29*D29</f>
        <v>210000</v>
      </c>
      <c r="H29" s="689">
        <v>21</v>
      </c>
      <c r="I29" s="689">
        <v>1</v>
      </c>
      <c r="J29" s="688">
        <v>10000</v>
      </c>
      <c r="K29" s="688">
        <f>J29*I29*H29</f>
        <v>210000</v>
      </c>
      <c r="L29" s="688">
        <f>K29-G29</f>
        <v>0</v>
      </c>
      <c r="M29" s="687" t="s">
        <v>181</v>
      </c>
      <c r="N29" s="686"/>
    </row>
    <row r="30" spans="1:14" ht="21.75" customHeight="1">
      <c r="A30" s="711" t="s">
        <v>165</v>
      </c>
      <c r="B30" s="708" t="s">
        <v>722</v>
      </c>
      <c r="C30" s="707"/>
      <c r="D30" s="706"/>
      <c r="E30" s="706"/>
      <c r="F30" s="705"/>
      <c r="G30" s="705">
        <f>SUM(G31:G33)</f>
        <v>4245000</v>
      </c>
      <c r="H30" s="706"/>
      <c r="I30" s="706"/>
      <c r="J30" s="705"/>
      <c r="K30" s="705">
        <f>SUM(K31:K33)</f>
        <v>4245000</v>
      </c>
      <c r="L30" s="705">
        <f>SUM(L31:L33)</f>
        <v>0</v>
      </c>
      <c r="M30" s="710"/>
      <c r="N30" s="686"/>
    </row>
    <row r="31" spans="1:14" ht="22" customHeight="1">
      <c r="A31" s="692" t="s">
        <v>15</v>
      </c>
      <c r="B31" s="691" t="s">
        <v>721</v>
      </c>
      <c r="C31" s="690" t="s">
        <v>163</v>
      </c>
      <c r="D31" s="689">
        <v>21</v>
      </c>
      <c r="E31" s="689">
        <v>0.5</v>
      </c>
      <c r="F31" s="688">
        <v>290000</v>
      </c>
      <c r="G31" s="688">
        <f>F31*E31*D31</f>
        <v>3045000</v>
      </c>
      <c r="H31" s="689">
        <v>21</v>
      </c>
      <c r="I31" s="689">
        <v>0.5</v>
      </c>
      <c r="J31" s="688">
        <v>290000</v>
      </c>
      <c r="K31" s="688">
        <f>J31*I31*H31</f>
        <v>3045000</v>
      </c>
      <c r="L31" s="688">
        <f>K31-G31</f>
        <v>0</v>
      </c>
      <c r="M31" s="882" t="s">
        <v>720</v>
      </c>
      <c r="N31" s="686"/>
    </row>
    <row r="32" spans="1:14" ht="22" customHeight="1">
      <c r="A32" s="692" t="s">
        <v>15</v>
      </c>
      <c r="B32" s="691" t="s">
        <v>719</v>
      </c>
      <c r="C32" s="690" t="s">
        <v>163</v>
      </c>
      <c r="D32" s="689">
        <v>9</v>
      </c>
      <c r="E32" s="689">
        <v>0.5</v>
      </c>
      <c r="F32" s="688">
        <v>200000</v>
      </c>
      <c r="G32" s="688">
        <f>F32*E32*D32</f>
        <v>900000</v>
      </c>
      <c r="H32" s="689">
        <v>9</v>
      </c>
      <c r="I32" s="689">
        <v>0.5</v>
      </c>
      <c r="J32" s="688">
        <v>200000</v>
      </c>
      <c r="K32" s="688">
        <f>J32*I32*H32</f>
        <v>900000</v>
      </c>
      <c r="L32" s="688">
        <f>K32-G32</f>
        <v>0</v>
      </c>
      <c r="M32" s="882"/>
      <c r="N32" s="686"/>
    </row>
    <row r="33" spans="1:14" ht="23.15" customHeight="1">
      <c r="A33" s="692" t="s">
        <v>15</v>
      </c>
      <c r="B33" s="691" t="s">
        <v>718</v>
      </c>
      <c r="C33" s="690" t="s">
        <v>163</v>
      </c>
      <c r="D33" s="689">
        <v>30</v>
      </c>
      <c r="E33" s="689">
        <v>1</v>
      </c>
      <c r="F33" s="688">
        <v>10000</v>
      </c>
      <c r="G33" s="688">
        <f>F33*E33*D33</f>
        <v>300000</v>
      </c>
      <c r="H33" s="689">
        <v>30</v>
      </c>
      <c r="I33" s="689">
        <v>1</v>
      </c>
      <c r="J33" s="688">
        <v>10000</v>
      </c>
      <c r="K33" s="688">
        <f>J33*I33*H33</f>
        <v>300000</v>
      </c>
      <c r="L33" s="688">
        <f>K33-G33</f>
        <v>0</v>
      </c>
      <c r="M33" s="687" t="s">
        <v>181</v>
      </c>
      <c r="N33" s="686"/>
    </row>
    <row r="34" spans="1:14" ht="30">
      <c r="A34" s="711" t="s">
        <v>169</v>
      </c>
      <c r="B34" s="708" t="s">
        <v>174</v>
      </c>
      <c r="C34" s="707"/>
      <c r="D34" s="706"/>
      <c r="E34" s="706"/>
      <c r="F34" s="705"/>
      <c r="G34" s="705">
        <f>SUM(G35:G44)</f>
        <v>3540000</v>
      </c>
      <c r="H34" s="706"/>
      <c r="I34" s="706"/>
      <c r="J34" s="705"/>
      <c r="K34" s="705">
        <f>SUM(K35:K44)</f>
        <v>3534600</v>
      </c>
      <c r="L34" s="705">
        <f>SUM(L35:L44)</f>
        <v>-5400</v>
      </c>
      <c r="M34" s="710" t="s">
        <v>717</v>
      </c>
      <c r="N34" s="686"/>
    </row>
    <row r="35" spans="1:14">
      <c r="A35" s="692" t="s">
        <v>15</v>
      </c>
      <c r="B35" s="699" t="s">
        <v>716</v>
      </c>
      <c r="C35" s="690" t="s">
        <v>164</v>
      </c>
      <c r="D35" s="689">
        <v>60</v>
      </c>
      <c r="E35" s="709">
        <v>1</v>
      </c>
      <c r="F35" s="688">
        <v>6000</v>
      </c>
      <c r="G35" s="688">
        <f t="shared" ref="G35:G44" si="1">F35*E35*D35</f>
        <v>360000</v>
      </c>
      <c r="H35" s="689">
        <v>60</v>
      </c>
      <c r="I35" s="689">
        <v>1</v>
      </c>
      <c r="J35" s="688">
        <v>6000</v>
      </c>
      <c r="K35" s="688">
        <f t="shared" ref="K35:K44" si="2">J35*I35*H35</f>
        <v>360000</v>
      </c>
      <c r="L35" s="688">
        <f t="shared" ref="L35:L44" si="3">K35-G35</f>
        <v>0</v>
      </c>
      <c r="M35" s="687"/>
      <c r="N35" s="686"/>
    </row>
    <row r="36" spans="1:14">
      <c r="A36" s="692" t="s">
        <v>15</v>
      </c>
      <c r="B36" s="699" t="s">
        <v>715</v>
      </c>
      <c r="C36" s="690" t="s">
        <v>714</v>
      </c>
      <c r="D36" s="689">
        <v>15</v>
      </c>
      <c r="E36" s="709">
        <v>1</v>
      </c>
      <c r="F36" s="688">
        <v>10000</v>
      </c>
      <c r="G36" s="688">
        <f t="shared" si="1"/>
        <v>150000</v>
      </c>
      <c r="H36" s="689">
        <v>15</v>
      </c>
      <c r="I36" s="689">
        <v>1</v>
      </c>
      <c r="J36" s="688">
        <v>10000</v>
      </c>
      <c r="K36" s="688">
        <f t="shared" si="2"/>
        <v>150000</v>
      </c>
      <c r="L36" s="688">
        <f t="shared" si="3"/>
        <v>0</v>
      </c>
      <c r="M36" s="687"/>
      <c r="N36" s="686"/>
    </row>
    <row r="37" spans="1:14">
      <c r="A37" s="692" t="s">
        <v>15</v>
      </c>
      <c r="B37" s="699" t="s">
        <v>713</v>
      </c>
      <c r="C37" s="690" t="s">
        <v>164</v>
      </c>
      <c r="D37" s="689">
        <v>30</v>
      </c>
      <c r="E37" s="709">
        <v>1</v>
      </c>
      <c r="F37" s="688">
        <v>20000</v>
      </c>
      <c r="G37" s="688">
        <f t="shared" si="1"/>
        <v>600000</v>
      </c>
      <c r="H37" s="689">
        <v>30</v>
      </c>
      <c r="I37" s="689">
        <v>1</v>
      </c>
      <c r="J37" s="688">
        <v>20000</v>
      </c>
      <c r="K37" s="688">
        <f t="shared" si="2"/>
        <v>600000</v>
      </c>
      <c r="L37" s="688">
        <f t="shared" si="3"/>
        <v>0</v>
      </c>
      <c r="M37" s="687"/>
      <c r="N37" s="686"/>
    </row>
    <row r="38" spans="1:14">
      <c r="A38" s="692" t="s">
        <v>15</v>
      </c>
      <c r="B38" s="699" t="s">
        <v>712</v>
      </c>
      <c r="C38" s="690" t="s">
        <v>175</v>
      </c>
      <c r="D38" s="689">
        <v>1</v>
      </c>
      <c r="E38" s="709">
        <v>1</v>
      </c>
      <c r="F38" s="688">
        <v>60000</v>
      </c>
      <c r="G38" s="688">
        <f t="shared" si="1"/>
        <v>60000</v>
      </c>
      <c r="H38" s="689">
        <v>1</v>
      </c>
      <c r="I38" s="689">
        <v>1</v>
      </c>
      <c r="J38" s="688">
        <v>60000</v>
      </c>
      <c r="K38" s="688">
        <f t="shared" si="2"/>
        <v>60000</v>
      </c>
      <c r="L38" s="688">
        <f t="shared" si="3"/>
        <v>0</v>
      </c>
      <c r="M38" s="687"/>
      <c r="N38" s="686"/>
    </row>
    <row r="39" spans="1:14">
      <c r="A39" s="692" t="s">
        <v>15</v>
      </c>
      <c r="B39" s="699" t="s">
        <v>711</v>
      </c>
      <c r="C39" s="690" t="s">
        <v>709</v>
      </c>
      <c r="D39" s="689">
        <v>15</v>
      </c>
      <c r="E39" s="709">
        <v>1</v>
      </c>
      <c r="F39" s="688">
        <v>8000</v>
      </c>
      <c r="G39" s="688">
        <f t="shared" si="1"/>
        <v>120000</v>
      </c>
      <c r="H39" s="689">
        <v>15</v>
      </c>
      <c r="I39" s="689">
        <v>1</v>
      </c>
      <c r="J39" s="688">
        <v>8000</v>
      </c>
      <c r="K39" s="688">
        <f t="shared" si="2"/>
        <v>120000</v>
      </c>
      <c r="L39" s="688">
        <f t="shared" si="3"/>
        <v>0</v>
      </c>
      <c r="M39" s="687"/>
      <c r="N39" s="686"/>
    </row>
    <row r="40" spans="1:14">
      <c r="A40" s="692" t="s">
        <v>15</v>
      </c>
      <c r="B40" s="699" t="s">
        <v>582</v>
      </c>
      <c r="C40" s="690" t="s">
        <v>176</v>
      </c>
      <c r="D40" s="689">
        <v>2</v>
      </c>
      <c r="E40" s="709">
        <v>1</v>
      </c>
      <c r="F40" s="688">
        <v>70000</v>
      </c>
      <c r="G40" s="688">
        <f t="shared" si="1"/>
        <v>140000</v>
      </c>
      <c r="H40" s="689">
        <v>2</v>
      </c>
      <c r="I40" s="689">
        <v>1</v>
      </c>
      <c r="J40" s="688">
        <v>70000</v>
      </c>
      <c r="K40" s="688">
        <f t="shared" si="2"/>
        <v>140000</v>
      </c>
      <c r="L40" s="688">
        <f t="shared" si="3"/>
        <v>0</v>
      </c>
      <c r="M40" s="687"/>
      <c r="N40" s="686"/>
    </row>
    <row r="41" spans="1:14">
      <c r="A41" s="692" t="s">
        <v>15</v>
      </c>
      <c r="B41" s="699" t="s">
        <v>710</v>
      </c>
      <c r="C41" s="690" t="s">
        <v>709</v>
      </c>
      <c r="D41" s="689">
        <v>150</v>
      </c>
      <c r="E41" s="709">
        <v>1</v>
      </c>
      <c r="F41" s="688">
        <v>10000</v>
      </c>
      <c r="G41" s="688">
        <f t="shared" si="1"/>
        <v>1500000</v>
      </c>
      <c r="H41" s="689">
        <v>150</v>
      </c>
      <c r="I41" s="689">
        <v>1</v>
      </c>
      <c r="J41" s="688">
        <v>10000</v>
      </c>
      <c r="K41" s="688">
        <f t="shared" si="2"/>
        <v>1500000</v>
      </c>
      <c r="L41" s="688">
        <f t="shared" si="3"/>
        <v>0</v>
      </c>
      <c r="M41" s="687"/>
      <c r="N41" s="686"/>
    </row>
    <row r="42" spans="1:14">
      <c r="A42" s="692" t="s">
        <v>15</v>
      </c>
      <c r="B42" s="699" t="s">
        <v>708</v>
      </c>
      <c r="C42" s="690" t="s">
        <v>707</v>
      </c>
      <c r="D42" s="689">
        <v>10</v>
      </c>
      <c r="E42" s="709">
        <v>1</v>
      </c>
      <c r="F42" s="688">
        <v>30000</v>
      </c>
      <c r="G42" s="688">
        <f t="shared" si="1"/>
        <v>300000</v>
      </c>
      <c r="H42" s="689">
        <v>10</v>
      </c>
      <c r="I42" s="689">
        <v>1</v>
      </c>
      <c r="J42" s="688">
        <v>30000</v>
      </c>
      <c r="K42" s="688">
        <f t="shared" si="2"/>
        <v>300000</v>
      </c>
      <c r="L42" s="688">
        <f t="shared" si="3"/>
        <v>0</v>
      </c>
      <c r="M42" s="687"/>
      <c r="N42" s="686"/>
    </row>
    <row r="43" spans="1:14">
      <c r="A43" s="692" t="s">
        <v>15</v>
      </c>
      <c r="B43" s="699" t="s">
        <v>706</v>
      </c>
      <c r="C43" s="690" t="s">
        <v>705</v>
      </c>
      <c r="D43" s="689">
        <v>320</v>
      </c>
      <c r="E43" s="709">
        <v>1</v>
      </c>
      <c r="F43" s="688">
        <v>500</v>
      </c>
      <c r="G43" s="688">
        <f t="shared" si="1"/>
        <v>160000</v>
      </c>
      <c r="H43" s="689">
        <v>320</v>
      </c>
      <c r="I43" s="689">
        <v>1</v>
      </c>
      <c r="J43" s="688">
        <v>500</v>
      </c>
      <c r="K43" s="688">
        <f t="shared" si="2"/>
        <v>160000</v>
      </c>
      <c r="L43" s="688">
        <f t="shared" si="3"/>
        <v>0</v>
      </c>
      <c r="M43" s="687"/>
      <c r="N43" s="686"/>
    </row>
    <row r="44" spans="1:14">
      <c r="A44" s="692" t="s">
        <v>15</v>
      </c>
      <c r="B44" s="699" t="s">
        <v>704</v>
      </c>
      <c r="C44" s="690" t="s">
        <v>175</v>
      </c>
      <c r="D44" s="689">
        <v>3</v>
      </c>
      <c r="E44" s="709">
        <v>1</v>
      </c>
      <c r="F44" s="688">
        <v>50000</v>
      </c>
      <c r="G44" s="688">
        <f t="shared" si="1"/>
        <v>150000</v>
      </c>
      <c r="H44" s="689">
        <v>3</v>
      </c>
      <c r="I44" s="689">
        <v>1</v>
      </c>
      <c r="J44" s="688">
        <v>48200</v>
      </c>
      <c r="K44" s="688">
        <f t="shared" si="2"/>
        <v>144600</v>
      </c>
      <c r="L44" s="688">
        <f t="shared" si="3"/>
        <v>-5400</v>
      </c>
      <c r="M44" s="687"/>
      <c r="N44" s="686"/>
    </row>
    <row r="45" spans="1:14">
      <c r="A45" s="704" t="s">
        <v>643</v>
      </c>
      <c r="B45" s="708" t="s">
        <v>703</v>
      </c>
      <c r="C45" s="707"/>
      <c r="D45" s="706"/>
      <c r="E45" s="706"/>
      <c r="F45" s="705"/>
      <c r="G45" s="705">
        <f>SUM(G46:G60)</f>
        <v>127315400</v>
      </c>
      <c r="H45" s="706"/>
      <c r="I45" s="706"/>
      <c r="J45" s="705"/>
      <c r="K45" s="705">
        <f>SUM(K46:K60)</f>
        <v>127315400</v>
      </c>
      <c r="L45" s="705">
        <f>SUM(L46:L60)</f>
        <v>0</v>
      </c>
      <c r="M45" s="704"/>
      <c r="N45" s="686"/>
    </row>
    <row r="46" spans="1:14">
      <c r="A46" s="692" t="s">
        <v>15</v>
      </c>
      <c r="B46" s="699" t="s">
        <v>702</v>
      </c>
      <c r="C46" s="690"/>
      <c r="D46" s="689">
        <v>181</v>
      </c>
      <c r="E46" s="689">
        <v>1</v>
      </c>
      <c r="F46" s="688">
        <v>174800</v>
      </c>
      <c r="G46" s="688">
        <f t="shared" ref="G46:G60" si="4">F46*E46*D46</f>
        <v>31638800</v>
      </c>
      <c r="H46" s="689">
        <v>181</v>
      </c>
      <c r="I46" s="689">
        <v>1</v>
      </c>
      <c r="J46" s="688">
        <v>174800</v>
      </c>
      <c r="K46" s="688">
        <f t="shared" ref="K46:K60" si="5">J46*I46*H46</f>
        <v>31638800</v>
      </c>
      <c r="L46" s="688">
        <f t="shared" ref="L46:L60" si="6">K46-G46</f>
        <v>0</v>
      </c>
      <c r="M46" s="883" t="s">
        <v>701</v>
      </c>
      <c r="N46" s="686"/>
    </row>
    <row r="47" spans="1:14">
      <c r="A47" s="692" t="s">
        <v>15</v>
      </c>
      <c r="B47" s="699" t="s">
        <v>700</v>
      </c>
      <c r="C47" s="690"/>
      <c r="D47" s="689">
        <v>181</v>
      </c>
      <c r="E47" s="689">
        <v>1</v>
      </c>
      <c r="F47" s="688">
        <v>55400</v>
      </c>
      <c r="G47" s="688">
        <f t="shared" si="4"/>
        <v>10027400</v>
      </c>
      <c r="H47" s="689">
        <v>181</v>
      </c>
      <c r="I47" s="689">
        <v>1</v>
      </c>
      <c r="J47" s="688">
        <v>55400</v>
      </c>
      <c r="K47" s="688">
        <f t="shared" si="5"/>
        <v>10027400</v>
      </c>
      <c r="L47" s="688">
        <f t="shared" si="6"/>
        <v>0</v>
      </c>
      <c r="M47" s="883"/>
      <c r="N47" s="686"/>
    </row>
    <row r="48" spans="1:14">
      <c r="A48" s="692" t="s">
        <v>15</v>
      </c>
      <c r="B48" s="699" t="s">
        <v>699</v>
      </c>
      <c r="C48" s="690"/>
      <c r="D48" s="689">
        <v>181</v>
      </c>
      <c r="E48" s="689">
        <v>1</v>
      </c>
      <c r="F48" s="688">
        <v>55400</v>
      </c>
      <c r="G48" s="688">
        <f t="shared" si="4"/>
        <v>10027400</v>
      </c>
      <c r="H48" s="689">
        <v>181</v>
      </c>
      <c r="I48" s="689">
        <v>1</v>
      </c>
      <c r="J48" s="688">
        <v>55400</v>
      </c>
      <c r="K48" s="688">
        <f t="shared" si="5"/>
        <v>10027400</v>
      </c>
      <c r="L48" s="688">
        <f t="shared" si="6"/>
        <v>0</v>
      </c>
      <c r="M48" s="883"/>
      <c r="N48" s="686"/>
    </row>
    <row r="49" spans="1:17">
      <c r="A49" s="692" t="s">
        <v>15</v>
      </c>
      <c r="B49" s="699" t="s">
        <v>698</v>
      </c>
      <c r="C49" s="690"/>
      <c r="D49" s="689">
        <v>181</v>
      </c>
      <c r="E49" s="689">
        <v>1</v>
      </c>
      <c r="F49" s="688">
        <v>55400</v>
      </c>
      <c r="G49" s="688">
        <f t="shared" si="4"/>
        <v>10027400</v>
      </c>
      <c r="H49" s="689">
        <v>181</v>
      </c>
      <c r="I49" s="689">
        <v>1</v>
      </c>
      <c r="J49" s="688">
        <v>55400</v>
      </c>
      <c r="K49" s="688">
        <f t="shared" si="5"/>
        <v>10027400</v>
      </c>
      <c r="L49" s="688">
        <f t="shared" si="6"/>
        <v>0</v>
      </c>
      <c r="M49" s="883"/>
      <c r="N49" s="686"/>
    </row>
    <row r="50" spans="1:17" ht="16.5" customHeight="1">
      <c r="A50" s="692" t="s">
        <v>15</v>
      </c>
      <c r="B50" s="699" t="s">
        <v>697</v>
      </c>
      <c r="C50" s="690"/>
      <c r="D50" s="689">
        <v>181</v>
      </c>
      <c r="E50" s="689">
        <v>1</v>
      </c>
      <c r="F50" s="688">
        <v>27800</v>
      </c>
      <c r="G50" s="688">
        <f t="shared" si="4"/>
        <v>5031800</v>
      </c>
      <c r="H50" s="689">
        <v>181</v>
      </c>
      <c r="I50" s="689">
        <v>1</v>
      </c>
      <c r="J50" s="688">
        <v>27800</v>
      </c>
      <c r="K50" s="688">
        <f t="shared" si="5"/>
        <v>5031800</v>
      </c>
      <c r="L50" s="688">
        <f t="shared" si="6"/>
        <v>0</v>
      </c>
      <c r="M50" s="883"/>
      <c r="N50" s="686"/>
    </row>
    <row r="51" spans="1:17">
      <c r="A51" s="692" t="s">
        <v>15</v>
      </c>
      <c r="B51" s="699" t="s">
        <v>696</v>
      </c>
      <c r="C51" s="690"/>
      <c r="D51" s="689">
        <v>181</v>
      </c>
      <c r="E51" s="689">
        <v>1</v>
      </c>
      <c r="F51" s="688">
        <v>49300</v>
      </c>
      <c r="G51" s="688">
        <f t="shared" si="4"/>
        <v>8923300</v>
      </c>
      <c r="H51" s="689">
        <v>181</v>
      </c>
      <c r="I51" s="689">
        <v>1</v>
      </c>
      <c r="J51" s="688">
        <v>49300</v>
      </c>
      <c r="K51" s="688">
        <f t="shared" si="5"/>
        <v>8923300</v>
      </c>
      <c r="L51" s="688">
        <f t="shared" si="6"/>
        <v>0</v>
      </c>
      <c r="M51" s="883"/>
      <c r="N51" s="686"/>
    </row>
    <row r="52" spans="1:17">
      <c r="A52" s="692" t="s">
        <v>15</v>
      </c>
      <c r="B52" s="699" t="s">
        <v>695</v>
      </c>
      <c r="C52" s="690"/>
      <c r="D52" s="689">
        <v>181</v>
      </c>
      <c r="E52" s="689">
        <v>1</v>
      </c>
      <c r="F52" s="688">
        <v>35400</v>
      </c>
      <c r="G52" s="688">
        <f t="shared" si="4"/>
        <v>6407400</v>
      </c>
      <c r="H52" s="689">
        <v>181</v>
      </c>
      <c r="I52" s="689">
        <v>1</v>
      </c>
      <c r="J52" s="688">
        <v>35400</v>
      </c>
      <c r="K52" s="688">
        <f t="shared" si="5"/>
        <v>6407400</v>
      </c>
      <c r="L52" s="688">
        <f t="shared" si="6"/>
        <v>0</v>
      </c>
      <c r="M52" s="883"/>
      <c r="N52" s="686"/>
    </row>
    <row r="53" spans="1:17">
      <c r="A53" s="692" t="s">
        <v>15</v>
      </c>
      <c r="B53" s="699" t="s">
        <v>694</v>
      </c>
      <c r="C53" s="690"/>
      <c r="D53" s="689">
        <v>181</v>
      </c>
      <c r="E53" s="689">
        <v>1</v>
      </c>
      <c r="F53" s="688">
        <v>59200</v>
      </c>
      <c r="G53" s="688">
        <f t="shared" si="4"/>
        <v>10715200</v>
      </c>
      <c r="H53" s="689">
        <v>181</v>
      </c>
      <c r="I53" s="689">
        <v>1</v>
      </c>
      <c r="J53" s="688">
        <v>59200</v>
      </c>
      <c r="K53" s="688">
        <f t="shared" si="5"/>
        <v>10715200</v>
      </c>
      <c r="L53" s="688">
        <f t="shared" si="6"/>
        <v>0</v>
      </c>
      <c r="M53" s="883"/>
      <c r="N53" s="686"/>
    </row>
    <row r="54" spans="1:17">
      <c r="A54" s="692" t="s">
        <v>15</v>
      </c>
      <c r="B54" s="699" t="s">
        <v>693</v>
      </c>
      <c r="C54" s="690"/>
      <c r="D54" s="689">
        <v>181</v>
      </c>
      <c r="E54" s="689">
        <v>1</v>
      </c>
      <c r="F54" s="688">
        <v>41500</v>
      </c>
      <c r="G54" s="688">
        <f t="shared" si="4"/>
        <v>7511500</v>
      </c>
      <c r="H54" s="689">
        <v>181</v>
      </c>
      <c r="I54" s="689">
        <v>1</v>
      </c>
      <c r="J54" s="688">
        <v>41500</v>
      </c>
      <c r="K54" s="688">
        <f t="shared" si="5"/>
        <v>7511500</v>
      </c>
      <c r="L54" s="688">
        <f t="shared" si="6"/>
        <v>0</v>
      </c>
      <c r="M54" s="883"/>
      <c r="N54" s="686"/>
    </row>
    <row r="55" spans="1:17">
      <c r="A55" s="692" t="s">
        <v>15</v>
      </c>
      <c r="B55" s="699" t="s">
        <v>692</v>
      </c>
      <c r="C55" s="690"/>
      <c r="D55" s="689">
        <v>181</v>
      </c>
      <c r="E55" s="689">
        <v>1</v>
      </c>
      <c r="F55" s="688">
        <v>40200</v>
      </c>
      <c r="G55" s="688">
        <f t="shared" si="4"/>
        <v>7276200</v>
      </c>
      <c r="H55" s="689">
        <v>181</v>
      </c>
      <c r="I55" s="689">
        <v>1</v>
      </c>
      <c r="J55" s="688">
        <v>40200</v>
      </c>
      <c r="K55" s="688">
        <f t="shared" si="5"/>
        <v>7276200</v>
      </c>
      <c r="L55" s="688">
        <f t="shared" si="6"/>
        <v>0</v>
      </c>
      <c r="M55" s="883"/>
      <c r="N55" s="686"/>
    </row>
    <row r="56" spans="1:17">
      <c r="A56" s="692" t="s">
        <v>15</v>
      </c>
      <c r="B56" s="699" t="s">
        <v>691</v>
      </c>
      <c r="C56" s="690"/>
      <c r="D56" s="689">
        <v>181</v>
      </c>
      <c r="E56" s="689">
        <v>1</v>
      </c>
      <c r="F56" s="688">
        <v>21800</v>
      </c>
      <c r="G56" s="688">
        <f t="shared" si="4"/>
        <v>3945800</v>
      </c>
      <c r="H56" s="689">
        <v>181</v>
      </c>
      <c r="I56" s="689">
        <v>1</v>
      </c>
      <c r="J56" s="688">
        <v>21800</v>
      </c>
      <c r="K56" s="688">
        <f t="shared" si="5"/>
        <v>3945800</v>
      </c>
      <c r="L56" s="688">
        <f t="shared" si="6"/>
        <v>0</v>
      </c>
      <c r="M56" s="883"/>
      <c r="N56" s="686"/>
    </row>
    <row r="57" spans="1:17">
      <c r="A57" s="692" t="s">
        <v>15</v>
      </c>
      <c r="B57" s="699" t="s">
        <v>690</v>
      </c>
      <c r="C57" s="690"/>
      <c r="D57" s="689">
        <v>181</v>
      </c>
      <c r="E57" s="689">
        <v>1</v>
      </c>
      <c r="F57" s="688">
        <v>21800</v>
      </c>
      <c r="G57" s="688">
        <f t="shared" si="4"/>
        <v>3945800</v>
      </c>
      <c r="H57" s="689">
        <v>181</v>
      </c>
      <c r="I57" s="689">
        <v>1</v>
      </c>
      <c r="J57" s="688">
        <v>21800</v>
      </c>
      <c r="K57" s="688">
        <f t="shared" si="5"/>
        <v>3945800</v>
      </c>
      <c r="L57" s="688">
        <f t="shared" si="6"/>
        <v>0</v>
      </c>
      <c r="M57" s="883"/>
      <c r="N57" s="686"/>
    </row>
    <row r="58" spans="1:17">
      <c r="A58" s="692" t="s">
        <v>15</v>
      </c>
      <c r="B58" s="699" t="s">
        <v>689</v>
      </c>
      <c r="C58" s="690"/>
      <c r="D58" s="689">
        <v>181</v>
      </c>
      <c r="E58" s="689">
        <v>1</v>
      </c>
      <c r="F58" s="688">
        <v>21800</v>
      </c>
      <c r="G58" s="688">
        <f t="shared" si="4"/>
        <v>3945800</v>
      </c>
      <c r="H58" s="689">
        <v>181</v>
      </c>
      <c r="I58" s="689">
        <v>1</v>
      </c>
      <c r="J58" s="688">
        <v>21800</v>
      </c>
      <c r="K58" s="688">
        <f t="shared" si="5"/>
        <v>3945800</v>
      </c>
      <c r="L58" s="688">
        <f t="shared" si="6"/>
        <v>0</v>
      </c>
      <c r="M58" s="883"/>
      <c r="N58" s="686"/>
    </row>
    <row r="59" spans="1:17">
      <c r="A59" s="692" t="s">
        <v>15</v>
      </c>
      <c r="B59" s="691" t="s">
        <v>688</v>
      </c>
      <c r="C59" s="690"/>
      <c r="D59" s="689">
        <v>181</v>
      </c>
      <c r="E59" s="689">
        <v>1</v>
      </c>
      <c r="F59" s="688">
        <v>21800</v>
      </c>
      <c r="G59" s="688">
        <f t="shared" si="4"/>
        <v>3945800</v>
      </c>
      <c r="H59" s="689">
        <v>181</v>
      </c>
      <c r="I59" s="689">
        <v>1</v>
      </c>
      <c r="J59" s="688">
        <v>21800</v>
      </c>
      <c r="K59" s="688">
        <f t="shared" si="5"/>
        <v>3945800</v>
      </c>
      <c r="L59" s="688">
        <f t="shared" si="6"/>
        <v>0</v>
      </c>
      <c r="M59" s="883"/>
      <c r="N59" s="686"/>
    </row>
    <row r="60" spans="1:17">
      <c r="A60" s="692" t="s">
        <v>15</v>
      </c>
      <c r="B60" s="691" t="s">
        <v>687</v>
      </c>
      <c r="C60" s="690"/>
      <c r="D60" s="689">
        <v>181</v>
      </c>
      <c r="E60" s="689">
        <v>1</v>
      </c>
      <c r="F60" s="688">
        <v>21800</v>
      </c>
      <c r="G60" s="688">
        <f t="shared" si="4"/>
        <v>3945800</v>
      </c>
      <c r="H60" s="689">
        <v>181</v>
      </c>
      <c r="I60" s="689">
        <v>1</v>
      </c>
      <c r="J60" s="688">
        <v>21800</v>
      </c>
      <c r="K60" s="688">
        <f t="shared" si="5"/>
        <v>3945800</v>
      </c>
      <c r="L60" s="688">
        <f t="shared" si="6"/>
        <v>0</v>
      </c>
      <c r="M60" s="883"/>
      <c r="N60" s="686"/>
    </row>
    <row r="61" spans="1:17" ht="27.75" customHeight="1">
      <c r="A61" s="762" t="s">
        <v>11</v>
      </c>
      <c r="B61" s="763" t="s">
        <v>686</v>
      </c>
      <c r="C61" s="759"/>
      <c r="D61" s="760"/>
      <c r="E61" s="760"/>
      <c r="F61" s="761"/>
      <c r="G61" s="761">
        <f>G62</f>
        <v>154440000</v>
      </c>
      <c r="H61" s="760"/>
      <c r="I61" s="760"/>
      <c r="J61" s="761"/>
      <c r="K61" s="761">
        <f>K62</f>
        <v>138217000</v>
      </c>
      <c r="L61" s="761">
        <f>L62</f>
        <v>-16223000</v>
      </c>
      <c r="M61" s="765"/>
      <c r="N61" s="686"/>
    </row>
    <row r="62" spans="1:17" ht="48" customHeight="1">
      <c r="A62" s="698">
        <v>1</v>
      </c>
      <c r="B62" s="697" t="s">
        <v>685</v>
      </c>
      <c r="C62" s="696"/>
      <c r="D62" s="695"/>
      <c r="E62" s="695"/>
      <c r="F62" s="694"/>
      <c r="G62" s="694">
        <f>G63+G68+G76+G81+G84+G97+G106+G113</f>
        <v>154440000</v>
      </c>
      <c r="H62" s="695"/>
      <c r="I62" s="695"/>
      <c r="J62" s="694"/>
      <c r="K62" s="694">
        <f>K63+K68+K76+K81+K84+K97+K106+K113</f>
        <v>138217000</v>
      </c>
      <c r="L62" s="694">
        <f>L63+L68+L76+L81+L84+L97+L106+L113</f>
        <v>-16223000</v>
      </c>
      <c r="M62" s="702"/>
      <c r="N62" s="686"/>
      <c r="Q62" s="703"/>
    </row>
    <row r="63" spans="1:17" ht="28.5" customHeight="1">
      <c r="A63" s="698" t="s">
        <v>168</v>
      </c>
      <c r="B63" s="697" t="s">
        <v>684</v>
      </c>
      <c r="C63" s="696"/>
      <c r="D63" s="695"/>
      <c r="E63" s="695"/>
      <c r="F63" s="694"/>
      <c r="G63" s="694">
        <f>SUM(G64:G67)</f>
        <v>15500000</v>
      </c>
      <c r="H63" s="695"/>
      <c r="I63" s="695"/>
      <c r="J63" s="694"/>
      <c r="K63" s="694">
        <f>SUM(K64:K67)</f>
        <v>15240000</v>
      </c>
      <c r="L63" s="694">
        <f>SUM(L64:L67)</f>
        <v>-260000</v>
      </c>
      <c r="M63" s="702"/>
      <c r="N63" s="686"/>
    </row>
    <row r="64" spans="1:17" ht="30">
      <c r="A64" s="692" t="s">
        <v>15</v>
      </c>
      <c r="B64" s="691" t="s">
        <v>683</v>
      </c>
      <c r="C64" s="690" t="s">
        <v>164</v>
      </c>
      <c r="D64" s="689">
        <v>5</v>
      </c>
      <c r="E64" s="689">
        <v>1</v>
      </c>
      <c r="F64" s="688">
        <v>500000</v>
      </c>
      <c r="G64" s="688">
        <f>ROUNDDOWN(D64*E64*F64,-4)</f>
        <v>2500000</v>
      </c>
      <c r="H64" s="689">
        <v>5</v>
      </c>
      <c r="I64" s="689">
        <v>1</v>
      </c>
      <c r="J64" s="688">
        <v>500000</v>
      </c>
      <c r="K64" s="688">
        <f>ROUNDDOWN(H64*I64*J64,-4)</f>
        <v>2500000</v>
      </c>
      <c r="L64" s="688">
        <f>K64-G64</f>
        <v>0</v>
      </c>
      <c r="M64" s="687" t="s">
        <v>379</v>
      </c>
      <c r="N64" s="686"/>
    </row>
    <row r="65" spans="1:14" ht="27" customHeight="1">
      <c r="A65" s="692" t="s">
        <v>15</v>
      </c>
      <c r="B65" s="691" t="s">
        <v>682</v>
      </c>
      <c r="C65" s="690" t="s">
        <v>164</v>
      </c>
      <c r="D65" s="689">
        <v>12</v>
      </c>
      <c r="E65" s="689">
        <v>1</v>
      </c>
      <c r="F65" s="688">
        <v>500000</v>
      </c>
      <c r="G65" s="688">
        <f>D65*E65*F65</f>
        <v>6000000</v>
      </c>
      <c r="H65" s="689">
        <v>12</v>
      </c>
      <c r="I65" s="689">
        <v>1</v>
      </c>
      <c r="J65" s="688">
        <v>500000</v>
      </c>
      <c r="K65" s="688">
        <f>H65*I65*J65</f>
        <v>6000000</v>
      </c>
      <c r="L65" s="688">
        <f>K65-G65</f>
        <v>0</v>
      </c>
      <c r="M65" s="687" t="s">
        <v>379</v>
      </c>
      <c r="N65" s="686"/>
    </row>
    <row r="66" spans="1:14" ht="36" customHeight="1">
      <c r="A66" s="692" t="s">
        <v>15</v>
      </c>
      <c r="B66" s="691" t="s">
        <v>681</v>
      </c>
      <c r="C66" s="690" t="s">
        <v>164</v>
      </c>
      <c r="D66" s="689">
        <v>1</v>
      </c>
      <c r="E66" s="689">
        <v>1</v>
      </c>
      <c r="F66" s="688">
        <v>2500000</v>
      </c>
      <c r="G66" s="688">
        <f>D66*E66*F66</f>
        <v>2500000</v>
      </c>
      <c r="H66" s="689">
        <v>1</v>
      </c>
      <c r="I66" s="689">
        <v>1</v>
      </c>
      <c r="J66" s="688">
        <v>2240000</v>
      </c>
      <c r="K66" s="688">
        <f>H66*I66*J66</f>
        <v>2240000</v>
      </c>
      <c r="L66" s="688">
        <f>K66-G66</f>
        <v>-260000</v>
      </c>
      <c r="M66" s="687" t="s">
        <v>680</v>
      </c>
      <c r="N66" s="686"/>
    </row>
    <row r="67" spans="1:14" ht="38.15" customHeight="1">
      <c r="A67" s="692" t="s">
        <v>15</v>
      </c>
      <c r="B67" s="691" t="s">
        <v>679</v>
      </c>
      <c r="C67" s="690" t="s">
        <v>164</v>
      </c>
      <c r="D67" s="689">
        <v>3</v>
      </c>
      <c r="E67" s="689">
        <v>1</v>
      </c>
      <c r="F67" s="688">
        <v>1500000</v>
      </c>
      <c r="G67" s="688">
        <f>D67*E67*F67</f>
        <v>4500000</v>
      </c>
      <c r="H67" s="689">
        <v>3</v>
      </c>
      <c r="I67" s="689">
        <v>1</v>
      </c>
      <c r="J67" s="688">
        <v>1500000</v>
      </c>
      <c r="K67" s="688">
        <f>H67*I67*J67</f>
        <v>4500000</v>
      </c>
      <c r="L67" s="688">
        <f>K67-G67</f>
        <v>0</v>
      </c>
      <c r="M67" s="687" t="s">
        <v>379</v>
      </c>
      <c r="N67" s="686"/>
    </row>
    <row r="68" spans="1:14" ht="27" customHeight="1">
      <c r="A68" s="698" t="s">
        <v>167</v>
      </c>
      <c r="B68" s="697" t="s">
        <v>678</v>
      </c>
      <c r="C68" s="696"/>
      <c r="D68" s="695"/>
      <c r="E68" s="695"/>
      <c r="F68" s="694"/>
      <c r="G68" s="694">
        <f>SUM(G69:G75)</f>
        <v>11400000</v>
      </c>
      <c r="H68" s="695"/>
      <c r="I68" s="695"/>
      <c r="J68" s="694"/>
      <c r="K68" s="694">
        <f>SUM(K69:K75)</f>
        <v>9500000</v>
      </c>
      <c r="L68" s="694">
        <f>SUM(L69:L75)</f>
        <v>-1900000</v>
      </c>
      <c r="M68" s="702"/>
      <c r="N68" s="686"/>
    </row>
    <row r="69" spans="1:14" ht="30">
      <c r="A69" s="692" t="s">
        <v>15</v>
      </c>
      <c r="B69" s="691" t="s">
        <v>677</v>
      </c>
      <c r="C69" s="690" t="s">
        <v>365</v>
      </c>
      <c r="D69" s="689">
        <v>1</v>
      </c>
      <c r="E69" s="689">
        <v>1</v>
      </c>
      <c r="F69" s="688">
        <v>2500000</v>
      </c>
      <c r="G69" s="688">
        <f t="shared" ref="G69:G75" si="7">D69*E69*F69</f>
        <v>2500000</v>
      </c>
      <c r="H69" s="689">
        <v>1</v>
      </c>
      <c r="I69" s="689">
        <v>1</v>
      </c>
      <c r="J69" s="688">
        <v>2240000</v>
      </c>
      <c r="K69" s="688">
        <f t="shared" ref="K69:K75" si="8">H69*I69*J69</f>
        <v>2240000</v>
      </c>
      <c r="L69" s="688">
        <f t="shared" ref="L69:L75" si="9">K69-G69</f>
        <v>-260000</v>
      </c>
      <c r="M69" s="687" t="s">
        <v>676</v>
      </c>
      <c r="N69" s="686"/>
    </row>
    <row r="70" spans="1:14" ht="23.15" customHeight="1">
      <c r="A70" s="692" t="s">
        <v>15</v>
      </c>
      <c r="B70" s="691" t="s">
        <v>675</v>
      </c>
      <c r="C70" s="690" t="s">
        <v>164</v>
      </c>
      <c r="D70" s="689">
        <v>210</v>
      </c>
      <c r="E70" s="689">
        <v>1</v>
      </c>
      <c r="F70" s="688">
        <v>10000</v>
      </c>
      <c r="G70" s="688">
        <f t="shared" si="7"/>
        <v>2100000</v>
      </c>
      <c r="H70" s="689">
        <v>210</v>
      </c>
      <c r="I70" s="689">
        <v>1</v>
      </c>
      <c r="J70" s="688">
        <v>6000</v>
      </c>
      <c r="K70" s="688">
        <f t="shared" si="8"/>
        <v>1260000</v>
      </c>
      <c r="L70" s="688">
        <f t="shared" si="9"/>
        <v>-840000</v>
      </c>
      <c r="M70" s="687" t="s">
        <v>379</v>
      </c>
      <c r="N70" s="686"/>
    </row>
    <row r="71" spans="1:14">
      <c r="A71" s="692" t="s">
        <v>15</v>
      </c>
      <c r="B71" s="691" t="s">
        <v>674</v>
      </c>
      <c r="C71" s="690" t="s">
        <v>164</v>
      </c>
      <c r="D71" s="689">
        <v>1</v>
      </c>
      <c r="E71" s="689">
        <v>1</v>
      </c>
      <c r="F71" s="688">
        <v>3000000</v>
      </c>
      <c r="G71" s="688">
        <f t="shared" si="7"/>
        <v>3000000</v>
      </c>
      <c r="H71" s="689">
        <v>1</v>
      </c>
      <c r="I71" s="689">
        <v>1</v>
      </c>
      <c r="J71" s="688">
        <v>3000000</v>
      </c>
      <c r="K71" s="688">
        <f t="shared" si="8"/>
        <v>3000000</v>
      </c>
      <c r="L71" s="688">
        <f t="shared" si="9"/>
        <v>0</v>
      </c>
      <c r="M71" s="687" t="s">
        <v>379</v>
      </c>
      <c r="N71" s="686"/>
    </row>
    <row r="72" spans="1:14" ht="24.75" customHeight="1">
      <c r="A72" s="692" t="s">
        <v>15</v>
      </c>
      <c r="B72" s="691" t="s">
        <v>673</v>
      </c>
      <c r="C72" s="690" t="s">
        <v>164</v>
      </c>
      <c r="D72" s="689">
        <v>2</v>
      </c>
      <c r="E72" s="689">
        <v>1</v>
      </c>
      <c r="F72" s="688">
        <v>800000</v>
      </c>
      <c r="G72" s="688">
        <f t="shared" si="7"/>
        <v>1600000</v>
      </c>
      <c r="H72" s="689">
        <v>2</v>
      </c>
      <c r="I72" s="689">
        <v>1</v>
      </c>
      <c r="J72" s="688">
        <v>500000</v>
      </c>
      <c r="K72" s="688">
        <f t="shared" si="8"/>
        <v>1000000</v>
      </c>
      <c r="L72" s="688">
        <f t="shared" si="9"/>
        <v>-600000</v>
      </c>
      <c r="M72" s="687" t="s">
        <v>379</v>
      </c>
      <c r="N72" s="686"/>
    </row>
    <row r="73" spans="1:14" ht="19.5" customHeight="1">
      <c r="A73" s="692" t="s">
        <v>15</v>
      </c>
      <c r="B73" s="691" t="s">
        <v>672</v>
      </c>
      <c r="C73" s="690" t="s">
        <v>164</v>
      </c>
      <c r="D73" s="689">
        <v>1</v>
      </c>
      <c r="E73" s="689">
        <v>1</v>
      </c>
      <c r="F73" s="688">
        <v>700000</v>
      </c>
      <c r="G73" s="688">
        <f t="shared" si="7"/>
        <v>700000</v>
      </c>
      <c r="H73" s="689">
        <v>1</v>
      </c>
      <c r="I73" s="689">
        <v>1</v>
      </c>
      <c r="J73" s="688">
        <v>500000</v>
      </c>
      <c r="K73" s="688">
        <f t="shared" si="8"/>
        <v>500000</v>
      </c>
      <c r="L73" s="688">
        <f t="shared" si="9"/>
        <v>-200000</v>
      </c>
      <c r="M73" s="687" t="s">
        <v>379</v>
      </c>
      <c r="N73" s="686"/>
    </row>
    <row r="74" spans="1:14" ht="24.65" customHeight="1">
      <c r="A74" s="692" t="s">
        <v>15</v>
      </c>
      <c r="B74" s="691" t="s">
        <v>671</v>
      </c>
      <c r="C74" s="690" t="s">
        <v>164</v>
      </c>
      <c r="D74" s="689">
        <v>1</v>
      </c>
      <c r="E74" s="689">
        <v>1</v>
      </c>
      <c r="F74" s="688">
        <v>500000</v>
      </c>
      <c r="G74" s="688">
        <f t="shared" si="7"/>
        <v>500000</v>
      </c>
      <c r="H74" s="701">
        <v>1</v>
      </c>
      <c r="I74" s="701">
        <v>1</v>
      </c>
      <c r="J74" s="700">
        <v>500000</v>
      </c>
      <c r="K74" s="700">
        <f t="shared" si="8"/>
        <v>500000</v>
      </c>
      <c r="L74" s="688">
        <f t="shared" si="9"/>
        <v>0</v>
      </c>
      <c r="M74" s="687" t="s">
        <v>379</v>
      </c>
      <c r="N74" s="686"/>
    </row>
    <row r="75" spans="1:14" ht="25" customHeight="1">
      <c r="A75" s="692" t="s">
        <v>15</v>
      </c>
      <c r="B75" s="691" t="s">
        <v>670</v>
      </c>
      <c r="C75" s="690" t="s">
        <v>669</v>
      </c>
      <c r="D75" s="689">
        <v>20</v>
      </c>
      <c r="E75" s="689">
        <v>1</v>
      </c>
      <c r="F75" s="688">
        <v>50000</v>
      </c>
      <c r="G75" s="688">
        <f t="shared" si="7"/>
        <v>1000000</v>
      </c>
      <c r="H75" s="689">
        <v>20</v>
      </c>
      <c r="I75" s="689">
        <v>1</v>
      </c>
      <c r="J75" s="688">
        <v>50000</v>
      </c>
      <c r="K75" s="688">
        <f t="shared" si="8"/>
        <v>1000000</v>
      </c>
      <c r="L75" s="688">
        <f t="shared" si="9"/>
        <v>0</v>
      </c>
      <c r="M75" s="687" t="s">
        <v>379</v>
      </c>
      <c r="N75" s="686"/>
    </row>
    <row r="76" spans="1:14" ht="58">
      <c r="A76" s="698" t="s">
        <v>166</v>
      </c>
      <c r="B76" s="697" t="s">
        <v>668</v>
      </c>
      <c r="C76" s="696" t="s">
        <v>365</v>
      </c>
      <c r="D76" s="695"/>
      <c r="E76" s="695"/>
      <c r="F76" s="694"/>
      <c r="G76" s="694">
        <f>SUM(G77:G80)</f>
        <v>10000000</v>
      </c>
      <c r="H76" s="695"/>
      <c r="I76" s="695"/>
      <c r="J76" s="694"/>
      <c r="K76" s="694">
        <f>SUM(K77:K80)</f>
        <v>10000000</v>
      </c>
      <c r="L76" s="694">
        <f>SUM(L77:L80)</f>
        <v>0</v>
      </c>
      <c r="M76" s="687"/>
      <c r="N76" s="686"/>
    </row>
    <row r="77" spans="1:14" ht="60">
      <c r="A77" s="692" t="s">
        <v>15</v>
      </c>
      <c r="B77" s="691" t="s">
        <v>667</v>
      </c>
      <c r="C77" s="690" t="s">
        <v>365</v>
      </c>
      <c r="D77" s="689">
        <v>7</v>
      </c>
      <c r="E77" s="689">
        <v>1</v>
      </c>
      <c r="F77" s="688">
        <v>500000</v>
      </c>
      <c r="G77" s="688">
        <f>D77*E77*F77</f>
        <v>3500000</v>
      </c>
      <c r="H77" s="689">
        <v>7</v>
      </c>
      <c r="I77" s="689">
        <v>1</v>
      </c>
      <c r="J77" s="688">
        <v>500000</v>
      </c>
      <c r="K77" s="688">
        <f>H77*I77*J77</f>
        <v>3500000</v>
      </c>
      <c r="L77" s="688">
        <f>K77-G77</f>
        <v>0</v>
      </c>
      <c r="M77" s="687" t="s">
        <v>181</v>
      </c>
      <c r="N77" s="686"/>
    </row>
    <row r="78" spans="1:14" ht="60">
      <c r="A78" s="692" t="s">
        <v>15</v>
      </c>
      <c r="B78" s="691" t="s">
        <v>666</v>
      </c>
      <c r="C78" s="690" t="s">
        <v>365</v>
      </c>
      <c r="D78" s="689">
        <v>5</v>
      </c>
      <c r="E78" s="689">
        <v>1</v>
      </c>
      <c r="F78" s="688">
        <v>500000</v>
      </c>
      <c r="G78" s="688">
        <f>D78*E78*F78</f>
        <v>2500000</v>
      </c>
      <c r="H78" s="689">
        <v>5</v>
      </c>
      <c r="I78" s="689">
        <v>1</v>
      </c>
      <c r="J78" s="688">
        <v>500000</v>
      </c>
      <c r="K78" s="688">
        <f>H78*I78*J78</f>
        <v>2500000</v>
      </c>
      <c r="L78" s="688">
        <f>K78-G78</f>
        <v>0</v>
      </c>
      <c r="M78" s="687" t="s">
        <v>181</v>
      </c>
      <c r="N78" s="686"/>
    </row>
    <row r="79" spans="1:14" ht="60">
      <c r="A79" s="692" t="s">
        <v>15</v>
      </c>
      <c r="B79" s="691" t="s">
        <v>665</v>
      </c>
      <c r="C79" s="690" t="s">
        <v>365</v>
      </c>
      <c r="D79" s="689">
        <v>4</v>
      </c>
      <c r="E79" s="689">
        <v>1</v>
      </c>
      <c r="F79" s="688">
        <v>500000</v>
      </c>
      <c r="G79" s="688">
        <f>D79*E79*F79</f>
        <v>2000000</v>
      </c>
      <c r="H79" s="689">
        <v>4</v>
      </c>
      <c r="I79" s="689">
        <v>1</v>
      </c>
      <c r="J79" s="688">
        <v>500000</v>
      </c>
      <c r="K79" s="688">
        <f>H79*I79*J79</f>
        <v>2000000</v>
      </c>
      <c r="L79" s="688">
        <f>K79-G79</f>
        <v>0</v>
      </c>
      <c r="M79" s="687" t="s">
        <v>181</v>
      </c>
      <c r="N79" s="686"/>
    </row>
    <row r="80" spans="1:14" ht="60">
      <c r="A80" s="692" t="s">
        <v>15</v>
      </c>
      <c r="B80" s="691" t="s">
        <v>664</v>
      </c>
      <c r="C80" s="690" t="s">
        <v>365</v>
      </c>
      <c r="D80" s="689">
        <v>4</v>
      </c>
      <c r="E80" s="689">
        <v>1</v>
      </c>
      <c r="F80" s="688">
        <v>500000</v>
      </c>
      <c r="G80" s="688">
        <f>D80*E80*F80</f>
        <v>2000000</v>
      </c>
      <c r="H80" s="689">
        <v>4</v>
      </c>
      <c r="I80" s="689">
        <v>1</v>
      </c>
      <c r="J80" s="688">
        <v>500000</v>
      </c>
      <c r="K80" s="688">
        <f>H80*I80*J80</f>
        <v>2000000</v>
      </c>
      <c r="L80" s="688">
        <f>K80-G80</f>
        <v>0</v>
      </c>
      <c r="M80" s="687" t="s">
        <v>181</v>
      </c>
      <c r="N80" s="686"/>
    </row>
    <row r="81" spans="1:14" ht="22" customHeight="1">
      <c r="A81" s="698" t="s">
        <v>165</v>
      </c>
      <c r="B81" s="697" t="s">
        <v>663</v>
      </c>
      <c r="C81" s="696"/>
      <c r="D81" s="695"/>
      <c r="E81" s="695"/>
      <c r="F81" s="694"/>
      <c r="G81" s="694">
        <f>SUM(G82:G83)</f>
        <v>7000000</v>
      </c>
      <c r="H81" s="695"/>
      <c r="I81" s="695"/>
      <c r="J81" s="694"/>
      <c r="K81" s="694">
        <f>SUM(K82:K83)</f>
        <v>7000000</v>
      </c>
      <c r="L81" s="694">
        <f>SUM(L82:L83)</f>
        <v>0</v>
      </c>
      <c r="M81" s="687"/>
      <c r="N81" s="686"/>
    </row>
    <row r="82" spans="1:14" ht="32.5" customHeight="1">
      <c r="A82" s="698"/>
      <c r="B82" s="691" t="s">
        <v>662</v>
      </c>
      <c r="C82" s="690" t="s">
        <v>365</v>
      </c>
      <c r="D82" s="689">
        <v>1</v>
      </c>
      <c r="E82" s="689">
        <v>1</v>
      </c>
      <c r="F82" s="688">
        <v>3500000</v>
      </c>
      <c r="G82" s="688">
        <f>D82*E82*F82</f>
        <v>3500000</v>
      </c>
      <c r="H82" s="689">
        <v>1</v>
      </c>
      <c r="I82" s="689">
        <v>1</v>
      </c>
      <c r="J82" s="688">
        <v>3500000</v>
      </c>
      <c r="K82" s="688">
        <f>H82*I82*J82</f>
        <v>3500000</v>
      </c>
      <c r="L82" s="688">
        <f>K82-G82</f>
        <v>0</v>
      </c>
      <c r="M82" s="687" t="s">
        <v>379</v>
      </c>
      <c r="N82" s="686"/>
    </row>
    <row r="83" spans="1:14" ht="30">
      <c r="A83" s="698"/>
      <c r="B83" s="691" t="s">
        <v>661</v>
      </c>
      <c r="C83" s="690" t="s">
        <v>365</v>
      </c>
      <c r="D83" s="689">
        <v>1</v>
      </c>
      <c r="E83" s="689">
        <v>1</v>
      </c>
      <c r="F83" s="688">
        <v>3500000</v>
      </c>
      <c r="G83" s="688">
        <f>D83*E83*F83</f>
        <v>3500000</v>
      </c>
      <c r="H83" s="689">
        <v>1</v>
      </c>
      <c r="I83" s="689">
        <v>1</v>
      </c>
      <c r="J83" s="688">
        <v>3500000</v>
      </c>
      <c r="K83" s="688">
        <f>H83*I83*J83</f>
        <v>3500000</v>
      </c>
      <c r="L83" s="688">
        <f>K83-G83</f>
        <v>0</v>
      </c>
      <c r="M83" s="687" t="s">
        <v>379</v>
      </c>
      <c r="N83" s="686"/>
    </row>
    <row r="84" spans="1:14" ht="21" customHeight="1">
      <c r="A84" s="698" t="s">
        <v>169</v>
      </c>
      <c r="B84" s="697" t="s">
        <v>660</v>
      </c>
      <c r="C84" s="696"/>
      <c r="D84" s="695"/>
      <c r="E84" s="695"/>
      <c r="F84" s="694"/>
      <c r="G84" s="694">
        <f>SUM(G85:G96)</f>
        <v>23340000</v>
      </c>
      <c r="H84" s="695"/>
      <c r="I84" s="695"/>
      <c r="J84" s="694"/>
      <c r="K84" s="694">
        <f>SUM(K85:K96)</f>
        <v>16340000</v>
      </c>
      <c r="L84" s="694">
        <f>SUM(L85:L96)</f>
        <v>-7000000</v>
      </c>
      <c r="M84" s="693"/>
      <c r="N84" s="686"/>
    </row>
    <row r="85" spans="1:14" ht="19" customHeight="1">
      <c r="A85" s="692" t="s">
        <v>15</v>
      </c>
      <c r="B85" s="691" t="s">
        <v>659</v>
      </c>
      <c r="C85" s="690" t="s">
        <v>177</v>
      </c>
      <c r="D85" s="689">
        <v>3</v>
      </c>
      <c r="E85" s="689">
        <v>1</v>
      </c>
      <c r="F85" s="688">
        <v>400000</v>
      </c>
      <c r="G85" s="688">
        <f t="shared" ref="G85:G96" si="10">D85*E85*F85</f>
        <v>1200000</v>
      </c>
      <c r="H85" s="689">
        <v>3</v>
      </c>
      <c r="I85" s="689">
        <v>1</v>
      </c>
      <c r="J85" s="688">
        <v>400000</v>
      </c>
      <c r="K85" s="688">
        <f t="shared" ref="K85:K96" si="11">H85*I85*J85</f>
        <v>1200000</v>
      </c>
      <c r="L85" s="688">
        <f t="shared" ref="L85:L96" si="12">K85-G85</f>
        <v>0</v>
      </c>
      <c r="M85" s="687" t="s">
        <v>379</v>
      </c>
      <c r="N85" s="686"/>
    </row>
    <row r="86" spans="1:14" ht="19" customHeight="1">
      <c r="A86" s="692" t="s">
        <v>15</v>
      </c>
      <c r="B86" s="691" t="s">
        <v>658</v>
      </c>
      <c r="C86" s="690" t="s">
        <v>657</v>
      </c>
      <c r="D86" s="689">
        <v>8</v>
      </c>
      <c r="E86" s="689">
        <v>1</v>
      </c>
      <c r="F86" s="688">
        <v>120000</v>
      </c>
      <c r="G86" s="688">
        <f t="shared" si="10"/>
        <v>960000</v>
      </c>
      <c r="H86" s="689">
        <v>8</v>
      </c>
      <c r="I86" s="689">
        <v>1</v>
      </c>
      <c r="J86" s="688">
        <v>120000</v>
      </c>
      <c r="K86" s="688">
        <f t="shared" si="11"/>
        <v>960000</v>
      </c>
      <c r="L86" s="688">
        <f t="shared" si="12"/>
        <v>0</v>
      </c>
      <c r="M86" s="687" t="s">
        <v>379</v>
      </c>
      <c r="N86" s="686"/>
    </row>
    <row r="87" spans="1:14" ht="19" customHeight="1">
      <c r="A87" s="692" t="s">
        <v>15</v>
      </c>
      <c r="B87" s="691" t="s">
        <v>656</v>
      </c>
      <c r="C87" s="690" t="s">
        <v>365</v>
      </c>
      <c r="D87" s="689">
        <v>10</v>
      </c>
      <c r="E87" s="689">
        <v>1</v>
      </c>
      <c r="F87" s="688">
        <v>120000</v>
      </c>
      <c r="G87" s="688">
        <f t="shared" si="10"/>
        <v>1200000</v>
      </c>
      <c r="H87" s="689">
        <v>10</v>
      </c>
      <c r="I87" s="689">
        <v>1</v>
      </c>
      <c r="J87" s="688">
        <v>120000</v>
      </c>
      <c r="K87" s="688">
        <f t="shared" si="11"/>
        <v>1200000</v>
      </c>
      <c r="L87" s="688">
        <f t="shared" si="12"/>
        <v>0</v>
      </c>
      <c r="M87" s="687" t="s">
        <v>379</v>
      </c>
      <c r="N87" s="686"/>
    </row>
    <row r="88" spans="1:14" ht="19" customHeight="1">
      <c r="A88" s="692" t="s">
        <v>15</v>
      </c>
      <c r="B88" s="691" t="s">
        <v>655</v>
      </c>
      <c r="C88" s="690" t="s">
        <v>365</v>
      </c>
      <c r="D88" s="689">
        <v>12</v>
      </c>
      <c r="E88" s="689">
        <v>1</v>
      </c>
      <c r="F88" s="688">
        <v>120000</v>
      </c>
      <c r="G88" s="688">
        <f t="shared" si="10"/>
        <v>1440000</v>
      </c>
      <c r="H88" s="689">
        <v>12</v>
      </c>
      <c r="I88" s="689">
        <v>1</v>
      </c>
      <c r="J88" s="688">
        <v>120000</v>
      </c>
      <c r="K88" s="688">
        <f t="shared" si="11"/>
        <v>1440000</v>
      </c>
      <c r="L88" s="688">
        <f t="shared" si="12"/>
        <v>0</v>
      </c>
      <c r="M88" s="687" t="s">
        <v>379</v>
      </c>
      <c r="N88" s="686"/>
    </row>
    <row r="89" spans="1:14" ht="19" customHeight="1">
      <c r="A89" s="692" t="s">
        <v>15</v>
      </c>
      <c r="B89" s="691" t="s">
        <v>654</v>
      </c>
      <c r="C89" s="690" t="s">
        <v>365</v>
      </c>
      <c r="D89" s="689">
        <v>14</v>
      </c>
      <c r="E89" s="689">
        <v>1</v>
      </c>
      <c r="F89" s="688">
        <v>120000</v>
      </c>
      <c r="G89" s="688">
        <f t="shared" si="10"/>
        <v>1680000</v>
      </c>
      <c r="H89" s="689">
        <v>14</v>
      </c>
      <c r="I89" s="689">
        <v>1</v>
      </c>
      <c r="J89" s="688">
        <v>120000</v>
      </c>
      <c r="K89" s="688">
        <f t="shared" si="11"/>
        <v>1680000</v>
      </c>
      <c r="L89" s="688">
        <f t="shared" si="12"/>
        <v>0</v>
      </c>
      <c r="M89" s="687" t="s">
        <v>379</v>
      </c>
      <c r="N89" s="686"/>
    </row>
    <row r="90" spans="1:14" ht="19" customHeight="1">
      <c r="A90" s="692" t="s">
        <v>15</v>
      </c>
      <c r="B90" s="691" t="s">
        <v>653</v>
      </c>
      <c r="C90" s="690" t="s">
        <v>365</v>
      </c>
      <c r="D90" s="689">
        <v>12</v>
      </c>
      <c r="E90" s="689">
        <v>1</v>
      </c>
      <c r="F90" s="688">
        <v>80000</v>
      </c>
      <c r="G90" s="688">
        <f t="shared" si="10"/>
        <v>960000</v>
      </c>
      <c r="H90" s="689">
        <v>12</v>
      </c>
      <c r="I90" s="689">
        <v>1</v>
      </c>
      <c r="J90" s="688">
        <v>80000</v>
      </c>
      <c r="K90" s="688">
        <f t="shared" si="11"/>
        <v>960000</v>
      </c>
      <c r="L90" s="688">
        <f t="shared" si="12"/>
        <v>0</v>
      </c>
      <c r="M90" s="687" t="s">
        <v>379</v>
      </c>
      <c r="N90" s="686"/>
    </row>
    <row r="91" spans="1:14" ht="19" customHeight="1">
      <c r="A91" s="692" t="s">
        <v>15</v>
      </c>
      <c r="B91" s="691" t="s">
        <v>652</v>
      </c>
      <c r="C91" s="690" t="s">
        <v>365</v>
      </c>
      <c r="D91" s="689">
        <v>25</v>
      </c>
      <c r="E91" s="689">
        <v>1</v>
      </c>
      <c r="F91" s="688">
        <v>100000</v>
      </c>
      <c r="G91" s="688">
        <f t="shared" si="10"/>
        <v>2500000</v>
      </c>
      <c r="H91" s="689">
        <v>25</v>
      </c>
      <c r="I91" s="689">
        <v>1</v>
      </c>
      <c r="J91" s="688">
        <v>100000</v>
      </c>
      <c r="K91" s="688">
        <f t="shared" si="11"/>
        <v>2500000</v>
      </c>
      <c r="L91" s="688">
        <f t="shared" si="12"/>
        <v>0</v>
      </c>
      <c r="M91" s="687" t="s">
        <v>379</v>
      </c>
      <c r="N91" s="686"/>
    </row>
    <row r="92" spans="1:14" ht="19" customHeight="1">
      <c r="A92" s="692" t="s">
        <v>15</v>
      </c>
      <c r="B92" s="691" t="s">
        <v>651</v>
      </c>
      <c r="C92" s="690" t="s">
        <v>365</v>
      </c>
      <c r="D92" s="689">
        <v>30</v>
      </c>
      <c r="E92" s="689">
        <v>1</v>
      </c>
      <c r="F92" s="688">
        <v>40000</v>
      </c>
      <c r="G92" s="688">
        <f t="shared" si="10"/>
        <v>1200000</v>
      </c>
      <c r="H92" s="689">
        <v>30</v>
      </c>
      <c r="I92" s="689">
        <v>1</v>
      </c>
      <c r="J92" s="688">
        <v>40000</v>
      </c>
      <c r="K92" s="688">
        <f t="shared" si="11"/>
        <v>1200000</v>
      </c>
      <c r="L92" s="688">
        <f t="shared" si="12"/>
        <v>0</v>
      </c>
      <c r="M92" s="687" t="s">
        <v>379</v>
      </c>
      <c r="N92" s="686"/>
    </row>
    <row r="93" spans="1:14" ht="19" customHeight="1">
      <c r="A93" s="692" t="s">
        <v>15</v>
      </c>
      <c r="B93" s="691" t="s">
        <v>650</v>
      </c>
      <c r="C93" s="690" t="s">
        <v>163</v>
      </c>
      <c r="D93" s="689">
        <v>25</v>
      </c>
      <c r="E93" s="689">
        <v>1</v>
      </c>
      <c r="F93" s="688">
        <v>50000</v>
      </c>
      <c r="G93" s="688">
        <f t="shared" si="10"/>
        <v>1250000</v>
      </c>
      <c r="H93" s="689">
        <v>25</v>
      </c>
      <c r="I93" s="689">
        <v>1</v>
      </c>
      <c r="J93" s="688">
        <v>50000</v>
      </c>
      <c r="K93" s="688">
        <f t="shared" si="11"/>
        <v>1250000</v>
      </c>
      <c r="L93" s="688">
        <f t="shared" si="12"/>
        <v>0</v>
      </c>
      <c r="M93" s="687" t="s">
        <v>379</v>
      </c>
      <c r="N93" s="686"/>
    </row>
    <row r="94" spans="1:14" ht="19" customHeight="1">
      <c r="A94" s="692" t="s">
        <v>15</v>
      </c>
      <c r="B94" s="691" t="s">
        <v>649</v>
      </c>
      <c r="C94" s="690" t="s">
        <v>648</v>
      </c>
      <c r="D94" s="689">
        <v>1</v>
      </c>
      <c r="E94" s="689">
        <v>1</v>
      </c>
      <c r="F94" s="688">
        <v>7000000</v>
      </c>
      <c r="G94" s="688">
        <f t="shared" si="10"/>
        <v>7000000</v>
      </c>
      <c r="H94" s="689">
        <v>0</v>
      </c>
      <c r="I94" s="689">
        <v>0</v>
      </c>
      <c r="J94" s="688">
        <v>0</v>
      </c>
      <c r="K94" s="688">
        <f t="shared" si="11"/>
        <v>0</v>
      </c>
      <c r="L94" s="688">
        <f t="shared" si="12"/>
        <v>-7000000</v>
      </c>
      <c r="M94" s="687" t="s">
        <v>647</v>
      </c>
      <c r="N94" s="686"/>
    </row>
    <row r="95" spans="1:14" ht="19" customHeight="1">
      <c r="A95" s="692" t="s">
        <v>15</v>
      </c>
      <c r="B95" s="691" t="s">
        <v>646</v>
      </c>
      <c r="C95" s="690" t="s">
        <v>644</v>
      </c>
      <c r="D95" s="689">
        <v>2</v>
      </c>
      <c r="E95" s="689">
        <v>1</v>
      </c>
      <c r="F95" s="688">
        <v>850000</v>
      </c>
      <c r="G95" s="688">
        <f t="shared" si="10"/>
        <v>1700000</v>
      </c>
      <c r="H95" s="689">
        <v>2</v>
      </c>
      <c r="I95" s="689">
        <v>1</v>
      </c>
      <c r="J95" s="688">
        <v>850000</v>
      </c>
      <c r="K95" s="688">
        <f t="shared" si="11"/>
        <v>1700000</v>
      </c>
      <c r="L95" s="688">
        <f t="shared" si="12"/>
        <v>0</v>
      </c>
      <c r="M95" s="687" t="s">
        <v>180</v>
      </c>
      <c r="N95" s="686"/>
    </row>
    <row r="96" spans="1:14" ht="19" customHeight="1">
      <c r="A96" s="692" t="s">
        <v>15</v>
      </c>
      <c r="B96" s="691" t="s">
        <v>645</v>
      </c>
      <c r="C96" s="690" t="s">
        <v>644</v>
      </c>
      <c r="D96" s="689">
        <v>3</v>
      </c>
      <c r="E96" s="689">
        <v>1</v>
      </c>
      <c r="F96" s="688">
        <v>750000</v>
      </c>
      <c r="G96" s="688">
        <f t="shared" si="10"/>
        <v>2250000</v>
      </c>
      <c r="H96" s="689">
        <v>3</v>
      </c>
      <c r="I96" s="689">
        <v>1</v>
      </c>
      <c r="J96" s="688">
        <v>750000</v>
      </c>
      <c r="K96" s="688">
        <f t="shared" si="11"/>
        <v>2250000</v>
      </c>
      <c r="L96" s="688">
        <f t="shared" si="12"/>
        <v>0</v>
      </c>
      <c r="M96" s="687" t="s">
        <v>180</v>
      </c>
      <c r="N96" s="686"/>
    </row>
    <row r="97" spans="1:14" ht="28.5" customHeight="1">
      <c r="A97" s="698" t="s">
        <v>643</v>
      </c>
      <c r="B97" s="697" t="s">
        <v>642</v>
      </c>
      <c r="C97" s="696" t="s">
        <v>641</v>
      </c>
      <c r="D97" s="695"/>
      <c r="E97" s="695"/>
      <c r="F97" s="694"/>
      <c r="G97" s="694">
        <f>SUM(G98:G105)</f>
        <v>18000000</v>
      </c>
      <c r="H97" s="695"/>
      <c r="I97" s="695"/>
      <c r="J97" s="694"/>
      <c r="K97" s="694">
        <f>SUM(K98:K105)</f>
        <v>13437000</v>
      </c>
      <c r="L97" s="694">
        <f>SUM(L98:L105)</f>
        <v>-4563000</v>
      </c>
      <c r="M97" s="687"/>
      <c r="N97" s="686"/>
    </row>
    <row r="98" spans="1:14" ht="30">
      <c r="A98" s="692" t="s">
        <v>15</v>
      </c>
      <c r="B98" s="699" t="s">
        <v>640</v>
      </c>
      <c r="C98" s="690" t="s">
        <v>163</v>
      </c>
      <c r="D98" s="689">
        <v>1</v>
      </c>
      <c r="E98" s="689">
        <v>1</v>
      </c>
      <c r="F98" s="688">
        <v>2340000</v>
      </c>
      <c r="G98" s="688">
        <f t="shared" ref="G98:G104" si="13">D98*E98*F98</f>
        <v>2340000</v>
      </c>
      <c r="H98" s="689">
        <v>1</v>
      </c>
      <c r="I98" s="689">
        <v>1</v>
      </c>
      <c r="J98" s="688">
        <v>2340000</v>
      </c>
      <c r="K98" s="688">
        <f t="shared" ref="K98:K104" si="14">H98*I98*J98</f>
        <v>2340000</v>
      </c>
      <c r="L98" s="688">
        <f t="shared" ref="L98:L105" si="15">K98-G98</f>
        <v>0</v>
      </c>
      <c r="M98" s="687" t="s">
        <v>639</v>
      </c>
      <c r="N98" s="686"/>
    </row>
    <row r="99" spans="1:14" ht="48.65" customHeight="1">
      <c r="A99" s="692" t="s">
        <v>15</v>
      </c>
      <c r="B99" s="699" t="s">
        <v>638</v>
      </c>
      <c r="C99" s="690" t="s">
        <v>163</v>
      </c>
      <c r="D99" s="689">
        <v>1</v>
      </c>
      <c r="E99" s="689">
        <v>1</v>
      </c>
      <c r="F99" s="688">
        <f>F98*80%</f>
        <v>1872000</v>
      </c>
      <c r="G99" s="688">
        <f t="shared" si="13"/>
        <v>1872000</v>
      </c>
      <c r="H99" s="689">
        <v>1</v>
      </c>
      <c r="I99" s="689">
        <v>1</v>
      </c>
      <c r="J99" s="688">
        <f>J98*80%</f>
        <v>1872000</v>
      </c>
      <c r="K99" s="688">
        <f t="shared" si="14"/>
        <v>1872000</v>
      </c>
      <c r="L99" s="688">
        <f t="shared" si="15"/>
        <v>0</v>
      </c>
      <c r="M99" s="687" t="s">
        <v>630</v>
      </c>
      <c r="N99" s="686"/>
    </row>
    <row r="100" spans="1:14" ht="48.65" customHeight="1">
      <c r="A100" s="692" t="s">
        <v>15</v>
      </c>
      <c r="B100" s="699" t="s">
        <v>637</v>
      </c>
      <c r="C100" s="690" t="s">
        <v>163</v>
      </c>
      <c r="D100" s="689">
        <v>1</v>
      </c>
      <c r="E100" s="689">
        <v>1</v>
      </c>
      <c r="F100" s="688">
        <f>F98*90%</f>
        <v>2106000</v>
      </c>
      <c r="G100" s="688">
        <f t="shared" si="13"/>
        <v>2106000</v>
      </c>
      <c r="H100" s="689">
        <v>1</v>
      </c>
      <c r="I100" s="689">
        <v>1</v>
      </c>
      <c r="J100" s="688">
        <f>J98*90%</f>
        <v>2106000</v>
      </c>
      <c r="K100" s="688">
        <f t="shared" si="14"/>
        <v>2106000</v>
      </c>
      <c r="L100" s="688">
        <f t="shared" si="15"/>
        <v>0</v>
      </c>
      <c r="M100" s="687" t="s">
        <v>630</v>
      </c>
      <c r="N100" s="686"/>
    </row>
    <row r="101" spans="1:14" ht="49" customHeight="1">
      <c r="A101" s="692" t="s">
        <v>15</v>
      </c>
      <c r="B101" s="699" t="s">
        <v>636</v>
      </c>
      <c r="C101" s="690" t="s">
        <v>163</v>
      </c>
      <c r="D101" s="689">
        <v>2</v>
      </c>
      <c r="E101" s="689">
        <v>1</v>
      </c>
      <c r="F101" s="688">
        <f>F98*90%</f>
        <v>2106000</v>
      </c>
      <c r="G101" s="688">
        <f t="shared" si="13"/>
        <v>4212000</v>
      </c>
      <c r="H101" s="689">
        <v>1</v>
      </c>
      <c r="I101" s="689">
        <v>1</v>
      </c>
      <c r="J101" s="688">
        <f>J98*90%</f>
        <v>2106000</v>
      </c>
      <c r="K101" s="688">
        <f t="shared" si="14"/>
        <v>2106000</v>
      </c>
      <c r="L101" s="688">
        <f t="shared" si="15"/>
        <v>-2106000</v>
      </c>
      <c r="M101" s="687" t="s">
        <v>634</v>
      </c>
      <c r="N101" s="686"/>
    </row>
    <row r="102" spans="1:14" ht="50.15" customHeight="1">
      <c r="A102" s="692" t="s">
        <v>15</v>
      </c>
      <c r="B102" s="699" t="s">
        <v>635</v>
      </c>
      <c r="C102" s="690" t="s">
        <v>163</v>
      </c>
      <c r="D102" s="689">
        <v>2</v>
      </c>
      <c r="E102" s="689">
        <v>1</v>
      </c>
      <c r="F102" s="688">
        <f>F98*80%</f>
        <v>1872000</v>
      </c>
      <c r="G102" s="688">
        <f t="shared" si="13"/>
        <v>3744000</v>
      </c>
      <c r="H102" s="689">
        <v>1</v>
      </c>
      <c r="I102" s="689">
        <v>1</v>
      </c>
      <c r="J102" s="688">
        <f>J98*80%</f>
        <v>1872000</v>
      </c>
      <c r="K102" s="688">
        <f t="shared" si="14"/>
        <v>1872000</v>
      </c>
      <c r="L102" s="688">
        <f t="shared" si="15"/>
        <v>-1872000</v>
      </c>
      <c r="M102" s="687" t="s">
        <v>634</v>
      </c>
      <c r="N102" s="686"/>
    </row>
    <row r="103" spans="1:14" ht="51" customHeight="1">
      <c r="A103" s="692" t="s">
        <v>15</v>
      </c>
      <c r="B103" s="699" t="s">
        <v>633</v>
      </c>
      <c r="C103" s="690" t="s">
        <v>163</v>
      </c>
      <c r="D103" s="689">
        <v>2</v>
      </c>
      <c r="E103" s="689">
        <v>1</v>
      </c>
      <c r="F103" s="688">
        <f>F98*25%</f>
        <v>585000</v>
      </c>
      <c r="G103" s="688">
        <f t="shared" si="13"/>
        <v>1170000</v>
      </c>
      <c r="H103" s="689">
        <v>1</v>
      </c>
      <c r="I103" s="689">
        <v>1</v>
      </c>
      <c r="J103" s="688">
        <f>J98*25%</f>
        <v>585000</v>
      </c>
      <c r="K103" s="688">
        <f t="shared" si="14"/>
        <v>585000</v>
      </c>
      <c r="L103" s="688">
        <f t="shared" si="15"/>
        <v>-585000</v>
      </c>
      <c r="M103" s="687" t="s">
        <v>632</v>
      </c>
      <c r="N103" s="686"/>
    </row>
    <row r="104" spans="1:14" ht="48.65" customHeight="1">
      <c r="A104" s="692" t="s">
        <v>15</v>
      </c>
      <c r="B104" s="699" t="s">
        <v>631</v>
      </c>
      <c r="C104" s="690" t="s">
        <v>163</v>
      </c>
      <c r="D104" s="689">
        <v>1</v>
      </c>
      <c r="E104" s="689">
        <v>1</v>
      </c>
      <c r="F104" s="688">
        <f>F98*30%</f>
        <v>702000</v>
      </c>
      <c r="G104" s="688">
        <f t="shared" si="13"/>
        <v>702000</v>
      </c>
      <c r="H104" s="689">
        <v>1</v>
      </c>
      <c r="I104" s="689">
        <v>1</v>
      </c>
      <c r="J104" s="688">
        <f>J98*30%</f>
        <v>702000</v>
      </c>
      <c r="K104" s="688">
        <f t="shared" si="14"/>
        <v>702000</v>
      </c>
      <c r="L104" s="688">
        <f t="shared" si="15"/>
        <v>0</v>
      </c>
      <c r="M104" s="687" t="s">
        <v>630</v>
      </c>
      <c r="N104" s="686"/>
    </row>
    <row r="105" spans="1:14" ht="49" customHeight="1">
      <c r="A105" s="692" t="s">
        <v>15</v>
      </c>
      <c r="B105" s="699" t="s">
        <v>629</v>
      </c>
      <c r="C105" s="690" t="s">
        <v>163</v>
      </c>
      <c r="D105" s="689">
        <v>8</v>
      </c>
      <c r="E105" s="689">
        <v>1</v>
      </c>
      <c r="F105" s="688">
        <v>232000</v>
      </c>
      <c r="G105" s="688">
        <f>D105*E105*F105-2000</f>
        <v>1854000</v>
      </c>
      <c r="H105" s="689">
        <v>8</v>
      </c>
      <c r="I105" s="689">
        <v>1</v>
      </c>
      <c r="J105" s="688">
        <v>232000</v>
      </c>
      <c r="K105" s="688">
        <f>H105*I105*J105-2000</f>
        <v>1854000</v>
      </c>
      <c r="L105" s="688">
        <f t="shared" si="15"/>
        <v>0</v>
      </c>
      <c r="M105" s="687" t="s">
        <v>628</v>
      </c>
      <c r="N105" s="686"/>
    </row>
    <row r="106" spans="1:14" ht="31" customHeight="1">
      <c r="A106" s="698" t="s">
        <v>178</v>
      </c>
      <c r="B106" s="697" t="s">
        <v>627</v>
      </c>
      <c r="C106" s="696" t="s">
        <v>626</v>
      </c>
      <c r="D106" s="695"/>
      <c r="E106" s="695"/>
      <c r="F106" s="694"/>
      <c r="G106" s="694">
        <f>SUM(G107:G112)</f>
        <v>7200000</v>
      </c>
      <c r="H106" s="695"/>
      <c r="I106" s="695"/>
      <c r="J106" s="694"/>
      <c r="K106" s="694">
        <f>SUM(K107:K112)</f>
        <v>7200000</v>
      </c>
      <c r="L106" s="694">
        <f>SUM(L107:L112)</f>
        <v>0</v>
      </c>
      <c r="M106" s="687"/>
      <c r="N106" s="686"/>
    </row>
    <row r="107" spans="1:14" ht="30">
      <c r="A107" s="692" t="s">
        <v>15</v>
      </c>
      <c r="B107" s="699" t="s">
        <v>625</v>
      </c>
      <c r="C107" s="690" t="s">
        <v>163</v>
      </c>
      <c r="D107" s="689">
        <v>1</v>
      </c>
      <c r="E107" s="689">
        <v>1</v>
      </c>
      <c r="F107" s="688">
        <v>2340000</v>
      </c>
      <c r="G107" s="688">
        <f t="shared" ref="G107:G112" si="16">D107*E107*F107</f>
        <v>2340000</v>
      </c>
      <c r="H107" s="689">
        <v>1</v>
      </c>
      <c r="I107" s="689">
        <v>1</v>
      </c>
      <c r="J107" s="688">
        <v>2340000</v>
      </c>
      <c r="K107" s="688">
        <f t="shared" ref="K107:K112" si="17">H107*I107*J107</f>
        <v>2340000</v>
      </c>
      <c r="L107" s="688">
        <f t="shared" ref="L107:L112" si="18">K107-G107</f>
        <v>0</v>
      </c>
      <c r="M107" s="687" t="s">
        <v>618</v>
      </c>
      <c r="N107" s="686"/>
    </row>
    <row r="108" spans="1:14" ht="45">
      <c r="A108" s="692" t="s">
        <v>15</v>
      </c>
      <c r="B108" s="699" t="s">
        <v>624</v>
      </c>
      <c r="C108" s="690" t="s">
        <v>163</v>
      </c>
      <c r="D108" s="689">
        <v>1</v>
      </c>
      <c r="E108" s="689">
        <v>1</v>
      </c>
      <c r="F108" s="688">
        <v>936000</v>
      </c>
      <c r="G108" s="688">
        <f t="shared" si="16"/>
        <v>936000</v>
      </c>
      <c r="H108" s="689">
        <v>1</v>
      </c>
      <c r="I108" s="689">
        <v>1</v>
      </c>
      <c r="J108" s="688">
        <v>936000</v>
      </c>
      <c r="K108" s="688">
        <f t="shared" si="17"/>
        <v>936000</v>
      </c>
      <c r="L108" s="688">
        <f t="shared" si="18"/>
        <v>0</v>
      </c>
      <c r="M108" s="687" t="s">
        <v>623</v>
      </c>
      <c r="N108" s="686"/>
    </row>
    <row r="109" spans="1:14" ht="30">
      <c r="A109" s="692" t="s">
        <v>15</v>
      </c>
      <c r="B109" s="699" t="s">
        <v>622</v>
      </c>
      <c r="C109" s="690" t="s">
        <v>163</v>
      </c>
      <c r="D109" s="689">
        <v>1</v>
      </c>
      <c r="E109" s="689">
        <v>1</v>
      </c>
      <c r="F109" s="688">
        <v>2340000</v>
      </c>
      <c r="G109" s="688">
        <f t="shared" si="16"/>
        <v>2340000</v>
      </c>
      <c r="H109" s="689">
        <v>1</v>
      </c>
      <c r="I109" s="689">
        <v>1</v>
      </c>
      <c r="J109" s="688">
        <v>2340000</v>
      </c>
      <c r="K109" s="688">
        <f t="shared" si="17"/>
        <v>2340000</v>
      </c>
      <c r="L109" s="688">
        <f t="shared" si="18"/>
        <v>0</v>
      </c>
      <c r="M109" s="687" t="s">
        <v>618</v>
      </c>
      <c r="N109" s="686"/>
    </row>
    <row r="110" spans="1:14" ht="45">
      <c r="A110" s="692" t="s">
        <v>15</v>
      </c>
      <c r="B110" s="699" t="s">
        <v>621</v>
      </c>
      <c r="C110" s="690" t="s">
        <v>163</v>
      </c>
      <c r="D110" s="689">
        <v>1</v>
      </c>
      <c r="E110" s="689">
        <v>1</v>
      </c>
      <c r="F110" s="688">
        <v>702000</v>
      </c>
      <c r="G110" s="688">
        <f t="shared" si="16"/>
        <v>702000</v>
      </c>
      <c r="H110" s="689">
        <v>1</v>
      </c>
      <c r="I110" s="689">
        <v>1</v>
      </c>
      <c r="J110" s="688">
        <v>702000</v>
      </c>
      <c r="K110" s="688">
        <f t="shared" si="17"/>
        <v>702000</v>
      </c>
      <c r="L110" s="688">
        <f t="shared" si="18"/>
        <v>0</v>
      </c>
      <c r="M110" s="687" t="s">
        <v>620</v>
      </c>
      <c r="N110" s="686"/>
    </row>
    <row r="111" spans="1:14" ht="30">
      <c r="A111" s="692" t="s">
        <v>15</v>
      </c>
      <c r="B111" s="699" t="s">
        <v>619</v>
      </c>
      <c r="C111" s="690" t="s">
        <v>163</v>
      </c>
      <c r="D111" s="689">
        <v>1</v>
      </c>
      <c r="E111" s="689">
        <v>1</v>
      </c>
      <c r="F111" s="688">
        <v>700000</v>
      </c>
      <c r="G111" s="688">
        <f t="shared" si="16"/>
        <v>700000</v>
      </c>
      <c r="H111" s="689">
        <v>1</v>
      </c>
      <c r="I111" s="689">
        <v>1</v>
      </c>
      <c r="J111" s="688">
        <v>700000</v>
      </c>
      <c r="K111" s="688">
        <f t="shared" si="17"/>
        <v>700000</v>
      </c>
      <c r="L111" s="688">
        <f t="shared" si="18"/>
        <v>0</v>
      </c>
      <c r="M111" s="687" t="s">
        <v>618</v>
      </c>
      <c r="N111" s="686"/>
    </row>
    <row r="112" spans="1:14" ht="45">
      <c r="A112" s="692" t="s">
        <v>15</v>
      </c>
      <c r="B112" s="699" t="s">
        <v>617</v>
      </c>
      <c r="C112" s="690" t="s">
        <v>163</v>
      </c>
      <c r="D112" s="689">
        <v>1</v>
      </c>
      <c r="E112" s="689">
        <v>1</v>
      </c>
      <c r="F112" s="688">
        <v>182000</v>
      </c>
      <c r="G112" s="688">
        <f t="shared" si="16"/>
        <v>182000</v>
      </c>
      <c r="H112" s="689">
        <v>1</v>
      </c>
      <c r="I112" s="689">
        <v>1</v>
      </c>
      <c r="J112" s="688">
        <v>182000</v>
      </c>
      <c r="K112" s="688">
        <f t="shared" si="17"/>
        <v>182000</v>
      </c>
      <c r="L112" s="688">
        <f t="shared" si="18"/>
        <v>0</v>
      </c>
      <c r="M112" s="687" t="s">
        <v>616</v>
      </c>
      <c r="N112" s="686"/>
    </row>
    <row r="113" spans="1:14" ht="28" customHeight="1">
      <c r="A113" s="698" t="s">
        <v>378</v>
      </c>
      <c r="B113" s="697" t="s">
        <v>615</v>
      </c>
      <c r="C113" s="696"/>
      <c r="D113" s="695"/>
      <c r="E113" s="695"/>
      <c r="F113" s="694"/>
      <c r="G113" s="694">
        <f>SUM(G114:G122)</f>
        <v>62000000</v>
      </c>
      <c r="H113" s="695"/>
      <c r="I113" s="695"/>
      <c r="J113" s="694"/>
      <c r="K113" s="694">
        <f>SUM(K114:K122)</f>
        <v>59500000</v>
      </c>
      <c r="L113" s="694">
        <f>SUM(L114:L122)</f>
        <v>-2500000</v>
      </c>
      <c r="M113" s="693"/>
      <c r="N113" s="686"/>
    </row>
    <row r="114" spans="1:14" ht="36" customHeight="1">
      <c r="A114" s="692" t="s">
        <v>15</v>
      </c>
      <c r="B114" s="691" t="s">
        <v>614</v>
      </c>
      <c r="C114" s="690" t="s">
        <v>163</v>
      </c>
      <c r="D114" s="689">
        <v>250</v>
      </c>
      <c r="E114" s="689">
        <v>1</v>
      </c>
      <c r="F114" s="688">
        <v>150000</v>
      </c>
      <c r="G114" s="688">
        <f t="shared" ref="G114:G122" si="19">D114*E114*F114</f>
        <v>37500000</v>
      </c>
      <c r="H114" s="689">
        <v>250</v>
      </c>
      <c r="I114" s="689">
        <v>1</v>
      </c>
      <c r="J114" s="688">
        <v>150000</v>
      </c>
      <c r="K114" s="688">
        <f t="shared" ref="K114:K122" si="20">H114*I114*J114</f>
        <v>37500000</v>
      </c>
      <c r="L114" s="688">
        <f t="shared" ref="L114:L125" si="21">K114-G114</f>
        <v>0</v>
      </c>
      <c r="M114" s="687" t="s">
        <v>613</v>
      </c>
      <c r="N114" s="686"/>
    </row>
    <row r="115" spans="1:14" ht="21" customHeight="1">
      <c r="A115" s="692" t="s">
        <v>15</v>
      </c>
      <c r="B115" s="691" t="s">
        <v>612</v>
      </c>
      <c r="C115" s="690" t="s">
        <v>611</v>
      </c>
      <c r="D115" s="689">
        <v>3</v>
      </c>
      <c r="E115" s="689">
        <v>1</v>
      </c>
      <c r="F115" s="688">
        <v>300000</v>
      </c>
      <c r="G115" s="688">
        <f t="shared" si="19"/>
        <v>900000</v>
      </c>
      <c r="H115" s="689">
        <v>3</v>
      </c>
      <c r="I115" s="689">
        <v>1</v>
      </c>
      <c r="J115" s="688">
        <v>300000</v>
      </c>
      <c r="K115" s="688">
        <f t="shared" si="20"/>
        <v>900000</v>
      </c>
      <c r="L115" s="688">
        <f t="shared" si="21"/>
        <v>0</v>
      </c>
      <c r="M115" s="687" t="s">
        <v>610</v>
      </c>
      <c r="N115" s="686"/>
    </row>
    <row r="116" spans="1:14" ht="24.65" customHeight="1">
      <c r="A116" s="692" t="s">
        <v>15</v>
      </c>
      <c r="B116" s="691" t="s">
        <v>609</v>
      </c>
      <c r="C116" s="690" t="s">
        <v>164</v>
      </c>
      <c r="D116" s="689">
        <v>210</v>
      </c>
      <c r="E116" s="689">
        <v>1</v>
      </c>
      <c r="F116" s="688">
        <v>10000</v>
      </c>
      <c r="G116" s="688">
        <f t="shared" si="19"/>
        <v>2100000</v>
      </c>
      <c r="H116" s="689">
        <v>210</v>
      </c>
      <c r="I116" s="689">
        <v>1</v>
      </c>
      <c r="J116" s="688">
        <v>10000</v>
      </c>
      <c r="K116" s="688">
        <f t="shared" si="20"/>
        <v>2100000</v>
      </c>
      <c r="L116" s="688">
        <f t="shared" si="21"/>
        <v>0</v>
      </c>
      <c r="M116" s="687" t="s">
        <v>379</v>
      </c>
      <c r="N116" s="686"/>
    </row>
    <row r="117" spans="1:14" ht="26.15" customHeight="1">
      <c r="A117" s="692" t="s">
        <v>15</v>
      </c>
      <c r="B117" s="691" t="s">
        <v>608</v>
      </c>
      <c r="C117" s="690" t="s">
        <v>607</v>
      </c>
      <c r="D117" s="689">
        <v>20</v>
      </c>
      <c r="E117" s="689">
        <v>1</v>
      </c>
      <c r="F117" s="688">
        <v>500000</v>
      </c>
      <c r="G117" s="688">
        <f t="shared" si="19"/>
        <v>10000000</v>
      </c>
      <c r="H117" s="689">
        <v>20</v>
      </c>
      <c r="I117" s="689">
        <v>1</v>
      </c>
      <c r="J117" s="688">
        <v>500000</v>
      </c>
      <c r="K117" s="688">
        <f t="shared" si="20"/>
        <v>10000000</v>
      </c>
      <c r="L117" s="688">
        <f t="shared" si="21"/>
        <v>0</v>
      </c>
      <c r="M117" s="687" t="s">
        <v>180</v>
      </c>
      <c r="N117" s="686"/>
    </row>
    <row r="118" spans="1:14" ht="30">
      <c r="A118" s="692" t="s">
        <v>15</v>
      </c>
      <c r="B118" s="691" t="s">
        <v>606</v>
      </c>
      <c r="C118" s="690" t="s">
        <v>605</v>
      </c>
      <c r="D118" s="689">
        <v>250</v>
      </c>
      <c r="E118" s="689">
        <v>1</v>
      </c>
      <c r="F118" s="688">
        <v>30000</v>
      </c>
      <c r="G118" s="688">
        <f t="shared" si="19"/>
        <v>7500000</v>
      </c>
      <c r="H118" s="689">
        <v>250</v>
      </c>
      <c r="I118" s="689">
        <v>1</v>
      </c>
      <c r="J118" s="688">
        <v>20000</v>
      </c>
      <c r="K118" s="688">
        <f t="shared" si="20"/>
        <v>5000000</v>
      </c>
      <c r="L118" s="688">
        <f t="shared" si="21"/>
        <v>-2500000</v>
      </c>
      <c r="M118" s="687" t="s">
        <v>179</v>
      </c>
      <c r="N118" s="686"/>
    </row>
    <row r="119" spans="1:14">
      <c r="A119" s="692" t="s">
        <v>15</v>
      </c>
      <c r="B119" s="691" t="s">
        <v>604</v>
      </c>
      <c r="C119" s="690" t="s">
        <v>601</v>
      </c>
      <c r="D119" s="689">
        <v>1</v>
      </c>
      <c r="E119" s="689">
        <v>1</v>
      </c>
      <c r="F119" s="688">
        <v>1000000</v>
      </c>
      <c r="G119" s="688">
        <f t="shared" si="19"/>
        <v>1000000</v>
      </c>
      <c r="H119" s="689">
        <v>1</v>
      </c>
      <c r="I119" s="689">
        <v>1</v>
      </c>
      <c r="J119" s="688">
        <v>1000000</v>
      </c>
      <c r="K119" s="688">
        <f t="shared" si="20"/>
        <v>1000000</v>
      </c>
      <c r="L119" s="688">
        <f t="shared" si="21"/>
        <v>0</v>
      </c>
      <c r="M119" s="687" t="s">
        <v>180</v>
      </c>
      <c r="N119" s="686"/>
    </row>
    <row r="120" spans="1:14">
      <c r="A120" s="692" t="s">
        <v>15</v>
      </c>
      <c r="B120" s="691" t="s">
        <v>603</v>
      </c>
      <c r="C120" s="690" t="s">
        <v>599</v>
      </c>
      <c r="D120" s="689">
        <v>1</v>
      </c>
      <c r="E120" s="689">
        <v>1</v>
      </c>
      <c r="F120" s="688">
        <v>1000000</v>
      </c>
      <c r="G120" s="688">
        <f t="shared" si="19"/>
        <v>1000000</v>
      </c>
      <c r="H120" s="689">
        <v>1</v>
      </c>
      <c r="I120" s="689">
        <v>1</v>
      </c>
      <c r="J120" s="688">
        <v>1000000</v>
      </c>
      <c r="K120" s="688">
        <f t="shared" si="20"/>
        <v>1000000</v>
      </c>
      <c r="L120" s="688">
        <f t="shared" si="21"/>
        <v>0</v>
      </c>
      <c r="M120" s="687" t="s">
        <v>180</v>
      </c>
      <c r="N120" s="686"/>
    </row>
    <row r="121" spans="1:14">
      <c r="A121" s="692" t="s">
        <v>15</v>
      </c>
      <c r="B121" s="691" t="s">
        <v>602</v>
      </c>
      <c r="C121" s="690" t="s">
        <v>601</v>
      </c>
      <c r="D121" s="689">
        <v>1</v>
      </c>
      <c r="E121" s="689">
        <v>1</v>
      </c>
      <c r="F121" s="688">
        <v>1000000</v>
      </c>
      <c r="G121" s="688">
        <f t="shared" si="19"/>
        <v>1000000</v>
      </c>
      <c r="H121" s="689">
        <v>1</v>
      </c>
      <c r="I121" s="689">
        <v>1</v>
      </c>
      <c r="J121" s="688">
        <v>1000000</v>
      </c>
      <c r="K121" s="688">
        <f t="shared" si="20"/>
        <v>1000000</v>
      </c>
      <c r="L121" s="688">
        <f t="shared" si="21"/>
        <v>0</v>
      </c>
      <c r="M121" s="687" t="s">
        <v>180</v>
      </c>
      <c r="N121" s="686"/>
    </row>
    <row r="122" spans="1:14">
      <c r="A122" s="692" t="s">
        <v>15</v>
      </c>
      <c r="B122" s="691" t="s">
        <v>600</v>
      </c>
      <c r="C122" s="690" t="s">
        <v>599</v>
      </c>
      <c r="D122" s="689">
        <v>1</v>
      </c>
      <c r="E122" s="689">
        <v>1</v>
      </c>
      <c r="F122" s="688">
        <v>1000000</v>
      </c>
      <c r="G122" s="688">
        <f t="shared" si="19"/>
        <v>1000000</v>
      </c>
      <c r="H122" s="689">
        <v>1</v>
      </c>
      <c r="I122" s="689">
        <v>1</v>
      </c>
      <c r="J122" s="688">
        <v>1000000</v>
      </c>
      <c r="K122" s="688">
        <f t="shared" si="20"/>
        <v>1000000</v>
      </c>
      <c r="L122" s="688">
        <f t="shared" si="21"/>
        <v>0</v>
      </c>
      <c r="M122" s="687" t="s">
        <v>180</v>
      </c>
      <c r="N122" s="686"/>
    </row>
    <row r="123" spans="1:14" ht="30" customHeight="1">
      <c r="A123" s="698" t="s">
        <v>48</v>
      </c>
      <c r="B123" s="697" t="s">
        <v>598</v>
      </c>
      <c r="C123" s="696"/>
      <c r="D123" s="695"/>
      <c r="E123" s="695"/>
      <c r="F123" s="694"/>
      <c r="G123" s="694">
        <f>G124</f>
        <v>40000000</v>
      </c>
      <c r="H123" s="695"/>
      <c r="I123" s="695"/>
      <c r="J123" s="694"/>
      <c r="K123" s="694">
        <f>K124</f>
        <v>25000000</v>
      </c>
      <c r="L123" s="694">
        <f t="shared" si="21"/>
        <v>-15000000</v>
      </c>
      <c r="M123" s="693"/>
      <c r="N123" s="686"/>
    </row>
    <row r="124" spans="1:14" ht="23.5" customHeight="1">
      <c r="A124" s="698">
        <v>1</v>
      </c>
      <c r="B124" s="697" t="s">
        <v>597</v>
      </c>
      <c r="C124" s="696"/>
      <c r="D124" s="695"/>
      <c r="E124" s="695"/>
      <c r="F124" s="694"/>
      <c r="G124" s="694">
        <f>G125+G126+G135</f>
        <v>40000000</v>
      </c>
      <c r="H124" s="695"/>
      <c r="I124" s="695"/>
      <c r="J124" s="694"/>
      <c r="K124" s="694">
        <f>K125+K126+K135</f>
        <v>25000000</v>
      </c>
      <c r="L124" s="694">
        <f t="shared" si="21"/>
        <v>-15000000</v>
      </c>
      <c r="M124" s="693"/>
      <c r="N124" s="686"/>
    </row>
    <row r="125" spans="1:14" ht="19" customHeight="1">
      <c r="A125" s="698" t="s">
        <v>168</v>
      </c>
      <c r="B125" s="697" t="s">
        <v>596</v>
      </c>
      <c r="C125" s="696"/>
      <c r="D125" s="695"/>
      <c r="E125" s="695"/>
      <c r="F125" s="694"/>
      <c r="G125" s="694">
        <v>24000000</v>
      </c>
      <c r="H125" s="695"/>
      <c r="I125" s="695"/>
      <c r="J125" s="694"/>
      <c r="K125" s="694">
        <v>20000000</v>
      </c>
      <c r="L125" s="694">
        <f t="shared" si="21"/>
        <v>-4000000</v>
      </c>
      <c r="M125" s="687" t="s">
        <v>181</v>
      </c>
      <c r="N125" s="686"/>
    </row>
    <row r="126" spans="1:14" ht="19" customHeight="1">
      <c r="A126" s="698" t="s">
        <v>167</v>
      </c>
      <c r="B126" s="697" t="s">
        <v>595</v>
      </c>
      <c r="C126" s="696"/>
      <c r="D126" s="695"/>
      <c r="E126" s="695"/>
      <c r="F126" s="694"/>
      <c r="G126" s="694">
        <f>SUM(G127:G134)</f>
        <v>3000000</v>
      </c>
      <c r="H126" s="695"/>
      <c r="I126" s="695"/>
      <c r="J126" s="694"/>
      <c r="K126" s="694">
        <f>SUM(K127:K134)</f>
        <v>0</v>
      </c>
      <c r="L126" s="694">
        <f>SUM(L127:L134)</f>
        <v>-3000000</v>
      </c>
      <c r="M126" s="687"/>
      <c r="N126" s="686"/>
    </row>
    <row r="127" spans="1:14" ht="19" customHeight="1">
      <c r="A127" s="692" t="s">
        <v>15</v>
      </c>
      <c r="B127" s="691" t="s">
        <v>594</v>
      </c>
      <c r="C127" s="690" t="s">
        <v>175</v>
      </c>
      <c r="D127" s="689">
        <v>4</v>
      </c>
      <c r="E127" s="689">
        <v>1</v>
      </c>
      <c r="F127" s="688">
        <v>300000</v>
      </c>
      <c r="G127" s="688">
        <f t="shared" ref="G127:G134" si="22">D127*E127*F127</f>
        <v>1200000</v>
      </c>
      <c r="H127" s="689">
        <v>0</v>
      </c>
      <c r="I127" s="689">
        <v>0</v>
      </c>
      <c r="J127" s="688">
        <v>0</v>
      </c>
      <c r="K127" s="688">
        <f t="shared" ref="K127:K134" si="23">H127*I127*J127</f>
        <v>0</v>
      </c>
      <c r="L127" s="688">
        <f t="shared" ref="L127:L134" si="24">K127-G127</f>
        <v>-1200000</v>
      </c>
      <c r="M127" s="883" t="s">
        <v>593</v>
      </c>
      <c r="N127" s="686"/>
    </row>
    <row r="128" spans="1:14" ht="19" customHeight="1">
      <c r="A128" s="692" t="s">
        <v>15</v>
      </c>
      <c r="B128" s="691" t="s">
        <v>592</v>
      </c>
      <c r="C128" s="690" t="s">
        <v>591</v>
      </c>
      <c r="D128" s="689">
        <v>10</v>
      </c>
      <c r="E128" s="689">
        <v>1</v>
      </c>
      <c r="F128" s="688">
        <v>70000</v>
      </c>
      <c r="G128" s="688">
        <f t="shared" si="22"/>
        <v>700000</v>
      </c>
      <c r="H128" s="689">
        <v>0</v>
      </c>
      <c r="I128" s="689">
        <v>0</v>
      </c>
      <c r="J128" s="688">
        <v>0</v>
      </c>
      <c r="K128" s="688">
        <f t="shared" si="23"/>
        <v>0</v>
      </c>
      <c r="L128" s="688">
        <f t="shared" si="24"/>
        <v>-700000</v>
      </c>
      <c r="M128" s="883"/>
      <c r="N128" s="686"/>
    </row>
    <row r="129" spans="1:14" ht="19" customHeight="1">
      <c r="A129" s="692" t="s">
        <v>15</v>
      </c>
      <c r="B129" s="691" t="s">
        <v>590</v>
      </c>
      <c r="C129" s="690" t="s">
        <v>585</v>
      </c>
      <c r="D129" s="689">
        <v>4</v>
      </c>
      <c r="E129" s="689">
        <v>1</v>
      </c>
      <c r="F129" s="688">
        <v>75000</v>
      </c>
      <c r="G129" s="688">
        <f t="shared" si="22"/>
        <v>300000</v>
      </c>
      <c r="H129" s="689">
        <v>0</v>
      </c>
      <c r="I129" s="689">
        <v>0</v>
      </c>
      <c r="J129" s="688">
        <v>0</v>
      </c>
      <c r="K129" s="688">
        <f t="shared" si="23"/>
        <v>0</v>
      </c>
      <c r="L129" s="688">
        <f t="shared" si="24"/>
        <v>-300000</v>
      </c>
      <c r="M129" s="883"/>
      <c r="N129" s="686"/>
    </row>
    <row r="130" spans="1:14" ht="19" customHeight="1">
      <c r="A130" s="692" t="s">
        <v>15</v>
      </c>
      <c r="B130" s="691" t="s">
        <v>589</v>
      </c>
      <c r="C130" s="690" t="s">
        <v>585</v>
      </c>
      <c r="D130" s="689">
        <v>6</v>
      </c>
      <c r="E130" s="689">
        <v>1</v>
      </c>
      <c r="F130" s="688">
        <v>40000</v>
      </c>
      <c r="G130" s="688">
        <f t="shared" si="22"/>
        <v>240000</v>
      </c>
      <c r="H130" s="689">
        <v>0</v>
      </c>
      <c r="I130" s="689">
        <v>0</v>
      </c>
      <c r="J130" s="688">
        <v>0</v>
      </c>
      <c r="K130" s="688">
        <f t="shared" si="23"/>
        <v>0</v>
      </c>
      <c r="L130" s="688">
        <f t="shared" si="24"/>
        <v>-240000</v>
      </c>
      <c r="M130" s="883"/>
      <c r="N130" s="686"/>
    </row>
    <row r="131" spans="1:14" ht="19" customHeight="1">
      <c r="A131" s="692" t="s">
        <v>15</v>
      </c>
      <c r="B131" s="691" t="s">
        <v>588</v>
      </c>
      <c r="C131" s="690" t="s">
        <v>585</v>
      </c>
      <c r="D131" s="689">
        <v>4</v>
      </c>
      <c r="E131" s="689">
        <v>1</v>
      </c>
      <c r="F131" s="688">
        <v>40000</v>
      </c>
      <c r="G131" s="688">
        <f t="shared" si="22"/>
        <v>160000</v>
      </c>
      <c r="H131" s="689">
        <v>0</v>
      </c>
      <c r="I131" s="689">
        <v>0</v>
      </c>
      <c r="J131" s="688">
        <v>0</v>
      </c>
      <c r="K131" s="688">
        <f t="shared" si="23"/>
        <v>0</v>
      </c>
      <c r="L131" s="688">
        <f t="shared" si="24"/>
        <v>-160000</v>
      </c>
      <c r="M131" s="883"/>
      <c r="N131" s="686"/>
    </row>
    <row r="132" spans="1:14" ht="19" customHeight="1">
      <c r="A132" s="692" t="s">
        <v>15</v>
      </c>
      <c r="B132" s="691" t="s">
        <v>587</v>
      </c>
      <c r="C132" s="690" t="s">
        <v>585</v>
      </c>
      <c r="D132" s="689">
        <v>4</v>
      </c>
      <c r="E132" s="689">
        <v>1</v>
      </c>
      <c r="F132" s="688">
        <v>40000</v>
      </c>
      <c r="G132" s="688">
        <f t="shared" si="22"/>
        <v>160000</v>
      </c>
      <c r="H132" s="689">
        <v>0</v>
      </c>
      <c r="I132" s="689">
        <v>0</v>
      </c>
      <c r="J132" s="688">
        <v>0</v>
      </c>
      <c r="K132" s="688">
        <f t="shared" si="23"/>
        <v>0</v>
      </c>
      <c r="L132" s="688">
        <f t="shared" si="24"/>
        <v>-160000</v>
      </c>
      <c r="M132" s="883"/>
      <c r="N132" s="686"/>
    </row>
    <row r="133" spans="1:14" ht="19" customHeight="1">
      <c r="A133" s="692" t="s">
        <v>15</v>
      </c>
      <c r="B133" s="691" t="s">
        <v>586</v>
      </c>
      <c r="C133" s="690" t="s">
        <v>585</v>
      </c>
      <c r="D133" s="689">
        <v>4</v>
      </c>
      <c r="E133" s="689">
        <v>1</v>
      </c>
      <c r="F133" s="688">
        <v>35000</v>
      </c>
      <c r="G133" s="688">
        <f t="shared" si="22"/>
        <v>140000</v>
      </c>
      <c r="H133" s="689">
        <v>0</v>
      </c>
      <c r="I133" s="689">
        <v>0</v>
      </c>
      <c r="J133" s="688">
        <v>0</v>
      </c>
      <c r="K133" s="688">
        <f t="shared" si="23"/>
        <v>0</v>
      </c>
      <c r="L133" s="688">
        <f t="shared" si="24"/>
        <v>-140000</v>
      </c>
      <c r="M133" s="883"/>
      <c r="N133" s="686"/>
    </row>
    <row r="134" spans="1:14" ht="19" customHeight="1">
      <c r="A134" s="692" t="s">
        <v>15</v>
      </c>
      <c r="B134" s="691" t="s">
        <v>584</v>
      </c>
      <c r="C134" s="690" t="s">
        <v>164</v>
      </c>
      <c r="D134" s="689">
        <v>2</v>
      </c>
      <c r="E134" s="689">
        <v>1</v>
      </c>
      <c r="F134" s="688">
        <v>50000</v>
      </c>
      <c r="G134" s="688">
        <f t="shared" si="22"/>
        <v>100000</v>
      </c>
      <c r="H134" s="689">
        <v>0</v>
      </c>
      <c r="I134" s="689">
        <v>0</v>
      </c>
      <c r="J134" s="688">
        <v>0</v>
      </c>
      <c r="K134" s="688">
        <f t="shared" si="23"/>
        <v>0</v>
      </c>
      <c r="L134" s="688">
        <f t="shared" si="24"/>
        <v>-100000</v>
      </c>
      <c r="M134" s="883"/>
      <c r="N134" s="686"/>
    </row>
    <row r="135" spans="1:14" ht="19" customHeight="1">
      <c r="A135" s="698" t="s">
        <v>166</v>
      </c>
      <c r="B135" s="697" t="s">
        <v>583</v>
      </c>
      <c r="C135" s="696"/>
      <c r="D135" s="695"/>
      <c r="E135" s="695"/>
      <c r="F135" s="694"/>
      <c r="G135" s="694">
        <f>SUM(G136:G142)</f>
        <v>13000000</v>
      </c>
      <c r="H135" s="695"/>
      <c r="I135" s="695"/>
      <c r="J135" s="694"/>
      <c r="K135" s="694">
        <f>SUM(K136:K142)</f>
        <v>5000000</v>
      </c>
      <c r="L135" s="694">
        <f>SUM(L136:L142)</f>
        <v>-8000000</v>
      </c>
      <c r="M135" s="693"/>
      <c r="N135" s="686"/>
    </row>
    <row r="136" spans="1:14" ht="19" customHeight="1">
      <c r="A136" s="692" t="s">
        <v>15</v>
      </c>
      <c r="B136" s="691" t="s">
        <v>582</v>
      </c>
      <c r="C136" s="690" t="s">
        <v>176</v>
      </c>
      <c r="D136" s="689">
        <v>100</v>
      </c>
      <c r="E136" s="689">
        <v>1</v>
      </c>
      <c r="F136" s="688">
        <v>85000</v>
      </c>
      <c r="G136" s="688">
        <f t="shared" ref="G136:G142" si="25">D136*E136*F136</f>
        <v>8500000</v>
      </c>
      <c r="H136" s="689">
        <v>35</v>
      </c>
      <c r="I136" s="689">
        <v>1</v>
      </c>
      <c r="J136" s="688">
        <v>80000</v>
      </c>
      <c r="K136" s="688">
        <f t="shared" ref="K136:K142" si="26">H136*I136*J136</f>
        <v>2800000</v>
      </c>
      <c r="L136" s="688">
        <f t="shared" ref="L136:L142" si="27">K136-G136</f>
        <v>-5700000</v>
      </c>
      <c r="M136" s="883" t="s">
        <v>581</v>
      </c>
      <c r="N136" s="686"/>
    </row>
    <row r="137" spans="1:14" ht="19" customHeight="1">
      <c r="A137" s="692" t="s">
        <v>15</v>
      </c>
      <c r="B137" s="691" t="s">
        <v>580</v>
      </c>
      <c r="C137" s="690" t="s">
        <v>176</v>
      </c>
      <c r="D137" s="689">
        <v>10</v>
      </c>
      <c r="E137" s="689">
        <v>1</v>
      </c>
      <c r="F137" s="688">
        <v>60000</v>
      </c>
      <c r="G137" s="688">
        <f t="shared" si="25"/>
        <v>600000</v>
      </c>
      <c r="H137" s="689">
        <v>7</v>
      </c>
      <c r="I137" s="689">
        <v>1</v>
      </c>
      <c r="J137" s="688">
        <v>60000</v>
      </c>
      <c r="K137" s="688">
        <f t="shared" si="26"/>
        <v>420000</v>
      </c>
      <c r="L137" s="688">
        <f t="shared" si="27"/>
        <v>-180000</v>
      </c>
      <c r="M137" s="883"/>
      <c r="N137" s="686"/>
    </row>
    <row r="138" spans="1:14" ht="19" customHeight="1">
      <c r="A138" s="692" t="s">
        <v>15</v>
      </c>
      <c r="B138" s="691" t="s">
        <v>579</v>
      </c>
      <c r="C138" s="690" t="s">
        <v>176</v>
      </c>
      <c r="D138" s="689">
        <v>10</v>
      </c>
      <c r="E138" s="689">
        <v>1</v>
      </c>
      <c r="F138" s="688">
        <v>160000</v>
      </c>
      <c r="G138" s="688">
        <f t="shared" si="25"/>
        <v>1600000</v>
      </c>
      <c r="H138" s="689">
        <v>2</v>
      </c>
      <c r="I138" s="689">
        <v>1</v>
      </c>
      <c r="J138" s="688">
        <v>160000</v>
      </c>
      <c r="K138" s="688">
        <f t="shared" si="26"/>
        <v>320000</v>
      </c>
      <c r="L138" s="688">
        <f t="shared" si="27"/>
        <v>-1280000</v>
      </c>
      <c r="M138" s="883"/>
      <c r="N138" s="686"/>
    </row>
    <row r="139" spans="1:14" ht="19" customHeight="1">
      <c r="A139" s="692" t="s">
        <v>15</v>
      </c>
      <c r="B139" s="691" t="s">
        <v>578</v>
      </c>
      <c r="C139" s="690" t="s">
        <v>176</v>
      </c>
      <c r="D139" s="689">
        <v>10</v>
      </c>
      <c r="E139" s="689">
        <v>1</v>
      </c>
      <c r="F139" s="688">
        <v>120000</v>
      </c>
      <c r="G139" s="688">
        <f t="shared" si="25"/>
        <v>1200000</v>
      </c>
      <c r="H139" s="689">
        <v>3</v>
      </c>
      <c r="I139" s="689">
        <v>1</v>
      </c>
      <c r="J139" s="688">
        <v>120000</v>
      </c>
      <c r="K139" s="688">
        <f t="shared" si="26"/>
        <v>360000</v>
      </c>
      <c r="L139" s="688">
        <f t="shared" si="27"/>
        <v>-840000</v>
      </c>
      <c r="M139" s="883"/>
      <c r="N139" s="686"/>
    </row>
    <row r="140" spans="1:14" ht="19" customHeight="1">
      <c r="A140" s="692" t="s">
        <v>15</v>
      </c>
      <c r="B140" s="691" t="s">
        <v>577</v>
      </c>
      <c r="C140" s="690" t="s">
        <v>576</v>
      </c>
      <c r="D140" s="689">
        <v>17</v>
      </c>
      <c r="E140" s="689">
        <v>1</v>
      </c>
      <c r="F140" s="688">
        <v>20000</v>
      </c>
      <c r="G140" s="688">
        <f t="shared" si="25"/>
        <v>340000</v>
      </c>
      <c r="H140" s="689">
        <v>17</v>
      </c>
      <c r="I140" s="689">
        <v>1</v>
      </c>
      <c r="J140" s="688">
        <v>20000</v>
      </c>
      <c r="K140" s="688">
        <f t="shared" si="26"/>
        <v>340000</v>
      </c>
      <c r="L140" s="688">
        <f t="shared" si="27"/>
        <v>0</v>
      </c>
      <c r="M140" s="883"/>
      <c r="N140" s="686"/>
    </row>
    <row r="141" spans="1:14" ht="19" customHeight="1">
      <c r="A141" s="692" t="s">
        <v>15</v>
      </c>
      <c r="B141" s="691" t="s">
        <v>575</v>
      </c>
      <c r="C141" s="690" t="s">
        <v>177</v>
      </c>
      <c r="D141" s="689">
        <v>5</v>
      </c>
      <c r="E141" s="689">
        <v>1</v>
      </c>
      <c r="F141" s="688">
        <v>80000</v>
      </c>
      <c r="G141" s="688">
        <f t="shared" si="25"/>
        <v>400000</v>
      </c>
      <c r="H141" s="689">
        <v>5</v>
      </c>
      <c r="I141" s="689">
        <v>1</v>
      </c>
      <c r="J141" s="688">
        <v>80000</v>
      </c>
      <c r="K141" s="688">
        <f t="shared" si="26"/>
        <v>400000</v>
      </c>
      <c r="L141" s="688">
        <f t="shared" si="27"/>
        <v>0</v>
      </c>
      <c r="M141" s="883"/>
      <c r="N141" s="686"/>
    </row>
    <row r="142" spans="1:14" ht="19" customHeight="1">
      <c r="A142" s="746" t="s">
        <v>15</v>
      </c>
      <c r="B142" s="747" t="s">
        <v>574</v>
      </c>
      <c r="C142" s="748" t="s">
        <v>177</v>
      </c>
      <c r="D142" s="749">
        <v>3</v>
      </c>
      <c r="E142" s="749">
        <v>1</v>
      </c>
      <c r="F142" s="750">
        <v>120000</v>
      </c>
      <c r="G142" s="750">
        <f t="shared" si="25"/>
        <v>360000</v>
      </c>
      <c r="H142" s="749">
        <v>3</v>
      </c>
      <c r="I142" s="749">
        <v>1</v>
      </c>
      <c r="J142" s="750">
        <v>120000</v>
      </c>
      <c r="K142" s="750">
        <f t="shared" si="26"/>
        <v>360000</v>
      </c>
      <c r="L142" s="750">
        <f t="shared" si="27"/>
        <v>0</v>
      </c>
      <c r="M142" s="884"/>
      <c r="N142" s="686"/>
    </row>
    <row r="143" spans="1:14" hidden="1">
      <c r="A143" s="741"/>
      <c r="B143" s="742"/>
      <c r="C143" s="743"/>
      <c r="D143" s="744"/>
      <c r="E143" s="744"/>
      <c r="F143" s="745"/>
      <c r="G143" s="745"/>
      <c r="H143" s="744"/>
      <c r="I143" s="744"/>
      <c r="J143" s="745"/>
      <c r="K143" s="745"/>
      <c r="L143" s="745"/>
      <c r="M143" s="741"/>
    </row>
  </sheetData>
  <mergeCells count="16">
    <mergeCell ref="A2:M2"/>
    <mergeCell ref="A3:M3"/>
    <mergeCell ref="L4:M4"/>
    <mergeCell ref="A5:A6"/>
    <mergeCell ref="B5:B6"/>
    <mergeCell ref="C5:C6"/>
    <mergeCell ref="D5:G5"/>
    <mergeCell ref="H5:K5"/>
    <mergeCell ref="L5:L6"/>
    <mergeCell ref="M5:M6"/>
    <mergeCell ref="M31:M32"/>
    <mergeCell ref="M136:M142"/>
    <mergeCell ref="M127:M134"/>
    <mergeCell ref="M46:M60"/>
    <mergeCell ref="M20:M21"/>
    <mergeCell ref="M24:M25"/>
  </mergeCells>
  <pageMargins left="0.31496062992126" right="0.196850393700787" top="0.35433070866141703" bottom="0.39370078740157499" header="0.196850393700787" footer="0.23622047244094499"/>
  <pageSetup paperSize="9" scale="72" orientation="landscape" useFirstPageNumber="1" r:id="rId1"/>
  <headerFooter>
    <oddFooter>&amp;C&amp;"Times New Roman,Regular"&amp;10&amp;P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K19" sqref="K19"/>
    </sheetView>
  </sheetViews>
  <sheetFormatPr defaultRowHeight="14"/>
  <cols>
    <col min="1" max="1" width="6.58203125" customWidth="1"/>
    <col min="2" max="2" width="29.1640625" customWidth="1"/>
    <col min="3" max="3" width="30.25" customWidth="1"/>
    <col min="4" max="4" width="12.58203125" customWidth="1"/>
    <col min="5" max="7" width="12.75" customWidth="1"/>
    <col min="8" max="8" width="11.4140625" customWidth="1"/>
    <col min="9" max="9" width="9.1640625" customWidth="1"/>
    <col min="10" max="10" width="12.75" customWidth="1"/>
  </cols>
  <sheetData>
    <row r="1" spans="1:10" ht="15.5">
      <c r="H1" s="738"/>
      <c r="I1" s="738"/>
      <c r="J1" s="738" t="s">
        <v>766</v>
      </c>
    </row>
    <row r="3" spans="1:10" ht="15">
      <c r="A3" s="894" t="s">
        <v>756</v>
      </c>
      <c r="B3" s="894"/>
      <c r="C3" s="894"/>
      <c r="D3" s="894"/>
      <c r="E3" s="894"/>
      <c r="F3" s="894"/>
      <c r="G3" s="894"/>
      <c r="H3" s="894"/>
      <c r="I3" s="894"/>
      <c r="J3" s="894"/>
    </row>
    <row r="4" spans="1:10" ht="22.5" customHeight="1">
      <c r="A4" s="895" t="str">
        <f>'TỔNG HỢP'!A3:D3</f>
        <v>(Kèm theo Tờ trình số         /TTr-UBND ngày       /12/2024 của UBND huyện Na Rì)</v>
      </c>
      <c r="B4" s="895"/>
      <c r="C4" s="895"/>
      <c r="D4" s="895"/>
      <c r="E4" s="895"/>
      <c r="F4" s="895"/>
      <c r="G4" s="895"/>
      <c r="H4" s="895"/>
      <c r="I4" s="895"/>
      <c r="J4" s="895"/>
    </row>
    <row r="5" spans="1:10" ht="15.5">
      <c r="A5" s="737"/>
      <c r="B5" s="737"/>
      <c r="C5" s="737"/>
      <c r="D5" s="737"/>
      <c r="E5" s="737"/>
      <c r="F5" s="737"/>
      <c r="G5" s="737"/>
      <c r="H5" s="737"/>
      <c r="I5" s="737"/>
      <c r="J5" s="737"/>
    </row>
    <row r="6" spans="1:10" ht="15.65" customHeight="1">
      <c r="H6" s="896" t="s">
        <v>22</v>
      </c>
      <c r="I6" s="896"/>
      <c r="J6" s="896"/>
    </row>
    <row r="7" spans="1:10" ht="135.65" customHeight="1">
      <c r="A7" s="736" t="s">
        <v>13</v>
      </c>
      <c r="B7" s="736" t="s">
        <v>6</v>
      </c>
      <c r="C7" s="736" t="s">
        <v>57</v>
      </c>
      <c r="D7" s="736" t="s">
        <v>755</v>
      </c>
      <c r="E7" s="736" t="s">
        <v>754</v>
      </c>
      <c r="F7" s="736" t="s">
        <v>753</v>
      </c>
      <c r="G7" s="736" t="s">
        <v>752</v>
      </c>
      <c r="H7" s="736" t="s">
        <v>751</v>
      </c>
      <c r="I7" s="736" t="s">
        <v>750</v>
      </c>
      <c r="J7" s="736" t="s">
        <v>749</v>
      </c>
    </row>
    <row r="8" spans="1:10" ht="15.5">
      <c r="A8" s="735">
        <v>1</v>
      </c>
      <c r="B8" s="735">
        <v>2</v>
      </c>
      <c r="C8" s="735">
        <v>3</v>
      </c>
      <c r="D8" s="735">
        <v>4</v>
      </c>
      <c r="E8" s="735">
        <v>5</v>
      </c>
      <c r="F8" s="735">
        <v>6</v>
      </c>
      <c r="G8" s="735">
        <v>7</v>
      </c>
      <c r="H8" s="735">
        <v>8</v>
      </c>
      <c r="I8" s="735">
        <v>9</v>
      </c>
      <c r="J8" s="735" t="s">
        <v>748</v>
      </c>
    </row>
    <row r="9" spans="1:10" ht="46.5" customHeight="1">
      <c r="A9" s="733">
        <v>1</v>
      </c>
      <c r="B9" s="734" t="s">
        <v>747</v>
      </c>
      <c r="C9" s="733" t="s">
        <v>746</v>
      </c>
      <c r="D9" s="732">
        <v>550000000</v>
      </c>
      <c r="E9" s="732">
        <v>27500000</v>
      </c>
      <c r="F9" s="732">
        <v>487500000</v>
      </c>
      <c r="G9" s="732">
        <v>135000000</v>
      </c>
      <c r="H9" s="732">
        <f>D9-E9-F9</f>
        <v>35000000</v>
      </c>
      <c r="I9" s="732">
        <v>0</v>
      </c>
      <c r="J9" s="732">
        <f>G9-H9-I9</f>
        <v>100000000</v>
      </c>
    </row>
    <row r="14" spans="1:10">
      <c r="F14" s="731"/>
    </row>
  </sheetData>
  <mergeCells count="3">
    <mergeCell ref="A3:J3"/>
    <mergeCell ref="A4:J4"/>
    <mergeCell ref="H6:J6"/>
  </mergeCells>
  <pageMargins left="0.54" right="0.21" top="0.34" bottom="0.38" header="0.3" footer="0.3"/>
  <pageSetup paperSize="9" scale="8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143"/>
  <sheetViews>
    <sheetView zoomScaleNormal="100" workbookViewId="0">
      <pane ySplit="6" topLeftCell="A7" activePane="bottomLeft" state="frozen"/>
      <selection activeCell="D9" sqref="D9:D12"/>
      <selection pane="bottomLeft" activeCell="P22" sqref="P22"/>
    </sheetView>
  </sheetViews>
  <sheetFormatPr defaultColWidth="9.1640625" defaultRowHeight="16.5"/>
  <cols>
    <col min="1" max="1" width="7.83203125" style="291" customWidth="1"/>
    <col min="2" max="2" width="54.83203125" style="291" customWidth="1"/>
    <col min="3" max="3" width="10.25" style="291" customWidth="1"/>
    <col min="4" max="4" width="8" style="291" customWidth="1"/>
    <col min="5" max="5" width="7" style="291" customWidth="1"/>
    <col min="6" max="6" width="11.1640625" style="291" customWidth="1"/>
    <col min="7" max="7" width="13.1640625" style="291" customWidth="1"/>
    <col min="8" max="8" width="7" style="291" customWidth="1"/>
    <col min="9" max="9" width="7.58203125" style="291" customWidth="1"/>
    <col min="10" max="10" width="11.4140625" style="291" customWidth="1"/>
    <col min="11" max="11" width="12.75" style="291" customWidth="1"/>
    <col min="12" max="12" width="12.1640625" style="291" customWidth="1"/>
    <col min="13" max="13" width="33.83203125" style="291" customWidth="1"/>
    <col min="14" max="16" width="9.1640625" style="291"/>
    <col min="17" max="17" width="13.75" style="291" hidden="1" customWidth="1"/>
    <col min="18" max="16384" width="9.1640625" style="291"/>
  </cols>
  <sheetData>
    <row r="1" spans="1:17">
      <c r="A1" s="280"/>
      <c r="B1" s="385"/>
      <c r="C1" s="280"/>
      <c r="D1" s="280"/>
      <c r="E1" s="280"/>
      <c r="F1" s="280"/>
      <c r="G1" s="280"/>
      <c r="H1" s="280"/>
      <c r="I1" s="280"/>
      <c r="J1" s="280"/>
      <c r="K1" s="280"/>
      <c r="L1" s="281"/>
      <c r="M1" s="290" t="s">
        <v>745</v>
      </c>
      <c r="N1" s="280"/>
    </row>
    <row r="2" spans="1:17">
      <c r="A2" s="898" t="s">
        <v>173</v>
      </c>
      <c r="B2" s="898"/>
      <c r="C2" s="898"/>
      <c r="D2" s="898"/>
      <c r="E2" s="898"/>
      <c r="F2" s="898"/>
      <c r="G2" s="898"/>
      <c r="H2" s="898"/>
      <c r="I2" s="898"/>
      <c r="J2" s="898"/>
      <c r="K2" s="898"/>
      <c r="L2" s="898"/>
      <c r="M2" s="898"/>
      <c r="N2" s="280"/>
    </row>
    <row r="3" spans="1:17" ht="27" customHeight="1">
      <c r="A3" s="899" t="str">
        <f>'TỔNG HỢP'!A3:D3</f>
        <v>(Kèm theo Tờ trình số         /TTr-UBND ngày       /12/2024 của UBND huyện Na Rì)</v>
      </c>
      <c r="B3" s="899"/>
      <c r="C3" s="899"/>
      <c r="D3" s="899"/>
      <c r="E3" s="899"/>
      <c r="F3" s="899"/>
      <c r="G3" s="899"/>
      <c r="H3" s="899"/>
      <c r="I3" s="899"/>
      <c r="J3" s="899"/>
      <c r="K3" s="899"/>
      <c r="L3" s="899"/>
      <c r="M3" s="899"/>
    </row>
    <row r="4" spans="1:17">
      <c r="A4" s="386"/>
      <c r="B4" s="386"/>
      <c r="C4" s="386"/>
      <c r="D4" s="386"/>
      <c r="E4" s="386"/>
      <c r="F4" s="386"/>
      <c r="G4" s="386"/>
      <c r="H4" s="386"/>
      <c r="I4" s="386"/>
      <c r="J4" s="386"/>
      <c r="K4" s="386"/>
      <c r="L4" s="900" t="s">
        <v>22</v>
      </c>
      <c r="M4" s="900"/>
    </row>
    <row r="5" spans="1:17" ht="22.5" customHeight="1">
      <c r="A5" s="901" t="s">
        <v>13</v>
      </c>
      <c r="B5" s="901" t="s">
        <v>57</v>
      </c>
      <c r="C5" s="902" t="s">
        <v>172</v>
      </c>
      <c r="D5" s="904" t="s">
        <v>347</v>
      </c>
      <c r="E5" s="905"/>
      <c r="F5" s="905"/>
      <c r="G5" s="906"/>
      <c r="H5" s="904" t="s">
        <v>184</v>
      </c>
      <c r="I5" s="905"/>
      <c r="J5" s="905"/>
      <c r="K5" s="906"/>
      <c r="L5" s="902" t="s">
        <v>182</v>
      </c>
      <c r="M5" s="901" t="s">
        <v>0</v>
      </c>
      <c r="N5" s="280"/>
    </row>
    <row r="6" spans="1:17" ht="48" customHeight="1">
      <c r="A6" s="901"/>
      <c r="B6" s="901"/>
      <c r="C6" s="903"/>
      <c r="D6" s="387" t="s">
        <v>171</v>
      </c>
      <c r="E6" s="387" t="s">
        <v>351</v>
      </c>
      <c r="F6" s="292" t="s">
        <v>355</v>
      </c>
      <c r="G6" s="387" t="s">
        <v>170</v>
      </c>
      <c r="H6" s="387" t="s">
        <v>171</v>
      </c>
      <c r="I6" s="387" t="s">
        <v>351</v>
      </c>
      <c r="J6" s="292" t="s">
        <v>355</v>
      </c>
      <c r="K6" s="387" t="s">
        <v>170</v>
      </c>
      <c r="L6" s="903"/>
      <c r="M6" s="901"/>
      <c r="N6" s="280"/>
    </row>
    <row r="7" spans="1:17">
      <c r="A7" s="293">
        <v>1</v>
      </c>
      <c r="B7" s="293">
        <v>2</v>
      </c>
      <c r="C7" s="293">
        <v>3</v>
      </c>
      <c r="D7" s="293">
        <v>4</v>
      </c>
      <c r="E7" s="293">
        <v>5</v>
      </c>
      <c r="F7" s="294">
        <v>6</v>
      </c>
      <c r="G7" s="293">
        <v>7</v>
      </c>
      <c r="H7" s="293">
        <v>8</v>
      </c>
      <c r="I7" s="293">
        <v>9</v>
      </c>
      <c r="J7" s="294">
        <v>10</v>
      </c>
      <c r="K7" s="293">
        <v>11</v>
      </c>
      <c r="L7" s="293">
        <v>12</v>
      </c>
      <c r="M7" s="293">
        <v>13</v>
      </c>
      <c r="N7" s="280"/>
    </row>
    <row r="8" spans="1:17" ht="24.75" customHeight="1">
      <c r="A8" s="296"/>
      <c r="B8" s="296" t="s">
        <v>14</v>
      </c>
      <c r="C8" s="297"/>
      <c r="D8" s="396"/>
      <c r="E8" s="396"/>
      <c r="F8" s="298"/>
      <c r="G8" s="298">
        <f>G9+G118+G128+G140</f>
        <v>335579000</v>
      </c>
      <c r="H8" s="396"/>
      <c r="I8" s="396"/>
      <c r="J8" s="298"/>
      <c r="K8" s="298">
        <f>K9+K118+K128+K140</f>
        <v>306195000</v>
      </c>
      <c r="L8" s="298">
        <f>L9+L118+L128+L140</f>
        <v>-29384000</v>
      </c>
      <c r="M8" s="299"/>
      <c r="N8" s="280"/>
      <c r="Q8" s="295">
        <f>G8-K8</f>
        <v>29384000</v>
      </c>
    </row>
    <row r="9" spans="1:17" ht="28.5" customHeight="1">
      <c r="A9" s="400" t="s">
        <v>2</v>
      </c>
      <c r="B9" s="400" t="s">
        <v>329</v>
      </c>
      <c r="C9" s="401"/>
      <c r="D9" s="402"/>
      <c r="E9" s="402"/>
      <c r="F9" s="403"/>
      <c r="G9" s="403">
        <f>G10</f>
        <v>248004000</v>
      </c>
      <c r="H9" s="402"/>
      <c r="I9" s="402"/>
      <c r="J9" s="403"/>
      <c r="K9" s="403">
        <f>K10</f>
        <v>240000000</v>
      </c>
      <c r="L9" s="403">
        <f>L10</f>
        <v>-8004000</v>
      </c>
      <c r="M9" s="404"/>
      <c r="N9" s="280"/>
    </row>
    <row r="10" spans="1:17" ht="29">
      <c r="A10" s="300" t="s">
        <v>350</v>
      </c>
      <c r="B10" s="301" t="s">
        <v>349</v>
      </c>
      <c r="C10" s="302"/>
      <c r="D10" s="394"/>
      <c r="E10" s="394"/>
      <c r="F10" s="303"/>
      <c r="G10" s="303">
        <f>G11+G12+G15+G18+G31+G40+G52+G65+G74+G80+G84+G90</f>
        <v>248004000</v>
      </c>
      <c r="H10" s="394"/>
      <c r="I10" s="394"/>
      <c r="J10" s="303"/>
      <c r="K10" s="303">
        <f>K11+K12+K15+K18+K31+K40+K52+K65+K74+K80+K84+K90</f>
        <v>240000000</v>
      </c>
      <c r="L10" s="303">
        <f>K10-G10</f>
        <v>-8004000</v>
      </c>
      <c r="M10" s="406"/>
      <c r="N10" s="280"/>
    </row>
    <row r="11" spans="1:17">
      <c r="A11" s="512">
        <v>1</v>
      </c>
      <c r="B11" s="513" t="s">
        <v>258</v>
      </c>
      <c r="C11" s="512" t="s">
        <v>163</v>
      </c>
      <c r="D11" s="512">
        <v>36</v>
      </c>
      <c r="E11" s="512">
        <v>1</v>
      </c>
      <c r="F11" s="514">
        <v>200000</v>
      </c>
      <c r="G11" s="514">
        <f>F11*E11*D11</f>
        <v>7200000</v>
      </c>
      <c r="H11" s="512">
        <v>36</v>
      </c>
      <c r="I11" s="512">
        <v>1</v>
      </c>
      <c r="J11" s="514">
        <v>200000</v>
      </c>
      <c r="K11" s="514">
        <f>J11*I11*H11</f>
        <v>7200000</v>
      </c>
      <c r="L11" s="515">
        <f t="shared" ref="L11:L79" si="0">K11-G11</f>
        <v>0</v>
      </c>
      <c r="M11" s="516"/>
      <c r="N11" s="280"/>
    </row>
    <row r="12" spans="1:17">
      <c r="A12" s="512">
        <v>2</v>
      </c>
      <c r="B12" s="513" t="s">
        <v>332</v>
      </c>
      <c r="C12" s="517"/>
      <c r="D12" s="512"/>
      <c r="E12" s="512"/>
      <c r="F12" s="514"/>
      <c r="G12" s="514">
        <f>SUM(G13:G14)</f>
        <v>5400000</v>
      </c>
      <c r="H12" s="512"/>
      <c r="I12" s="512"/>
      <c r="J12" s="514"/>
      <c r="K12" s="514">
        <f>SUM(K13:K14)</f>
        <v>5400000</v>
      </c>
      <c r="L12" s="515">
        <f>G12-K12</f>
        <v>0</v>
      </c>
      <c r="M12" s="518"/>
      <c r="N12" s="280"/>
    </row>
    <row r="13" spans="1:17">
      <c r="A13" s="407" t="s">
        <v>15</v>
      </c>
      <c r="B13" s="408" t="s">
        <v>263</v>
      </c>
      <c r="C13" s="409" t="s">
        <v>163</v>
      </c>
      <c r="D13" s="409">
        <v>1</v>
      </c>
      <c r="E13" s="409">
        <v>2</v>
      </c>
      <c r="F13" s="410">
        <v>300000</v>
      </c>
      <c r="G13" s="410">
        <f>F13*E13*D13</f>
        <v>600000</v>
      </c>
      <c r="H13" s="409">
        <v>1</v>
      </c>
      <c r="I13" s="409">
        <v>2</v>
      </c>
      <c r="J13" s="410">
        <v>300000</v>
      </c>
      <c r="K13" s="410">
        <f>J13*I13*H13</f>
        <v>600000</v>
      </c>
      <c r="L13" s="289">
        <f>K13-G13</f>
        <v>0</v>
      </c>
      <c r="M13" s="897" t="s">
        <v>352</v>
      </c>
      <c r="N13" s="280"/>
    </row>
    <row r="14" spans="1:17">
      <c r="A14" s="407" t="s">
        <v>15</v>
      </c>
      <c r="B14" s="408" t="s">
        <v>260</v>
      </c>
      <c r="C14" s="409" t="s">
        <v>163</v>
      </c>
      <c r="D14" s="409">
        <v>15</v>
      </c>
      <c r="E14" s="409">
        <v>2</v>
      </c>
      <c r="F14" s="410">
        <v>160000</v>
      </c>
      <c r="G14" s="410">
        <f>F14*E14*D14</f>
        <v>4800000</v>
      </c>
      <c r="H14" s="409">
        <v>15</v>
      </c>
      <c r="I14" s="409">
        <v>2</v>
      </c>
      <c r="J14" s="410">
        <v>160000</v>
      </c>
      <c r="K14" s="410">
        <f>J14*I14*H14</f>
        <v>4800000</v>
      </c>
      <c r="L14" s="289">
        <f>K14-G14</f>
        <v>0</v>
      </c>
      <c r="M14" s="897"/>
      <c r="N14" s="280"/>
    </row>
    <row r="15" spans="1:17">
      <c r="A15" s="512">
        <v>3</v>
      </c>
      <c r="B15" s="513" t="s">
        <v>331</v>
      </c>
      <c r="C15" s="512"/>
      <c r="D15" s="512"/>
      <c r="E15" s="512"/>
      <c r="F15" s="519"/>
      <c r="G15" s="519">
        <f>SUM(G16:G17)</f>
        <v>7860000</v>
      </c>
      <c r="H15" s="512"/>
      <c r="I15" s="512"/>
      <c r="J15" s="519"/>
      <c r="K15" s="519">
        <f>SUM(K16:K17)</f>
        <v>7860000</v>
      </c>
      <c r="L15" s="515">
        <f>G15-K15</f>
        <v>0</v>
      </c>
      <c r="M15" s="516"/>
      <c r="N15" s="280"/>
    </row>
    <row r="16" spans="1:17">
      <c r="A16" s="407" t="s">
        <v>15</v>
      </c>
      <c r="B16" s="408" t="s">
        <v>261</v>
      </c>
      <c r="C16" s="409" t="s">
        <v>163</v>
      </c>
      <c r="D16" s="409">
        <v>1</v>
      </c>
      <c r="E16" s="409">
        <v>7</v>
      </c>
      <c r="F16" s="410">
        <v>300000</v>
      </c>
      <c r="G16" s="410">
        <f>D16*E16*F16</f>
        <v>2100000</v>
      </c>
      <c r="H16" s="409">
        <v>1</v>
      </c>
      <c r="I16" s="409">
        <v>7</v>
      </c>
      <c r="J16" s="410">
        <v>300000</v>
      </c>
      <c r="K16" s="410">
        <f>H16*I16*J16</f>
        <v>2100000</v>
      </c>
      <c r="L16" s="289">
        <f t="shared" ref="L16:L17" si="1">K16-G16</f>
        <v>0</v>
      </c>
      <c r="M16" s="897" t="s">
        <v>352</v>
      </c>
      <c r="N16" s="280"/>
    </row>
    <row r="17" spans="1:14">
      <c r="A17" s="407" t="s">
        <v>15</v>
      </c>
      <c r="B17" s="408" t="s">
        <v>262</v>
      </c>
      <c r="C17" s="409" t="s">
        <v>163</v>
      </c>
      <c r="D17" s="409">
        <v>9</v>
      </c>
      <c r="E17" s="409">
        <v>4</v>
      </c>
      <c r="F17" s="410">
        <v>160000</v>
      </c>
      <c r="G17" s="410">
        <f t="shared" ref="G17" si="2">D17*E17*F17</f>
        <v>5760000</v>
      </c>
      <c r="H17" s="409">
        <v>9</v>
      </c>
      <c r="I17" s="409">
        <v>4</v>
      </c>
      <c r="J17" s="410">
        <v>160000</v>
      </c>
      <c r="K17" s="410">
        <f t="shared" ref="K17" si="3">H17*I17*J17</f>
        <v>5760000</v>
      </c>
      <c r="L17" s="289">
        <f t="shared" si="1"/>
        <v>0</v>
      </c>
      <c r="M17" s="897"/>
      <c r="N17" s="280"/>
    </row>
    <row r="18" spans="1:14">
      <c r="A18" s="512">
        <v>4</v>
      </c>
      <c r="B18" s="513" t="s">
        <v>333</v>
      </c>
      <c r="C18" s="512"/>
      <c r="D18" s="512"/>
      <c r="E18" s="512"/>
      <c r="F18" s="519"/>
      <c r="G18" s="519">
        <f>G19+G25+G28+G29+G30</f>
        <v>59370000</v>
      </c>
      <c r="H18" s="512"/>
      <c r="I18" s="512"/>
      <c r="J18" s="519"/>
      <c r="K18" s="519">
        <f>K19+K25+K28+K29+K30</f>
        <v>59370000</v>
      </c>
      <c r="L18" s="515">
        <f>G18-K18</f>
        <v>0</v>
      </c>
      <c r="M18" s="516"/>
      <c r="N18" s="280"/>
    </row>
    <row r="19" spans="1:14">
      <c r="A19" s="411" t="s">
        <v>168</v>
      </c>
      <c r="B19" s="412" t="s">
        <v>367</v>
      </c>
      <c r="C19" s="411"/>
      <c r="D19" s="411"/>
      <c r="E19" s="411"/>
      <c r="F19" s="413"/>
      <c r="G19" s="413">
        <f>SUM(G20:G24)</f>
        <v>22980000</v>
      </c>
      <c r="H19" s="411"/>
      <c r="I19" s="411"/>
      <c r="J19" s="413"/>
      <c r="K19" s="413">
        <f>SUM(K20:K24)</f>
        <v>22980000</v>
      </c>
      <c r="L19" s="397">
        <f>K19-G19</f>
        <v>0</v>
      </c>
      <c r="M19" s="398"/>
      <c r="N19" s="280"/>
    </row>
    <row r="20" spans="1:14">
      <c r="A20" s="407" t="s">
        <v>15</v>
      </c>
      <c r="B20" s="408" t="s">
        <v>263</v>
      </c>
      <c r="C20" s="409" t="s">
        <v>163</v>
      </c>
      <c r="D20" s="409">
        <v>1</v>
      </c>
      <c r="E20" s="409">
        <v>3</v>
      </c>
      <c r="F20" s="410">
        <v>300000</v>
      </c>
      <c r="G20" s="410">
        <f>D20*E20*F20</f>
        <v>900000</v>
      </c>
      <c r="H20" s="409">
        <v>1</v>
      </c>
      <c r="I20" s="409">
        <v>3</v>
      </c>
      <c r="J20" s="410">
        <v>300000</v>
      </c>
      <c r="K20" s="410">
        <f>H20*I20*J20</f>
        <v>900000</v>
      </c>
      <c r="L20" s="289">
        <f t="shared" ref="L20:L24" si="4">K20-G20</f>
        <v>0</v>
      </c>
      <c r="M20" s="897" t="s">
        <v>352</v>
      </c>
      <c r="N20" s="280"/>
    </row>
    <row r="21" spans="1:14">
      <c r="A21" s="407" t="s">
        <v>15</v>
      </c>
      <c r="B21" s="408" t="s">
        <v>264</v>
      </c>
      <c r="C21" s="409" t="s">
        <v>163</v>
      </c>
      <c r="D21" s="409">
        <v>2</v>
      </c>
      <c r="E21" s="409">
        <v>3</v>
      </c>
      <c r="F21" s="410">
        <v>200000</v>
      </c>
      <c r="G21" s="410">
        <f t="shared" ref="G21:G24" si="5">D21*E21*F21</f>
        <v>1200000</v>
      </c>
      <c r="H21" s="409">
        <v>2</v>
      </c>
      <c r="I21" s="409">
        <v>3</v>
      </c>
      <c r="J21" s="410">
        <v>200000</v>
      </c>
      <c r="K21" s="410">
        <f t="shared" ref="K21:K24" si="6">H21*I21*J21</f>
        <v>1200000</v>
      </c>
      <c r="L21" s="289">
        <f t="shared" si="4"/>
        <v>0</v>
      </c>
      <c r="M21" s="897"/>
      <c r="N21" s="280"/>
    </row>
    <row r="22" spans="1:14">
      <c r="A22" s="407" t="s">
        <v>15</v>
      </c>
      <c r="B22" s="408" t="s">
        <v>265</v>
      </c>
      <c r="C22" s="409" t="s">
        <v>163</v>
      </c>
      <c r="D22" s="409">
        <v>33</v>
      </c>
      <c r="E22" s="409">
        <v>3</v>
      </c>
      <c r="F22" s="410">
        <v>200000</v>
      </c>
      <c r="G22" s="410">
        <f t="shared" si="5"/>
        <v>19800000</v>
      </c>
      <c r="H22" s="409">
        <v>33</v>
      </c>
      <c r="I22" s="409">
        <v>3</v>
      </c>
      <c r="J22" s="410">
        <v>200000</v>
      </c>
      <c r="K22" s="410">
        <f t="shared" si="6"/>
        <v>19800000</v>
      </c>
      <c r="L22" s="289">
        <f t="shared" si="4"/>
        <v>0</v>
      </c>
      <c r="M22" s="897"/>
      <c r="N22" s="280"/>
    </row>
    <row r="23" spans="1:14">
      <c r="A23" s="407" t="s">
        <v>15</v>
      </c>
      <c r="B23" s="408" t="s">
        <v>266</v>
      </c>
      <c r="C23" s="409" t="s">
        <v>163</v>
      </c>
      <c r="D23" s="409">
        <v>1</v>
      </c>
      <c r="E23" s="409">
        <v>3</v>
      </c>
      <c r="F23" s="410">
        <v>200000</v>
      </c>
      <c r="G23" s="410">
        <f t="shared" si="5"/>
        <v>600000</v>
      </c>
      <c r="H23" s="409">
        <v>1</v>
      </c>
      <c r="I23" s="409">
        <v>3</v>
      </c>
      <c r="J23" s="410">
        <v>200000</v>
      </c>
      <c r="K23" s="410">
        <f t="shared" si="6"/>
        <v>600000</v>
      </c>
      <c r="L23" s="289">
        <f t="shared" si="4"/>
        <v>0</v>
      </c>
      <c r="M23" s="897"/>
      <c r="N23" s="280"/>
    </row>
    <row r="24" spans="1:14">
      <c r="A24" s="407" t="s">
        <v>15</v>
      </c>
      <c r="B24" s="408" t="s">
        <v>267</v>
      </c>
      <c r="C24" s="409" t="s">
        <v>163</v>
      </c>
      <c r="D24" s="409">
        <v>1</v>
      </c>
      <c r="E24" s="409">
        <v>3</v>
      </c>
      <c r="F24" s="410">
        <v>160000</v>
      </c>
      <c r="G24" s="410">
        <f t="shared" si="5"/>
        <v>480000</v>
      </c>
      <c r="H24" s="409">
        <v>1</v>
      </c>
      <c r="I24" s="409">
        <v>3</v>
      </c>
      <c r="J24" s="410">
        <v>160000</v>
      </c>
      <c r="K24" s="410">
        <f t="shared" si="6"/>
        <v>480000</v>
      </c>
      <c r="L24" s="289">
        <f t="shared" si="4"/>
        <v>0</v>
      </c>
      <c r="M24" s="897"/>
      <c r="N24" s="280"/>
    </row>
    <row r="25" spans="1:14">
      <c r="A25" s="414" t="s">
        <v>167</v>
      </c>
      <c r="B25" s="412" t="s">
        <v>268</v>
      </c>
      <c r="C25" s="411"/>
      <c r="D25" s="411"/>
      <c r="E25" s="411"/>
      <c r="F25" s="413"/>
      <c r="G25" s="413">
        <f>SUM(G26:G27)</f>
        <v>2340000</v>
      </c>
      <c r="H25" s="411"/>
      <c r="I25" s="411"/>
      <c r="J25" s="413"/>
      <c r="K25" s="413">
        <f>SUM(K26:K27)</f>
        <v>2340000</v>
      </c>
      <c r="L25" s="397">
        <f>K25-G25</f>
        <v>0</v>
      </c>
      <c r="M25" s="398"/>
      <c r="N25" s="280"/>
    </row>
    <row r="26" spans="1:14">
      <c r="A26" s="407" t="s">
        <v>15</v>
      </c>
      <c r="B26" s="408" t="s">
        <v>259</v>
      </c>
      <c r="C26" s="409" t="s">
        <v>163</v>
      </c>
      <c r="D26" s="409">
        <v>1</v>
      </c>
      <c r="E26" s="409">
        <v>3</v>
      </c>
      <c r="F26" s="410">
        <v>300000</v>
      </c>
      <c r="G26" s="410">
        <f>D26*E26*F26</f>
        <v>900000</v>
      </c>
      <c r="H26" s="409">
        <v>1</v>
      </c>
      <c r="I26" s="409">
        <v>3</v>
      </c>
      <c r="J26" s="410">
        <v>300000</v>
      </c>
      <c r="K26" s="410">
        <f>H26*I26*J26</f>
        <v>900000</v>
      </c>
      <c r="L26" s="289">
        <f t="shared" ref="L26" si="7">K26-G26</f>
        <v>0</v>
      </c>
      <c r="M26" s="897" t="s">
        <v>352</v>
      </c>
      <c r="N26" s="280"/>
    </row>
    <row r="27" spans="1:14">
      <c r="A27" s="407" t="s">
        <v>15</v>
      </c>
      <c r="B27" s="408" t="s">
        <v>262</v>
      </c>
      <c r="C27" s="409" t="s">
        <v>163</v>
      </c>
      <c r="D27" s="409">
        <v>3</v>
      </c>
      <c r="E27" s="409">
        <v>3</v>
      </c>
      <c r="F27" s="410">
        <v>160000</v>
      </c>
      <c r="G27" s="410">
        <f>D27*E27*F27</f>
        <v>1440000</v>
      </c>
      <c r="H27" s="409">
        <v>3</v>
      </c>
      <c r="I27" s="409">
        <v>3</v>
      </c>
      <c r="J27" s="410">
        <v>160000</v>
      </c>
      <c r="K27" s="410">
        <f>H27*I27*J27</f>
        <v>1440000</v>
      </c>
      <c r="L27" s="289">
        <f>K27-G27</f>
        <v>0</v>
      </c>
      <c r="M27" s="897"/>
      <c r="N27" s="280"/>
    </row>
    <row r="28" spans="1:14" ht="30">
      <c r="A28" s="411" t="s">
        <v>166</v>
      </c>
      <c r="B28" s="412" t="s">
        <v>341</v>
      </c>
      <c r="C28" s="411" t="s">
        <v>163</v>
      </c>
      <c r="D28" s="411">
        <v>42</v>
      </c>
      <c r="E28" s="411">
        <v>2.5</v>
      </c>
      <c r="F28" s="413">
        <v>250000</v>
      </c>
      <c r="G28" s="413">
        <f>F28*E28*D28</f>
        <v>26250000</v>
      </c>
      <c r="H28" s="411">
        <v>42</v>
      </c>
      <c r="I28" s="411">
        <v>2.5</v>
      </c>
      <c r="J28" s="413">
        <v>250000</v>
      </c>
      <c r="K28" s="413">
        <f>J28*I28*H28</f>
        <v>26250000</v>
      </c>
      <c r="L28" s="397">
        <f>K28-G28</f>
        <v>0</v>
      </c>
      <c r="M28" s="406" t="s">
        <v>352</v>
      </c>
      <c r="N28" s="280"/>
    </row>
    <row r="29" spans="1:14">
      <c r="A29" s="411" t="s">
        <v>165</v>
      </c>
      <c r="B29" s="412" t="s">
        <v>269</v>
      </c>
      <c r="C29" s="411" t="s">
        <v>339</v>
      </c>
      <c r="D29" s="411">
        <v>1</v>
      </c>
      <c r="E29" s="411">
        <v>3</v>
      </c>
      <c r="F29" s="413">
        <v>600000</v>
      </c>
      <c r="G29" s="413">
        <f>F29*E29*D29</f>
        <v>1800000</v>
      </c>
      <c r="H29" s="411">
        <v>1</v>
      </c>
      <c r="I29" s="411">
        <v>3</v>
      </c>
      <c r="J29" s="413">
        <v>600000</v>
      </c>
      <c r="K29" s="413">
        <f>J29*I29*H29</f>
        <v>1800000</v>
      </c>
      <c r="L29" s="397">
        <f>K29-G29</f>
        <v>0</v>
      </c>
      <c r="M29" s="406" t="s">
        <v>180</v>
      </c>
      <c r="N29" s="280"/>
    </row>
    <row r="30" spans="1:14" ht="20.25" customHeight="1">
      <c r="A30" s="411" t="s">
        <v>334</v>
      </c>
      <c r="B30" s="412" t="s">
        <v>270</v>
      </c>
      <c r="C30" s="411" t="s">
        <v>339</v>
      </c>
      <c r="D30" s="411">
        <v>10</v>
      </c>
      <c r="E30" s="411">
        <v>2</v>
      </c>
      <c r="F30" s="413">
        <v>300000</v>
      </c>
      <c r="G30" s="413">
        <f>F30*E30*D30</f>
        <v>6000000</v>
      </c>
      <c r="H30" s="411">
        <v>10</v>
      </c>
      <c r="I30" s="411">
        <v>2</v>
      </c>
      <c r="J30" s="413">
        <v>300000</v>
      </c>
      <c r="K30" s="413">
        <f>J30*I30*H30</f>
        <v>6000000</v>
      </c>
      <c r="L30" s="397">
        <f>K30-G30</f>
        <v>0</v>
      </c>
      <c r="M30" s="406" t="s">
        <v>180</v>
      </c>
      <c r="N30" s="280"/>
    </row>
    <row r="31" spans="1:14" ht="21.75" customHeight="1">
      <c r="A31" s="512">
        <v>5</v>
      </c>
      <c r="B31" s="513" t="s">
        <v>373</v>
      </c>
      <c r="C31" s="512"/>
      <c r="D31" s="512"/>
      <c r="E31" s="512"/>
      <c r="F31" s="519"/>
      <c r="G31" s="519">
        <f>G32+G38+G39</f>
        <v>4470000</v>
      </c>
      <c r="H31" s="512"/>
      <c r="I31" s="512"/>
      <c r="J31" s="519"/>
      <c r="K31" s="519">
        <f>K32+K38+K39</f>
        <v>4470000</v>
      </c>
      <c r="L31" s="515">
        <f>G31-K31</f>
        <v>0</v>
      </c>
      <c r="M31" s="516"/>
      <c r="N31" s="280"/>
    </row>
    <row r="32" spans="1:14">
      <c r="A32" s="411" t="s">
        <v>168</v>
      </c>
      <c r="B32" s="412" t="s">
        <v>271</v>
      </c>
      <c r="C32" s="411"/>
      <c r="D32" s="411"/>
      <c r="E32" s="411"/>
      <c r="F32" s="413"/>
      <c r="G32" s="413">
        <f>SUM(G33:G37)</f>
        <v>1620000</v>
      </c>
      <c r="H32" s="411"/>
      <c r="I32" s="411"/>
      <c r="J32" s="413"/>
      <c r="K32" s="413">
        <f>SUM(K33:K37)</f>
        <v>1620000</v>
      </c>
      <c r="L32" s="397">
        <f>K32-G32</f>
        <v>0</v>
      </c>
      <c r="M32" s="398"/>
      <c r="N32" s="280"/>
    </row>
    <row r="33" spans="1:14">
      <c r="A33" s="407" t="s">
        <v>15</v>
      </c>
      <c r="B33" s="408" t="s">
        <v>263</v>
      </c>
      <c r="C33" s="409" t="s">
        <v>163</v>
      </c>
      <c r="D33" s="409">
        <v>1</v>
      </c>
      <c r="E33" s="409">
        <v>1</v>
      </c>
      <c r="F33" s="410">
        <v>300000</v>
      </c>
      <c r="G33" s="410">
        <f>D33*E33*F33</f>
        <v>300000</v>
      </c>
      <c r="H33" s="409">
        <v>1</v>
      </c>
      <c r="I33" s="409">
        <v>1</v>
      </c>
      <c r="J33" s="410">
        <v>300000</v>
      </c>
      <c r="K33" s="410">
        <f>H33*I33*J33</f>
        <v>300000</v>
      </c>
      <c r="L33" s="289">
        <f t="shared" ref="L33:L37" si="8">K33-G33</f>
        <v>0</v>
      </c>
      <c r="M33" s="897" t="s">
        <v>352</v>
      </c>
      <c r="N33" s="280"/>
    </row>
    <row r="34" spans="1:14">
      <c r="A34" s="407" t="s">
        <v>15</v>
      </c>
      <c r="B34" s="408" t="s">
        <v>264</v>
      </c>
      <c r="C34" s="409" t="s">
        <v>163</v>
      </c>
      <c r="D34" s="409">
        <v>1</v>
      </c>
      <c r="E34" s="409">
        <v>1</v>
      </c>
      <c r="F34" s="410">
        <v>200000</v>
      </c>
      <c r="G34" s="410">
        <f t="shared" ref="G34:G37" si="9">F34*E34*D34</f>
        <v>200000</v>
      </c>
      <c r="H34" s="409">
        <v>1</v>
      </c>
      <c r="I34" s="409">
        <v>1</v>
      </c>
      <c r="J34" s="410">
        <v>200000</v>
      </c>
      <c r="K34" s="410">
        <f t="shared" ref="K34:K37" si="10">J34*I34*H34</f>
        <v>200000</v>
      </c>
      <c r="L34" s="289">
        <f t="shared" si="8"/>
        <v>0</v>
      </c>
      <c r="M34" s="897"/>
      <c r="N34" s="280"/>
    </row>
    <row r="35" spans="1:14">
      <c r="A35" s="407" t="s">
        <v>15</v>
      </c>
      <c r="B35" s="408" t="s">
        <v>265</v>
      </c>
      <c r="C35" s="409" t="s">
        <v>163</v>
      </c>
      <c r="D35" s="409">
        <v>3</v>
      </c>
      <c r="E35" s="409">
        <v>1</v>
      </c>
      <c r="F35" s="410">
        <v>200000</v>
      </c>
      <c r="G35" s="410">
        <f t="shared" si="9"/>
        <v>600000</v>
      </c>
      <c r="H35" s="409">
        <v>3</v>
      </c>
      <c r="I35" s="409">
        <v>1</v>
      </c>
      <c r="J35" s="410">
        <v>200000</v>
      </c>
      <c r="K35" s="410">
        <f t="shared" si="10"/>
        <v>600000</v>
      </c>
      <c r="L35" s="289">
        <f t="shared" si="8"/>
        <v>0</v>
      </c>
      <c r="M35" s="897"/>
      <c r="N35" s="280"/>
    </row>
    <row r="36" spans="1:14" ht="23.25" customHeight="1">
      <c r="A36" s="407" t="s">
        <v>15</v>
      </c>
      <c r="B36" s="408" t="s">
        <v>266</v>
      </c>
      <c r="C36" s="409" t="s">
        <v>163</v>
      </c>
      <c r="D36" s="409">
        <v>1</v>
      </c>
      <c r="E36" s="409">
        <v>1</v>
      </c>
      <c r="F36" s="410">
        <v>200000</v>
      </c>
      <c r="G36" s="410">
        <f t="shared" si="9"/>
        <v>200000</v>
      </c>
      <c r="H36" s="409">
        <v>1</v>
      </c>
      <c r="I36" s="409">
        <v>1</v>
      </c>
      <c r="J36" s="410">
        <v>200000</v>
      </c>
      <c r="K36" s="410">
        <f t="shared" si="10"/>
        <v>200000</v>
      </c>
      <c r="L36" s="289">
        <f t="shared" si="8"/>
        <v>0</v>
      </c>
      <c r="M36" s="897"/>
      <c r="N36" s="280"/>
    </row>
    <row r="37" spans="1:14" ht="18.75" customHeight="1">
      <c r="A37" s="407" t="s">
        <v>15</v>
      </c>
      <c r="B37" s="408" t="s">
        <v>272</v>
      </c>
      <c r="C37" s="409" t="s">
        <v>163</v>
      </c>
      <c r="D37" s="409">
        <v>2</v>
      </c>
      <c r="E37" s="409">
        <v>1</v>
      </c>
      <c r="F37" s="410">
        <v>160000</v>
      </c>
      <c r="G37" s="410">
        <f t="shared" si="9"/>
        <v>320000</v>
      </c>
      <c r="H37" s="409">
        <v>2</v>
      </c>
      <c r="I37" s="409">
        <v>1</v>
      </c>
      <c r="J37" s="410">
        <v>160000</v>
      </c>
      <c r="K37" s="410">
        <f t="shared" si="10"/>
        <v>320000</v>
      </c>
      <c r="L37" s="289">
        <f t="shared" si="8"/>
        <v>0</v>
      </c>
      <c r="M37" s="897"/>
      <c r="N37" s="280"/>
    </row>
    <row r="38" spans="1:14" ht="30">
      <c r="A38" s="411" t="s">
        <v>167</v>
      </c>
      <c r="B38" s="412" t="s">
        <v>340</v>
      </c>
      <c r="C38" s="411" t="s">
        <v>163</v>
      </c>
      <c r="D38" s="411">
        <v>9</v>
      </c>
      <c r="E38" s="411">
        <v>1</v>
      </c>
      <c r="F38" s="413">
        <v>250000</v>
      </c>
      <c r="G38" s="413">
        <f>F38*E38*D38</f>
        <v>2250000</v>
      </c>
      <c r="H38" s="411">
        <v>9</v>
      </c>
      <c r="I38" s="411">
        <v>1</v>
      </c>
      <c r="J38" s="413">
        <v>250000</v>
      </c>
      <c r="K38" s="413">
        <f>J38*I38*H38</f>
        <v>2250000</v>
      </c>
      <c r="L38" s="397">
        <f>K38-G38</f>
        <v>0</v>
      </c>
      <c r="M38" s="406" t="s">
        <v>352</v>
      </c>
      <c r="N38" s="280"/>
    </row>
    <row r="39" spans="1:14" ht="19.5" customHeight="1">
      <c r="A39" s="411" t="s">
        <v>166</v>
      </c>
      <c r="B39" s="412" t="s">
        <v>273</v>
      </c>
      <c r="C39" s="411" t="s">
        <v>339</v>
      </c>
      <c r="D39" s="411">
        <v>1</v>
      </c>
      <c r="E39" s="411">
        <v>1</v>
      </c>
      <c r="F39" s="413">
        <v>600000</v>
      </c>
      <c r="G39" s="413">
        <f>F39*E39*D39</f>
        <v>600000</v>
      </c>
      <c r="H39" s="411">
        <v>1</v>
      </c>
      <c r="I39" s="411">
        <v>1</v>
      </c>
      <c r="J39" s="413">
        <v>600000</v>
      </c>
      <c r="K39" s="413">
        <f>J39*I39*H39</f>
        <v>600000</v>
      </c>
      <c r="L39" s="397">
        <f>K39-G39</f>
        <v>0</v>
      </c>
      <c r="M39" s="406" t="s">
        <v>180</v>
      </c>
      <c r="N39" s="280"/>
    </row>
    <row r="40" spans="1:14" ht="23.25" customHeight="1">
      <c r="A40" s="512">
        <v>6</v>
      </c>
      <c r="B40" s="513" t="s">
        <v>335</v>
      </c>
      <c r="C40" s="512"/>
      <c r="D40" s="520"/>
      <c r="E40" s="520"/>
      <c r="F40" s="519"/>
      <c r="G40" s="519">
        <f>G41+G48+G51</f>
        <v>9360000</v>
      </c>
      <c r="H40" s="520"/>
      <c r="I40" s="520"/>
      <c r="J40" s="519"/>
      <c r="K40" s="519">
        <f>K41+K48+K51</f>
        <v>9360000</v>
      </c>
      <c r="L40" s="515">
        <f>G40-K40</f>
        <v>0</v>
      </c>
      <c r="M40" s="516"/>
      <c r="N40" s="280"/>
    </row>
    <row r="41" spans="1:14">
      <c r="A41" s="411" t="s">
        <v>168</v>
      </c>
      <c r="B41" s="415" t="s">
        <v>274</v>
      </c>
      <c r="C41" s="411"/>
      <c r="D41" s="416"/>
      <c r="E41" s="416"/>
      <c r="F41" s="413"/>
      <c r="G41" s="413">
        <f>SUM(G42:G47)</f>
        <v>7120000</v>
      </c>
      <c r="H41" s="416"/>
      <c r="I41" s="416"/>
      <c r="J41" s="413"/>
      <c r="K41" s="413">
        <f>SUM(K42:K47)</f>
        <v>7120000</v>
      </c>
      <c r="L41" s="397">
        <f>K41-G41</f>
        <v>0</v>
      </c>
      <c r="M41" s="398"/>
      <c r="N41" s="280"/>
    </row>
    <row r="42" spans="1:14">
      <c r="A42" s="407" t="s">
        <v>15</v>
      </c>
      <c r="B42" s="417" t="s">
        <v>275</v>
      </c>
      <c r="C42" s="409" t="s">
        <v>163</v>
      </c>
      <c r="D42" s="418">
        <v>1</v>
      </c>
      <c r="E42" s="409">
        <v>2</v>
      </c>
      <c r="F42" s="410">
        <v>300000</v>
      </c>
      <c r="G42" s="410">
        <f>D42*E42*F42</f>
        <v>600000</v>
      </c>
      <c r="H42" s="418">
        <v>1</v>
      </c>
      <c r="I42" s="409">
        <v>2</v>
      </c>
      <c r="J42" s="410">
        <v>300000</v>
      </c>
      <c r="K42" s="410">
        <f>H42*I42*J42</f>
        <v>600000</v>
      </c>
      <c r="L42" s="289">
        <f t="shared" ref="L42:L47" si="11">K42-G42</f>
        <v>0</v>
      </c>
      <c r="M42" s="897" t="s">
        <v>352</v>
      </c>
      <c r="N42" s="280"/>
    </row>
    <row r="43" spans="1:14">
      <c r="A43" s="407" t="s">
        <v>15</v>
      </c>
      <c r="B43" s="417" t="s">
        <v>276</v>
      </c>
      <c r="C43" s="409" t="s">
        <v>163</v>
      </c>
      <c r="D43" s="418">
        <v>2</v>
      </c>
      <c r="E43" s="409">
        <v>2</v>
      </c>
      <c r="F43" s="410">
        <v>270000</v>
      </c>
      <c r="G43" s="410">
        <f t="shared" ref="G43:G47" si="12">D43*E43*F43</f>
        <v>1080000</v>
      </c>
      <c r="H43" s="418">
        <v>2</v>
      </c>
      <c r="I43" s="409">
        <v>2</v>
      </c>
      <c r="J43" s="410">
        <v>270000</v>
      </c>
      <c r="K43" s="410">
        <f t="shared" ref="K43:K47" si="13">H43*I43*J43</f>
        <v>1080000</v>
      </c>
      <c r="L43" s="289">
        <f t="shared" si="11"/>
        <v>0</v>
      </c>
      <c r="M43" s="897"/>
      <c r="N43" s="280"/>
    </row>
    <row r="44" spans="1:14">
      <c r="A44" s="407" t="s">
        <v>15</v>
      </c>
      <c r="B44" s="417" t="s">
        <v>277</v>
      </c>
      <c r="C44" s="409" t="s">
        <v>163</v>
      </c>
      <c r="D44" s="418">
        <v>2</v>
      </c>
      <c r="E44" s="409">
        <v>2</v>
      </c>
      <c r="F44" s="410">
        <v>160000</v>
      </c>
      <c r="G44" s="410">
        <f t="shared" si="12"/>
        <v>640000</v>
      </c>
      <c r="H44" s="418">
        <v>2</v>
      </c>
      <c r="I44" s="409">
        <v>2</v>
      </c>
      <c r="J44" s="410">
        <v>160000</v>
      </c>
      <c r="K44" s="410">
        <f t="shared" si="13"/>
        <v>640000</v>
      </c>
      <c r="L44" s="289">
        <f t="shared" si="11"/>
        <v>0</v>
      </c>
      <c r="M44" s="897"/>
      <c r="N44" s="280"/>
    </row>
    <row r="45" spans="1:14">
      <c r="A45" s="407" t="s">
        <v>15</v>
      </c>
      <c r="B45" s="408" t="s">
        <v>262</v>
      </c>
      <c r="C45" s="409" t="s">
        <v>163</v>
      </c>
      <c r="D45" s="418">
        <v>25</v>
      </c>
      <c r="E45" s="409">
        <v>1</v>
      </c>
      <c r="F45" s="410">
        <v>160000</v>
      </c>
      <c r="G45" s="410">
        <f t="shared" si="12"/>
        <v>4000000</v>
      </c>
      <c r="H45" s="418">
        <v>25</v>
      </c>
      <c r="I45" s="409">
        <v>1</v>
      </c>
      <c r="J45" s="410">
        <v>160000</v>
      </c>
      <c r="K45" s="410">
        <f t="shared" si="13"/>
        <v>4000000</v>
      </c>
      <c r="L45" s="289">
        <f t="shared" si="11"/>
        <v>0</v>
      </c>
      <c r="M45" s="897"/>
      <c r="N45" s="280"/>
    </row>
    <row r="46" spans="1:14">
      <c r="A46" s="407" t="s">
        <v>15</v>
      </c>
      <c r="B46" s="417" t="s">
        <v>278</v>
      </c>
      <c r="C46" s="409" t="s">
        <v>163</v>
      </c>
      <c r="D46" s="418">
        <v>2</v>
      </c>
      <c r="E46" s="409">
        <v>2</v>
      </c>
      <c r="F46" s="410">
        <v>160000</v>
      </c>
      <c r="G46" s="410">
        <f t="shared" si="12"/>
        <v>640000</v>
      </c>
      <c r="H46" s="418">
        <v>2</v>
      </c>
      <c r="I46" s="409">
        <v>2</v>
      </c>
      <c r="J46" s="410">
        <v>160000</v>
      </c>
      <c r="K46" s="410">
        <f t="shared" si="13"/>
        <v>640000</v>
      </c>
      <c r="L46" s="289">
        <f t="shared" si="11"/>
        <v>0</v>
      </c>
      <c r="M46" s="897"/>
      <c r="N46" s="280"/>
    </row>
    <row r="47" spans="1:14">
      <c r="A47" s="407" t="s">
        <v>15</v>
      </c>
      <c r="B47" s="417" t="s">
        <v>279</v>
      </c>
      <c r="C47" s="409" t="s">
        <v>163</v>
      </c>
      <c r="D47" s="418">
        <v>1</v>
      </c>
      <c r="E47" s="409">
        <v>1</v>
      </c>
      <c r="F47" s="410">
        <v>160000</v>
      </c>
      <c r="G47" s="410">
        <f t="shared" si="12"/>
        <v>160000</v>
      </c>
      <c r="H47" s="418">
        <v>1</v>
      </c>
      <c r="I47" s="409">
        <v>1</v>
      </c>
      <c r="J47" s="410">
        <v>160000</v>
      </c>
      <c r="K47" s="410">
        <f t="shared" si="13"/>
        <v>160000</v>
      </c>
      <c r="L47" s="289">
        <f t="shared" si="11"/>
        <v>0</v>
      </c>
      <c r="M47" s="897"/>
      <c r="N47" s="280"/>
    </row>
    <row r="48" spans="1:14">
      <c r="A48" s="411" t="s">
        <v>167</v>
      </c>
      <c r="B48" s="415" t="s">
        <v>280</v>
      </c>
      <c r="C48" s="411"/>
      <c r="D48" s="416"/>
      <c r="E48" s="411"/>
      <c r="F48" s="413"/>
      <c r="G48" s="413">
        <f>SUM(G49:G50)</f>
        <v>1240000</v>
      </c>
      <c r="H48" s="416"/>
      <c r="I48" s="411"/>
      <c r="J48" s="413"/>
      <c r="K48" s="413">
        <f>SUM(K49:K50)</f>
        <v>1240000</v>
      </c>
      <c r="L48" s="397">
        <f>K48-G48</f>
        <v>0</v>
      </c>
      <c r="M48" s="398"/>
      <c r="N48" s="280"/>
    </row>
    <row r="49" spans="1:14">
      <c r="A49" s="407" t="s">
        <v>15</v>
      </c>
      <c r="B49" s="408" t="s">
        <v>259</v>
      </c>
      <c r="C49" s="409" t="s">
        <v>163</v>
      </c>
      <c r="D49" s="409">
        <v>1</v>
      </c>
      <c r="E49" s="409">
        <v>2</v>
      </c>
      <c r="F49" s="410">
        <v>300000</v>
      </c>
      <c r="G49" s="410">
        <f>D49*E49*F49</f>
        <v>600000</v>
      </c>
      <c r="H49" s="409">
        <v>1</v>
      </c>
      <c r="I49" s="409">
        <v>2</v>
      </c>
      <c r="J49" s="410">
        <v>300000</v>
      </c>
      <c r="K49" s="410">
        <f>H49*I49*J49</f>
        <v>600000</v>
      </c>
      <c r="L49" s="289">
        <f t="shared" ref="L49:L50" si="14">K49-G49</f>
        <v>0</v>
      </c>
      <c r="M49" s="897" t="s">
        <v>352</v>
      </c>
      <c r="N49" s="280"/>
    </row>
    <row r="50" spans="1:14">
      <c r="A50" s="407" t="s">
        <v>15</v>
      </c>
      <c r="B50" s="408" t="s">
        <v>262</v>
      </c>
      <c r="C50" s="409" t="s">
        <v>163</v>
      </c>
      <c r="D50" s="409">
        <v>2</v>
      </c>
      <c r="E50" s="409">
        <v>2</v>
      </c>
      <c r="F50" s="410">
        <v>160000</v>
      </c>
      <c r="G50" s="410">
        <f>D50*E50*F50</f>
        <v>640000</v>
      </c>
      <c r="H50" s="409">
        <v>2</v>
      </c>
      <c r="I50" s="409">
        <v>2</v>
      </c>
      <c r="J50" s="410">
        <v>160000</v>
      </c>
      <c r="K50" s="410">
        <f>H50*I50*J50</f>
        <v>640000</v>
      </c>
      <c r="L50" s="289">
        <f t="shared" si="14"/>
        <v>0</v>
      </c>
      <c r="M50" s="897"/>
      <c r="N50" s="280"/>
    </row>
    <row r="51" spans="1:14">
      <c r="A51" s="411" t="s">
        <v>166</v>
      </c>
      <c r="B51" s="412" t="s">
        <v>281</v>
      </c>
      <c r="C51" s="414" t="s">
        <v>282</v>
      </c>
      <c r="D51" s="416"/>
      <c r="E51" s="411">
        <v>1</v>
      </c>
      <c r="F51" s="413">
        <v>1000000</v>
      </c>
      <c r="G51" s="413">
        <f>F51*E51</f>
        <v>1000000</v>
      </c>
      <c r="H51" s="416"/>
      <c r="I51" s="411">
        <v>1</v>
      </c>
      <c r="J51" s="413">
        <v>1000000</v>
      </c>
      <c r="K51" s="413">
        <f>J51*I51</f>
        <v>1000000</v>
      </c>
      <c r="L51" s="397">
        <f>K51-G51</f>
        <v>0</v>
      </c>
      <c r="M51" s="406" t="s">
        <v>180</v>
      </c>
      <c r="N51" s="280"/>
    </row>
    <row r="52" spans="1:14">
      <c r="A52" s="512">
        <v>7</v>
      </c>
      <c r="B52" s="513" t="s">
        <v>336</v>
      </c>
      <c r="C52" s="521"/>
      <c r="D52" s="521"/>
      <c r="E52" s="521"/>
      <c r="F52" s="522"/>
      <c r="G52" s="519">
        <f>G53+G59+G62+G63+G64</f>
        <v>41030000</v>
      </c>
      <c r="H52" s="521"/>
      <c r="I52" s="521"/>
      <c r="J52" s="522"/>
      <c r="K52" s="519">
        <f>K53+K59+K62+K63+K64</f>
        <v>41030000</v>
      </c>
      <c r="L52" s="515">
        <f>G52-K52</f>
        <v>0</v>
      </c>
      <c r="M52" s="516"/>
      <c r="N52" s="280"/>
    </row>
    <row r="53" spans="1:14">
      <c r="A53" s="411" t="s">
        <v>168</v>
      </c>
      <c r="B53" s="412" t="s">
        <v>283</v>
      </c>
      <c r="C53" s="411"/>
      <c r="D53" s="411"/>
      <c r="E53" s="411"/>
      <c r="F53" s="413"/>
      <c r="G53" s="413">
        <f>SUM(G54:G58)</f>
        <v>23020000</v>
      </c>
      <c r="H53" s="411"/>
      <c r="I53" s="411"/>
      <c r="J53" s="413"/>
      <c r="K53" s="413">
        <f>SUM(K54:K58)</f>
        <v>23020000</v>
      </c>
      <c r="L53" s="397">
        <f>K53-G53</f>
        <v>0</v>
      </c>
      <c r="M53" s="398"/>
      <c r="N53" s="280"/>
    </row>
    <row r="54" spans="1:14">
      <c r="A54" s="407" t="s">
        <v>15</v>
      </c>
      <c r="B54" s="408" t="s">
        <v>263</v>
      </c>
      <c r="C54" s="409" t="s">
        <v>163</v>
      </c>
      <c r="D54" s="409">
        <v>1</v>
      </c>
      <c r="E54" s="409">
        <v>2</v>
      </c>
      <c r="F54" s="410">
        <v>300000</v>
      </c>
      <c r="G54" s="410">
        <f>D54*E54*F54</f>
        <v>600000</v>
      </c>
      <c r="H54" s="409">
        <v>1</v>
      </c>
      <c r="I54" s="409">
        <v>2</v>
      </c>
      <c r="J54" s="410">
        <v>300000</v>
      </c>
      <c r="K54" s="410">
        <f>H54*I54*J54</f>
        <v>600000</v>
      </c>
      <c r="L54" s="289">
        <f t="shared" si="0"/>
        <v>0</v>
      </c>
      <c r="M54" s="897" t="s">
        <v>352</v>
      </c>
      <c r="N54" s="280"/>
    </row>
    <row r="55" spans="1:14">
      <c r="A55" s="407" t="s">
        <v>15</v>
      </c>
      <c r="B55" s="408" t="s">
        <v>264</v>
      </c>
      <c r="C55" s="409" t="s">
        <v>163</v>
      </c>
      <c r="D55" s="409">
        <v>2</v>
      </c>
      <c r="E55" s="409">
        <v>2</v>
      </c>
      <c r="F55" s="410">
        <v>160000</v>
      </c>
      <c r="G55" s="410">
        <f>F55*E55*D55</f>
        <v>640000</v>
      </c>
      <c r="H55" s="409">
        <v>2</v>
      </c>
      <c r="I55" s="409">
        <v>2</v>
      </c>
      <c r="J55" s="410">
        <v>160000</v>
      </c>
      <c r="K55" s="410">
        <f>J55*I55*H55</f>
        <v>640000</v>
      </c>
      <c r="L55" s="289">
        <f t="shared" si="0"/>
        <v>0</v>
      </c>
      <c r="M55" s="897"/>
      <c r="N55" s="280"/>
    </row>
    <row r="56" spans="1:14">
      <c r="A56" s="407" t="s">
        <v>15</v>
      </c>
      <c r="B56" s="408" t="s">
        <v>284</v>
      </c>
      <c r="C56" s="409" t="s">
        <v>163</v>
      </c>
      <c r="D56" s="409">
        <v>39</v>
      </c>
      <c r="E56" s="409">
        <v>2</v>
      </c>
      <c r="F56" s="410">
        <v>270000</v>
      </c>
      <c r="G56" s="410">
        <f>F56*E56*D56</f>
        <v>21060000</v>
      </c>
      <c r="H56" s="409">
        <v>39</v>
      </c>
      <c r="I56" s="409">
        <v>2</v>
      </c>
      <c r="J56" s="410">
        <v>270000</v>
      </c>
      <c r="K56" s="410">
        <f>J56*I56*H56</f>
        <v>21060000</v>
      </c>
      <c r="L56" s="289">
        <f t="shared" si="0"/>
        <v>0</v>
      </c>
      <c r="M56" s="897"/>
      <c r="N56" s="280"/>
    </row>
    <row r="57" spans="1:14">
      <c r="A57" s="407" t="s">
        <v>15</v>
      </c>
      <c r="B57" s="408" t="s">
        <v>266</v>
      </c>
      <c r="C57" s="409" t="s">
        <v>163</v>
      </c>
      <c r="D57" s="409">
        <v>1</v>
      </c>
      <c r="E57" s="409">
        <v>2</v>
      </c>
      <c r="F57" s="410">
        <v>200000</v>
      </c>
      <c r="G57" s="410">
        <f t="shared" ref="G57:G58" si="15">D57*E57*F57</f>
        <v>400000</v>
      </c>
      <c r="H57" s="409">
        <v>1</v>
      </c>
      <c r="I57" s="409">
        <v>2</v>
      </c>
      <c r="J57" s="410">
        <v>200000</v>
      </c>
      <c r="K57" s="410">
        <f t="shared" ref="K57:K58" si="16">H57*I57*J57</f>
        <v>400000</v>
      </c>
      <c r="L57" s="289">
        <f t="shared" si="0"/>
        <v>0</v>
      </c>
      <c r="M57" s="897"/>
      <c r="N57" s="280"/>
    </row>
    <row r="58" spans="1:14">
      <c r="A58" s="407" t="s">
        <v>15</v>
      </c>
      <c r="B58" s="408" t="s">
        <v>267</v>
      </c>
      <c r="C58" s="409" t="s">
        <v>163</v>
      </c>
      <c r="D58" s="409">
        <v>1</v>
      </c>
      <c r="E58" s="409">
        <v>2</v>
      </c>
      <c r="F58" s="410">
        <v>160000</v>
      </c>
      <c r="G58" s="410">
        <f t="shared" si="15"/>
        <v>320000</v>
      </c>
      <c r="H58" s="409">
        <v>1</v>
      </c>
      <c r="I58" s="409">
        <v>2</v>
      </c>
      <c r="J58" s="410">
        <v>160000</v>
      </c>
      <c r="K58" s="410">
        <f t="shared" si="16"/>
        <v>320000</v>
      </c>
      <c r="L58" s="289">
        <f t="shared" si="0"/>
        <v>0</v>
      </c>
      <c r="M58" s="897"/>
      <c r="N58" s="280"/>
    </row>
    <row r="59" spans="1:14">
      <c r="A59" s="411" t="s">
        <v>167</v>
      </c>
      <c r="B59" s="415" t="s">
        <v>280</v>
      </c>
      <c r="C59" s="411"/>
      <c r="D59" s="416"/>
      <c r="E59" s="411"/>
      <c r="F59" s="413"/>
      <c r="G59" s="413">
        <f>SUM(G60:G61)</f>
        <v>1560000</v>
      </c>
      <c r="H59" s="416"/>
      <c r="I59" s="411"/>
      <c r="J59" s="413"/>
      <c r="K59" s="413">
        <f>SUM(K60:K61)</f>
        <v>1560000</v>
      </c>
      <c r="L59" s="397">
        <f t="shared" ref="L59:L64" si="17">K59-G59</f>
        <v>0</v>
      </c>
      <c r="M59" s="321"/>
      <c r="N59" s="280"/>
    </row>
    <row r="60" spans="1:14">
      <c r="A60" s="407" t="s">
        <v>15</v>
      </c>
      <c r="B60" s="408" t="s">
        <v>259</v>
      </c>
      <c r="C60" s="409" t="s">
        <v>163</v>
      </c>
      <c r="D60" s="409">
        <v>1</v>
      </c>
      <c r="E60" s="409">
        <v>2</v>
      </c>
      <c r="F60" s="410">
        <v>300000</v>
      </c>
      <c r="G60" s="410">
        <f>D60*E60*F60</f>
        <v>600000</v>
      </c>
      <c r="H60" s="409">
        <v>1</v>
      </c>
      <c r="I60" s="409">
        <v>2</v>
      </c>
      <c r="J60" s="410">
        <v>300000</v>
      </c>
      <c r="K60" s="410">
        <f>H60*I60*J60</f>
        <v>600000</v>
      </c>
      <c r="L60" s="289">
        <f t="shared" si="17"/>
        <v>0</v>
      </c>
      <c r="M60" s="897" t="s">
        <v>352</v>
      </c>
      <c r="N60" s="280"/>
    </row>
    <row r="61" spans="1:14">
      <c r="A61" s="407" t="s">
        <v>15</v>
      </c>
      <c r="B61" s="408" t="s">
        <v>262</v>
      </c>
      <c r="C61" s="409" t="s">
        <v>163</v>
      </c>
      <c r="D61" s="409">
        <v>3</v>
      </c>
      <c r="E61" s="409">
        <v>2</v>
      </c>
      <c r="F61" s="410">
        <v>160000</v>
      </c>
      <c r="G61" s="410">
        <f>D61*E61*F61</f>
        <v>960000</v>
      </c>
      <c r="H61" s="409">
        <v>3</v>
      </c>
      <c r="I61" s="409">
        <v>2</v>
      </c>
      <c r="J61" s="410">
        <v>160000</v>
      </c>
      <c r="K61" s="410">
        <f>H61*I61*J61</f>
        <v>960000</v>
      </c>
      <c r="L61" s="289">
        <f t="shared" si="17"/>
        <v>0</v>
      </c>
      <c r="M61" s="897"/>
      <c r="N61" s="280"/>
    </row>
    <row r="62" spans="1:14">
      <c r="A62" s="411" t="s">
        <v>166</v>
      </c>
      <c r="B62" s="412" t="s">
        <v>285</v>
      </c>
      <c r="C62" s="411" t="s">
        <v>339</v>
      </c>
      <c r="D62" s="411">
        <v>1</v>
      </c>
      <c r="E62" s="411">
        <v>2</v>
      </c>
      <c r="F62" s="413">
        <v>600000</v>
      </c>
      <c r="G62" s="413">
        <f t="shared" ref="G62:G63" si="18">F62*E62*D62</f>
        <v>1200000</v>
      </c>
      <c r="H62" s="411">
        <v>1</v>
      </c>
      <c r="I62" s="411">
        <v>2</v>
      </c>
      <c r="J62" s="413">
        <v>600000</v>
      </c>
      <c r="K62" s="413">
        <f t="shared" ref="K62:K63" si="19">J62*I62*H62</f>
        <v>1200000</v>
      </c>
      <c r="L62" s="397">
        <f t="shared" si="17"/>
        <v>0</v>
      </c>
      <c r="M62" s="406" t="s">
        <v>180</v>
      </c>
      <c r="N62" s="280"/>
    </row>
    <row r="63" spans="1:14" ht="30">
      <c r="A63" s="411" t="s">
        <v>165</v>
      </c>
      <c r="B63" s="412" t="s">
        <v>342</v>
      </c>
      <c r="C63" s="411" t="s">
        <v>163</v>
      </c>
      <c r="D63" s="411">
        <v>49</v>
      </c>
      <c r="E63" s="411">
        <v>1</v>
      </c>
      <c r="F63" s="413">
        <v>250000</v>
      </c>
      <c r="G63" s="413">
        <f t="shared" si="18"/>
        <v>12250000</v>
      </c>
      <c r="H63" s="411">
        <v>49</v>
      </c>
      <c r="I63" s="411">
        <v>1</v>
      </c>
      <c r="J63" s="413">
        <v>250000</v>
      </c>
      <c r="K63" s="413">
        <f t="shared" si="19"/>
        <v>12250000</v>
      </c>
      <c r="L63" s="397">
        <f t="shared" si="17"/>
        <v>0</v>
      </c>
      <c r="M63" s="406" t="s">
        <v>352</v>
      </c>
      <c r="N63" s="280"/>
    </row>
    <row r="64" spans="1:14">
      <c r="A64" s="411" t="s">
        <v>334</v>
      </c>
      <c r="B64" s="412" t="s">
        <v>337</v>
      </c>
      <c r="C64" s="411" t="s">
        <v>339</v>
      </c>
      <c r="D64" s="411">
        <v>10</v>
      </c>
      <c r="E64" s="411">
        <v>1</v>
      </c>
      <c r="F64" s="413">
        <v>300000</v>
      </c>
      <c r="G64" s="413">
        <f>F64*E64*D64</f>
        <v>3000000</v>
      </c>
      <c r="H64" s="411">
        <v>10</v>
      </c>
      <c r="I64" s="411">
        <v>1</v>
      </c>
      <c r="J64" s="413">
        <v>300000</v>
      </c>
      <c r="K64" s="413">
        <f>J64*I64*H64</f>
        <v>3000000</v>
      </c>
      <c r="L64" s="397">
        <f t="shared" si="17"/>
        <v>0</v>
      </c>
      <c r="M64" s="405" t="s">
        <v>180</v>
      </c>
      <c r="N64" s="280"/>
    </row>
    <row r="65" spans="1:14" ht="18.75" customHeight="1">
      <c r="A65" s="512">
        <v>8</v>
      </c>
      <c r="B65" s="513" t="s">
        <v>338</v>
      </c>
      <c r="C65" s="512"/>
      <c r="D65" s="512"/>
      <c r="E65" s="512"/>
      <c r="F65" s="519"/>
      <c r="G65" s="519">
        <f>G66+G73</f>
        <v>17240000</v>
      </c>
      <c r="H65" s="512"/>
      <c r="I65" s="512"/>
      <c r="J65" s="519"/>
      <c r="K65" s="519">
        <f>K66+K73</f>
        <v>17240000</v>
      </c>
      <c r="L65" s="515">
        <f>G65-K65</f>
        <v>0</v>
      </c>
      <c r="M65" s="523"/>
      <c r="N65" s="280"/>
    </row>
    <row r="66" spans="1:14">
      <c r="A66" s="411" t="s">
        <v>168</v>
      </c>
      <c r="B66" s="412" t="s">
        <v>286</v>
      </c>
      <c r="C66" s="411"/>
      <c r="D66" s="411"/>
      <c r="E66" s="411"/>
      <c r="F66" s="413"/>
      <c r="G66" s="413">
        <f>SUM(G67:G72)</f>
        <v>8240000</v>
      </c>
      <c r="H66" s="411"/>
      <c r="I66" s="411"/>
      <c r="J66" s="413"/>
      <c r="K66" s="413">
        <f>SUM(K67:K72)</f>
        <v>8240000</v>
      </c>
      <c r="L66" s="397">
        <f>K66-G66</f>
        <v>0</v>
      </c>
      <c r="M66" s="321"/>
      <c r="N66" s="280"/>
    </row>
    <row r="67" spans="1:14" ht="16.5" customHeight="1">
      <c r="A67" s="407" t="s">
        <v>15</v>
      </c>
      <c r="B67" s="408" t="s">
        <v>263</v>
      </c>
      <c r="C67" s="409" t="s">
        <v>163</v>
      </c>
      <c r="D67" s="409">
        <v>1</v>
      </c>
      <c r="E67" s="409">
        <v>4</v>
      </c>
      <c r="F67" s="410">
        <v>300000</v>
      </c>
      <c r="G67" s="410">
        <f>D67*E67*F67</f>
        <v>1200000</v>
      </c>
      <c r="H67" s="409">
        <v>1</v>
      </c>
      <c r="I67" s="409">
        <v>4</v>
      </c>
      <c r="J67" s="410">
        <v>300000</v>
      </c>
      <c r="K67" s="410">
        <f>H67*I67*J67</f>
        <v>1200000</v>
      </c>
      <c r="L67" s="289">
        <f>K67-G67</f>
        <v>0</v>
      </c>
      <c r="M67" s="897" t="s">
        <v>352</v>
      </c>
      <c r="N67" s="280"/>
    </row>
    <row r="68" spans="1:14">
      <c r="A68" s="407" t="s">
        <v>15</v>
      </c>
      <c r="B68" s="408" t="s">
        <v>287</v>
      </c>
      <c r="C68" s="409" t="s">
        <v>163</v>
      </c>
      <c r="D68" s="409">
        <v>4</v>
      </c>
      <c r="E68" s="409">
        <v>4</v>
      </c>
      <c r="F68" s="410">
        <v>160000</v>
      </c>
      <c r="G68" s="410">
        <f>D68*E68*F68</f>
        <v>2560000</v>
      </c>
      <c r="H68" s="409">
        <v>4</v>
      </c>
      <c r="I68" s="409">
        <v>4</v>
      </c>
      <c r="J68" s="410">
        <v>160000</v>
      </c>
      <c r="K68" s="410">
        <f>H68*I68*J68</f>
        <v>2560000</v>
      </c>
      <c r="L68" s="289">
        <f>K68-G68</f>
        <v>0</v>
      </c>
      <c r="M68" s="897"/>
      <c r="N68" s="280"/>
    </row>
    <row r="69" spans="1:14">
      <c r="A69" s="407" t="s">
        <v>15</v>
      </c>
      <c r="B69" s="408" t="s">
        <v>288</v>
      </c>
      <c r="C69" s="409" t="s">
        <v>163</v>
      </c>
      <c r="D69" s="409">
        <v>1</v>
      </c>
      <c r="E69" s="409">
        <v>4</v>
      </c>
      <c r="F69" s="410">
        <v>160000</v>
      </c>
      <c r="G69" s="410">
        <f>D69*E69*F69</f>
        <v>640000</v>
      </c>
      <c r="H69" s="409">
        <v>1</v>
      </c>
      <c r="I69" s="409">
        <v>4</v>
      </c>
      <c r="J69" s="410">
        <v>160000</v>
      </c>
      <c r="K69" s="410">
        <f>H69*I69*J69</f>
        <v>640000</v>
      </c>
      <c r="L69" s="289">
        <f t="shared" ref="L69:L72" si="20">K69-G69</f>
        <v>0</v>
      </c>
      <c r="M69" s="897"/>
      <c r="N69" s="280"/>
    </row>
    <row r="70" spans="1:14">
      <c r="A70" s="407" t="s">
        <v>15</v>
      </c>
      <c r="B70" s="408" t="s">
        <v>289</v>
      </c>
      <c r="C70" s="409" t="s">
        <v>163</v>
      </c>
      <c r="D70" s="409">
        <v>2</v>
      </c>
      <c r="E70" s="409">
        <v>4</v>
      </c>
      <c r="F70" s="410">
        <v>300000</v>
      </c>
      <c r="G70" s="410">
        <f>D70*E70*F70</f>
        <v>2400000</v>
      </c>
      <c r="H70" s="409">
        <v>2</v>
      </c>
      <c r="I70" s="409">
        <v>4</v>
      </c>
      <c r="J70" s="410">
        <v>300000</v>
      </c>
      <c r="K70" s="410">
        <f>H70*I70*J70</f>
        <v>2400000</v>
      </c>
      <c r="L70" s="289">
        <f t="shared" si="20"/>
        <v>0</v>
      </c>
      <c r="M70" s="406" t="s">
        <v>180</v>
      </c>
      <c r="N70" s="280"/>
    </row>
    <row r="71" spans="1:14" ht="18" customHeight="1">
      <c r="A71" s="407" t="s">
        <v>15</v>
      </c>
      <c r="B71" s="408" t="s">
        <v>266</v>
      </c>
      <c r="C71" s="409" t="s">
        <v>163</v>
      </c>
      <c r="D71" s="409">
        <v>1</v>
      </c>
      <c r="E71" s="409">
        <v>4</v>
      </c>
      <c r="F71" s="410">
        <v>200000</v>
      </c>
      <c r="G71" s="410">
        <f t="shared" ref="G71:G72" si="21">D71*E71*F71</f>
        <v>800000</v>
      </c>
      <c r="H71" s="409">
        <v>1</v>
      </c>
      <c r="I71" s="409">
        <v>4</v>
      </c>
      <c r="J71" s="410">
        <v>200000</v>
      </c>
      <c r="K71" s="410">
        <f t="shared" ref="K71:K72" si="22">H71*I71*J71</f>
        <v>800000</v>
      </c>
      <c r="L71" s="289">
        <f t="shared" si="20"/>
        <v>0</v>
      </c>
      <c r="M71" s="897" t="s">
        <v>352</v>
      </c>
      <c r="N71" s="280"/>
    </row>
    <row r="72" spans="1:14" ht="21" customHeight="1">
      <c r="A72" s="407" t="s">
        <v>15</v>
      </c>
      <c r="B72" s="408" t="s">
        <v>267</v>
      </c>
      <c r="C72" s="409" t="s">
        <v>163</v>
      </c>
      <c r="D72" s="409">
        <v>1</v>
      </c>
      <c r="E72" s="409">
        <v>4</v>
      </c>
      <c r="F72" s="410">
        <v>160000</v>
      </c>
      <c r="G72" s="410">
        <f t="shared" si="21"/>
        <v>640000</v>
      </c>
      <c r="H72" s="409">
        <v>1</v>
      </c>
      <c r="I72" s="409">
        <v>4</v>
      </c>
      <c r="J72" s="410">
        <v>160000</v>
      </c>
      <c r="K72" s="410">
        <f t="shared" si="22"/>
        <v>640000</v>
      </c>
      <c r="L72" s="289">
        <f t="shared" si="20"/>
        <v>0</v>
      </c>
      <c r="M72" s="897"/>
      <c r="N72" s="280"/>
    </row>
    <row r="73" spans="1:14" ht="36" customHeight="1">
      <c r="A73" s="411" t="s">
        <v>167</v>
      </c>
      <c r="B73" s="412" t="s">
        <v>343</v>
      </c>
      <c r="C73" s="411" t="s">
        <v>163</v>
      </c>
      <c r="D73" s="411">
        <v>12</v>
      </c>
      <c r="E73" s="411">
        <v>3</v>
      </c>
      <c r="F73" s="413">
        <v>250000</v>
      </c>
      <c r="G73" s="413">
        <f>D73*E73*F73</f>
        <v>9000000</v>
      </c>
      <c r="H73" s="411">
        <v>12</v>
      </c>
      <c r="I73" s="411">
        <v>3</v>
      </c>
      <c r="J73" s="413">
        <v>250000</v>
      </c>
      <c r="K73" s="413">
        <f>H73*I73*J73</f>
        <v>9000000</v>
      </c>
      <c r="L73" s="397">
        <f>K73-G73</f>
        <v>0</v>
      </c>
      <c r="M73" s="406" t="s">
        <v>352</v>
      </c>
      <c r="N73" s="280"/>
    </row>
    <row r="74" spans="1:14" ht="67.5" customHeight="1">
      <c r="A74" s="512">
        <v>9</v>
      </c>
      <c r="B74" s="513" t="s">
        <v>368</v>
      </c>
      <c r="C74" s="512"/>
      <c r="D74" s="512"/>
      <c r="E74" s="512"/>
      <c r="F74" s="519"/>
      <c r="G74" s="519">
        <f>SUM(G75:G79)</f>
        <v>22790000</v>
      </c>
      <c r="H74" s="512"/>
      <c r="I74" s="512"/>
      <c r="J74" s="519"/>
      <c r="K74" s="519">
        <f>SUM(K75:K79)</f>
        <v>22790000</v>
      </c>
      <c r="L74" s="515">
        <f>G74-K74</f>
        <v>0</v>
      </c>
      <c r="M74" s="524"/>
      <c r="N74" s="280"/>
    </row>
    <row r="75" spans="1:14" ht="19.5" customHeight="1">
      <c r="A75" s="407" t="s">
        <v>15</v>
      </c>
      <c r="B75" s="408" t="s">
        <v>290</v>
      </c>
      <c r="C75" s="409" t="s">
        <v>163</v>
      </c>
      <c r="D75" s="409">
        <v>1</v>
      </c>
      <c r="E75" s="409">
        <v>15</v>
      </c>
      <c r="F75" s="410">
        <v>300000</v>
      </c>
      <c r="G75" s="410">
        <f>D75*E75*F75</f>
        <v>4500000</v>
      </c>
      <c r="H75" s="409">
        <v>1</v>
      </c>
      <c r="I75" s="409">
        <v>15</v>
      </c>
      <c r="J75" s="410">
        <v>300000</v>
      </c>
      <c r="K75" s="410">
        <f>H75*I75*J75</f>
        <v>4500000</v>
      </c>
      <c r="L75" s="289">
        <f>K75-G75</f>
        <v>0</v>
      </c>
      <c r="M75" s="897" t="s">
        <v>352</v>
      </c>
      <c r="N75" s="280"/>
    </row>
    <row r="76" spans="1:14" ht="20.25" customHeight="1">
      <c r="A76" s="407" t="s">
        <v>15</v>
      </c>
      <c r="B76" s="408" t="s">
        <v>291</v>
      </c>
      <c r="C76" s="409" t="s">
        <v>163</v>
      </c>
      <c r="D76" s="409">
        <v>1</v>
      </c>
      <c r="E76" s="409">
        <v>15</v>
      </c>
      <c r="F76" s="410">
        <v>270000</v>
      </c>
      <c r="G76" s="410">
        <f>D76*E76*F76</f>
        <v>4050000</v>
      </c>
      <c r="H76" s="409">
        <v>1</v>
      </c>
      <c r="I76" s="409">
        <v>15</v>
      </c>
      <c r="J76" s="410">
        <v>270000</v>
      </c>
      <c r="K76" s="410">
        <f>H76*I76*J76</f>
        <v>4050000</v>
      </c>
      <c r="L76" s="289">
        <f t="shared" si="0"/>
        <v>0</v>
      </c>
      <c r="M76" s="897"/>
      <c r="N76" s="280"/>
    </row>
    <row r="77" spans="1:14" ht="19.5" customHeight="1">
      <c r="A77" s="407" t="s">
        <v>15</v>
      </c>
      <c r="B77" s="408" t="s">
        <v>292</v>
      </c>
      <c r="C77" s="409" t="s">
        <v>163</v>
      </c>
      <c r="D77" s="409">
        <v>4</v>
      </c>
      <c r="E77" s="409">
        <v>15</v>
      </c>
      <c r="F77" s="410">
        <v>160000</v>
      </c>
      <c r="G77" s="410">
        <f>D77*E77*F77</f>
        <v>9600000</v>
      </c>
      <c r="H77" s="409">
        <v>4</v>
      </c>
      <c r="I77" s="409">
        <v>15</v>
      </c>
      <c r="J77" s="410">
        <v>160000</v>
      </c>
      <c r="K77" s="410">
        <f>H77*I77*J77</f>
        <v>9600000</v>
      </c>
      <c r="L77" s="289">
        <f t="shared" si="0"/>
        <v>0</v>
      </c>
      <c r="M77" s="897"/>
      <c r="N77" s="280"/>
    </row>
    <row r="78" spans="1:14" ht="18" customHeight="1">
      <c r="A78" s="407" t="s">
        <v>15</v>
      </c>
      <c r="B78" s="408" t="s">
        <v>369</v>
      </c>
      <c r="C78" s="409" t="s">
        <v>163</v>
      </c>
      <c r="D78" s="409">
        <v>1</v>
      </c>
      <c r="E78" s="409">
        <v>17</v>
      </c>
      <c r="F78" s="410">
        <v>160000</v>
      </c>
      <c r="G78" s="410">
        <f>D78*E78*F78</f>
        <v>2720000</v>
      </c>
      <c r="H78" s="409">
        <v>1</v>
      </c>
      <c r="I78" s="409">
        <v>17</v>
      </c>
      <c r="J78" s="410">
        <v>160000</v>
      </c>
      <c r="K78" s="410">
        <f>H78*I78*J78</f>
        <v>2720000</v>
      </c>
      <c r="L78" s="289">
        <f t="shared" si="0"/>
        <v>0</v>
      </c>
      <c r="M78" s="897"/>
      <c r="N78" s="280"/>
    </row>
    <row r="79" spans="1:14" ht="28.5" customHeight="1">
      <c r="A79" s="407" t="s">
        <v>15</v>
      </c>
      <c r="B79" s="408" t="s">
        <v>293</v>
      </c>
      <c r="C79" s="409" t="s">
        <v>163</v>
      </c>
      <c r="D79" s="409">
        <v>3</v>
      </c>
      <c r="E79" s="409">
        <v>4</v>
      </c>
      <c r="F79" s="410">
        <v>160000</v>
      </c>
      <c r="G79" s="410">
        <f>D79*E79*F79</f>
        <v>1920000</v>
      </c>
      <c r="H79" s="409">
        <v>3</v>
      </c>
      <c r="I79" s="409">
        <v>4</v>
      </c>
      <c r="J79" s="410">
        <v>160000</v>
      </c>
      <c r="K79" s="410">
        <f>H79*I79*J79</f>
        <v>1920000</v>
      </c>
      <c r="L79" s="289">
        <f t="shared" si="0"/>
        <v>0</v>
      </c>
      <c r="M79" s="897"/>
      <c r="N79" s="280"/>
    </row>
    <row r="80" spans="1:14" ht="31.5" customHeight="1">
      <c r="A80" s="525">
        <v>10</v>
      </c>
      <c r="B80" s="513" t="s">
        <v>344</v>
      </c>
      <c r="C80" s="512"/>
      <c r="D80" s="512"/>
      <c r="E80" s="512"/>
      <c r="F80" s="519"/>
      <c r="G80" s="519">
        <f>SUM(G81:G83)</f>
        <v>12000000</v>
      </c>
      <c r="H80" s="512"/>
      <c r="I80" s="512"/>
      <c r="J80" s="519"/>
      <c r="K80" s="519">
        <f>SUM(K81:K83)</f>
        <v>12000000</v>
      </c>
      <c r="L80" s="515">
        <f>G80-K80</f>
        <v>0</v>
      </c>
      <c r="M80" s="518"/>
      <c r="N80" s="280"/>
    </row>
    <row r="81" spans="1:17" ht="30">
      <c r="A81" s="407" t="s">
        <v>15</v>
      </c>
      <c r="B81" s="408" t="s">
        <v>294</v>
      </c>
      <c r="C81" s="409" t="s">
        <v>163</v>
      </c>
      <c r="D81" s="409">
        <v>2</v>
      </c>
      <c r="E81" s="409">
        <v>5</v>
      </c>
      <c r="F81" s="410">
        <v>100000</v>
      </c>
      <c r="G81" s="410">
        <f t="shared" ref="G81:G83" si="23">D81*E81*F81</f>
        <v>1000000</v>
      </c>
      <c r="H81" s="409">
        <v>2</v>
      </c>
      <c r="I81" s="409">
        <v>5</v>
      </c>
      <c r="J81" s="410">
        <v>100000</v>
      </c>
      <c r="K81" s="410">
        <f t="shared" ref="K81:K83" si="24">H81*I81*J81</f>
        <v>1000000</v>
      </c>
      <c r="L81" s="289">
        <f>K81-G81</f>
        <v>0</v>
      </c>
      <c r="M81" s="897" t="s">
        <v>352</v>
      </c>
      <c r="N81" s="280"/>
    </row>
    <row r="82" spans="1:17" ht="30">
      <c r="A82" s="407" t="s">
        <v>15</v>
      </c>
      <c r="B82" s="408" t="s">
        <v>295</v>
      </c>
      <c r="C82" s="409" t="s">
        <v>163</v>
      </c>
      <c r="D82" s="409">
        <v>22</v>
      </c>
      <c r="E82" s="409">
        <v>3</v>
      </c>
      <c r="F82" s="410">
        <v>100000</v>
      </c>
      <c r="G82" s="410">
        <f t="shared" si="23"/>
        <v>6600000</v>
      </c>
      <c r="H82" s="409">
        <v>22</v>
      </c>
      <c r="I82" s="409">
        <v>3</v>
      </c>
      <c r="J82" s="410">
        <v>100000</v>
      </c>
      <c r="K82" s="410">
        <f t="shared" si="24"/>
        <v>6600000</v>
      </c>
      <c r="L82" s="289">
        <f t="shared" ref="L82:L83" si="25">K82-G82</f>
        <v>0</v>
      </c>
      <c r="M82" s="897"/>
      <c r="N82" s="280"/>
    </row>
    <row r="83" spans="1:17">
      <c r="A83" s="407" t="s">
        <v>15</v>
      </c>
      <c r="B83" s="417" t="s">
        <v>296</v>
      </c>
      <c r="C83" s="409" t="s">
        <v>163</v>
      </c>
      <c r="D83" s="418">
        <v>22</v>
      </c>
      <c r="E83" s="409">
        <v>2</v>
      </c>
      <c r="F83" s="410">
        <v>100000</v>
      </c>
      <c r="G83" s="410">
        <f t="shared" si="23"/>
        <v>4400000</v>
      </c>
      <c r="H83" s="418">
        <v>22</v>
      </c>
      <c r="I83" s="409">
        <v>2</v>
      </c>
      <c r="J83" s="410">
        <v>100000</v>
      </c>
      <c r="K83" s="410">
        <f t="shared" si="24"/>
        <v>4400000</v>
      </c>
      <c r="L83" s="289">
        <f t="shared" si="25"/>
        <v>0</v>
      </c>
      <c r="M83" s="897"/>
      <c r="N83" s="280"/>
    </row>
    <row r="84" spans="1:17" ht="21.75" customHeight="1">
      <c r="A84" s="512">
        <v>11</v>
      </c>
      <c r="B84" s="513" t="s">
        <v>345</v>
      </c>
      <c r="C84" s="520"/>
      <c r="D84" s="520"/>
      <c r="E84" s="520"/>
      <c r="F84" s="519"/>
      <c r="G84" s="519">
        <f>SUM(G85:G89)</f>
        <v>11440000</v>
      </c>
      <c r="H84" s="520"/>
      <c r="I84" s="520"/>
      <c r="J84" s="519"/>
      <c r="K84" s="519">
        <f>SUM(K85:K89)</f>
        <v>11440000</v>
      </c>
      <c r="L84" s="515">
        <f>G84-K84</f>
        <v>0</v>
      </c>
      <c r="M84" s="518"/>
      <c r="N84" s="280"/>
      <c r="Q84" s="295"/>
    </row>
    <row r="85" spans="1:17" ht="30">
      <c r="A85" s="407" t="s">
        <v>15</v>
      </c>
      <c r="B85" s="408" t="s">
        <v>370</v>
      </c>
      <c r="C85" s="409" t="s">
        <v>163</v>
      </c>
      <c r="D85" s="409">
        <v>44</v>
      </c>
      <c r="E85" s="409">
        <v>3</v>
      </c>
      <c r="F85" s="410">
        <v>40000</v>
      </c>
      <c r="G85" s="410">
        <f t="shared" ref="G85:G89" si="26">F85*E85*D85</f>
        <v>5280000</v>
      </c>
      <c r="H85" s="409">
        <v>44</v>
      </c>
      <c r="I85" s="409">
        <v>3</v>
      </c>
      <c r="J85" s="410">
        <v>40000</v>
      </c>
      <c r="K85" s="410">
        <f t="shared" ref="K85:K89" si="27">J85*I85*H85</f>
        <v>5280000</v>
      </c>
      <c r="L85" s="289">
        <f>K85-G85</f>
        <v>0</v>
      </c>
      <c r="M85" s="897" t="s">
        <v>179</v>
      </c>
      <c r="N85" s="280"/>
    </row>
    <row r="86" spans="1:17" ht="30">
      <c r="A86" s="407" t="s">
        <v>15</v>
      </c>
      <c r="B86" s="408" t="s">
        <v>371</v>
      </c>
      <c r="C86" s="409" t="s">
        <v>163</v>
      </c>
      <c r="D86" s="409">
        <v>10</v>
      </c>
      <c r="E86" s="409">
        <v>1</v>
      </c>
      <c r="F86" s="410">
        <v>40000</v>
      </c>
      <c r="G86" s="410">
        <f t="shared" si="26"/>
        <v>400000</v>
      </c>
      <c r="H86" s="409">
        <v>10</v>
      </c>
      <c r="I86" s="409">
        <v>1</v>
      </c>
      <c r="J86" s="410">
        <v>40000</v>
      </c>
      <c r="K86" s="410">
        <f t="shared" si="27"/>
        <v>400000</v>
      </c>
      <c r="L86" s="289">
        <f t="shared" ref="L86:L89" si="28">K86-G86</f>
        <v>0</v>
      </c>
      <c r="M86" s="897"/>
      <c r="N86" s="280"/>
    </row>
    <row r="87" spans="1:17" ht="30">
      <c r="A87" s="407" t="s">
        <v>15</v>
      </c>
      <c r="B87" s="408" t="s">
        <v>297</v>
      </c>
      <c r="C87" s="409" t="s">
        <v>163</v>
      </c>
      <c r="D87" s="409">
        <v>62</v>
      </c>
      <c r="E87" s="409">
        <v>1</v>
      </c>
      <c r="F87" s="410">
        <v>40000</v>
      </c>
      <c r="G87" s="410">
        <f t="shared" si="26"/>
        <v>2480000</v>
      </c>
      <c r="H87" s="409">
        <v>62</v>
      </c>
      <c r="I87" s="409">
        <v>1</v>
      </c>
      <c r="J87" s="410">
        <v>40000</v>
      </c>
      <c r="K87" s="410">
        <f t="shared" si="27"/>
        <v>2480000</v>
      </c>
      <c r="L87" s="289">
        <f t="shared" si="28"/>
        <v>0</v>
      </c>
      <c r="M87" s="897"/>
      <c r="N87" s="280"/>
    </row>
    <row r="88" spans="1:17">
      <c r="A88" s="407" t="s">
        <v>15</v>
      </c>
      <c r="B88" s="408" t="s">
        <v>372</v>
      </c>
      <c r="C88" s="409" t="s">
        <v>163</v>
      </c>
      <c r="D88" s="409">
        <v>11</v>
      </c>
      <c r="E88" s="409">
        <v>3</v>
      </c>
      <c r="F88" s="410">
        <v>40000</v>
      </c>
      <c r="G88" s="410">
        <f t="shared" si="26"/>
        <v>1320000</v>
      </c>
      <c r="H88" s="409">
        <v>11</v>
      </c>
      <c r="I88" s="409">
        <v>3</v>
      </c>
      <c r="J88" s="410">
        <v>40000</v>
      </c>
      <c r="K88" s="410">
        <f t="shared" si="27"/>
        <v>1320000</v>
      </c>
      <c r="L88" s="289">
        <f t="shared" si="28"/>
        <v>0</v>
      </c>
      <c r="M88" s="897"/>
      <c r="N88" s="280"/>
    </row>
    <row r="89" spans="1:17">
      <c r="A89" s="407" t="s">
        <v>15</v>
      </c>
      <c r="B89" s="408" t="s">
        <v>346</v>
      </c>
      <c r="C89" s="409" t="s">
        <v>163</v>
      </c>
      <c r="D89" s="409">
        <v>49</v>
      </c>
      <c r="E89" s="409">
        <v>1</v>
      </c>
      <c r="F89" s="410">
        <v>40000</v>
      </c>
      <c r="G89" s="410">
        <f t="shared" si="26"/>
        <v>1960000</v>
      </c>
      <c r="H89" s="409">
        <v>49</v>
      </c>
      <c r="I89" s="409">
        <v>1</v>
      </c>
      <c r="J89" s="410">
        <v>40000</v>
      </c>
      <c r="K89" s="410">
        <f t="shared" si="27"/>
        <v>1960000</v>
      </c>
      <c r="L89" s="289">
        <f t="shared" si="28"/>
        <v>0</v>
      </c>
      <c r="M89" s="897"/>
      <c r="N89" s="280"/>
    </row>
    <row r="90" spans="1:17" ht="22.5" customHeight="1">
      <c r="A90" s="512">
        <v>12</v>
      </c>
      <c r="B90" s="513" t="s">
        <v>174</v>
      </c>
      <c r="C90" s="512"/>
      <c r="D90" s="526"/>
      <c r="E90" s="526"/>
      <c r="F90" s="519"/>
      <c r="G90" s="519">
        <f>SUM(G91:G117)</f>
        <v>49844000</v>
      </c>
      <c r="H90" s="526"/>
      <c r="I90" s="526"/>
      <c r="J90" s="519"/>
      <c r="K90" s="519">
        <f>SUM(K91:K117)</f>
        <v>41840000</v>
      </c>
      <c r="L90" s="515">
        <f>G90-K90</f>
        <v>8004000</v>
      </c>
      <c r="M90" s="518"/>
      <c r="N90" s="280"/>
    </row>
    <row r="91" spans="1:17" ht="45">
      <c r="A91" s="407" t="s">
        <v>15</v>
      </c>
      <c r="B91" s="408" t="s">
        <v>298</v>
      </c>
      <c r="C91" s="409" t="s">
        <v>164</v>
      </c>
      <c r="D91" s="419">
        <v>600</v>
      </c>
      <c r="E91" s="419"/>
      <c r="F91" s="420">
        <v>1200</v>
      </c>
      <c r="G91" s="421">
        <f>D91*F91</f>
        <v>720000</v>
      </c>
      <c r="H91" s="419">
        <v>600</v>
      </c>
      <c r="I91" s="419"/>
      <c r="J91" s="420">
        <v>1200</v>
      </c>
      <c r="K91" s="421">
        <f>H91*J91</f>
        <v>720000</v>
      </c>
      <c r="L91" s="289">
        <f>K91-G91</f>
        <v>0</v>
      </c>
      <c r="M91" s="388"/>
      <c r="N91" s="280"/>
    </row>
    <row r="92" spans="1:17">
      <c r="A92" s="407" t="s">
        <v>15</v>
      </c>
      <c r="B92" s="408" t="s">
        <v>299</v>
      </c>
      <c r="C92" s="409" t="s">
        <v>164</v>
      </c>
      <c r="D92" s="419">
        <v>220</v>
      </c>
      <c r="E92" s="419"/>
      <c r="F92" s="420">
        <v>1200</v>
      </c>
      <c r="G92" s="421">
        <f t="shared" ref="G92:G116" si="29">D92*F92</f>
        <v>264000</v>
      </c>
      <c r="H92" s="419">
        <v>220</v>
      </c>
      <c r="I92" s="419"/>
      <c r="J92" s="420">
        <v>1200</v>
      </c>
      <c r="K92" s="421">
        <f>H92*J92-4000</f>
        <v>260000</v>
      </c>
      <c r="L92" s="289">
        <f t="shared" ref="L92:L117" si="30">K92-G92</f>
        <v>-4000</v>
      </c>
      <c r="M92" s="579" t="s">
        <v>374</v>
      </c>
      <c r="N92" s="280"/>
    </row>
    <row r="93" spans="1:17">
      <c r="A93" s="407" t="s">
        <v>15</v>
      </c>
      <c r="B93" s="408" t="s">
        <v>300</v>
      </c>
      <c r="C93" s="409" t="s">
        <v>301</v>
      </c>
      <c r="D93" s="419">
        <v>400</v>
      </c>
      <c r="E93" s="419"/>
      <c r="F93" s="420">
        <v>7000</v>
      </c>
      <c r="G93" s="421">
        <f t="shared" si="29"/>
        <v>2800000</v>
      </c>
      <c r="H93" s="419">
        <v>400</v>
      </c>
      <c r="I93" s="419"/>
      <c r="J93" s="420">
        <v>7000</v>
      </c>
      <c r="K93" s="421">
        <f t="shared" ref="K93:K104" si="31">H93*J93</f>
        <v>2800000</v>
      </c>
      <c r="L93" s="289">
        <f t="shared" si="30"/>
        <v>0</v>
      </c>
      <c r="M93" s="388"/>
      <c r="N93" s="280"/>
    </row>
    <row r="94" spans="1:17">
      <c r="A94" s="407" t="s">
        <v>15</v>
      </c>
      <c r="B94" s="408" t="s">
        <v>302</v>
      </c>
      <c r="C94" s="409" t="s">
        <v>164</v>
      </c>
      <c r="D94" s="409">
        <v>1</v>
      </c>
      <c r="E94" s="418"/>
      <c r="F94" s="410">
        <v>800000</v>
      </c>
      <c r="G94" s="421">
        <f t="shared" si="29"/>
        <v>800000</v>
      </c>
      <c r="H94" s="409">
        <v>1</v>
      </c>
      <c r="I94" s="418"/>
      <c r="J94" s="410">
        <v>800000</v>
      </c>
      <c r="K94" s="421">
        <f t="shared" si="31"/>
        <v>800000</v>
      </c>
      <c r="L94" s="289">
        <f t="shared" si="30"/>
        <v>0</v>
      </c>
      <c r="M94" s="300"/>
      <c r="N94" s="280"/>
    </row>
    <row r="95" spans="1:17">
      <c r="A95" s="407" t="s">
        <v>15</v>
      </c>
      <c r="B95" s="408" t="s">
        <v>303</v>
      </c>
      <c r="C95" s="409" t="s">
        <v>304</v>
      </c>
      <c r="D95" s="409">
        <v>4</v>
      </c>
      <c r="E95" s="418"/>
      <c r="F95" s="410">
        <v>300000</v>
      </c>
      <c r="G95" s="421">
        <f t="shared" si="29"/>
        <v>1200000</v>
      </c>
      <c r="H95" s="409">
        <v>4</v>
      </c>
      <c r="I95" s="418"/>
      <c r="J95" s="410">
        <v>300000</v>
      </c>
      <c r="K95" s="421">
        <f t="shared" si="31"/>
        <v>1200000</v>
      </c>
      <c r="L95" s="289">
        <f t="shared" si="30"/>
        <v>0</v>
      </c>
      <c r="M95" s="300"/>
      <c r="N95" s="280"/>
      <c r="Q95" s="295"/>
    </row>
    <row r="96" spans="1:17">
      <c r="A96" s="407" t="s">
        <v>15</v>
      </c>
      <c r="B96" s="408" t="s">
        <v>305</v>
      </c>
      <c r="C96" s="409" t="s">
        <v>306</v>
      </c>
      <c r="D96" s="419">
        <v>520</v>
      </c>
      <c r="E96" s="419"/>
      <c r="F96" s="420">
        <v>1000</v>
      </c>
      <c r="G96" s="421">
        <f t="shared" si="29"/>
        <v>520000</v>
      </c>
      <c r="H96" s="419">
        <v>520</v>
      </c>
      <c r="I96" s="419"/>
      <c r="J96" s="420">
        <v>1000</v>
      </c>
      <c r="K96" s="421">
        <f t="shared" si="31"/>
        <v>520000</v>
      </c>
      <c r="L96" s="289">
        <f t="shared" si="30"/>
        <v>0</v>
      </c>
      <c r="M96" s="300"/>
      <c r="N96" s="280"/>
    </row>
    <row r="97" spans="1:14">
      <c r="A97" s="407" t="s">
        <v>15</v>
      </c>
      <c r="B97" s="408" t="s">
        <v>307</v>
      </c>
      <c r="C97" s="409" t="s">
        <v>164</v>
      </c>
      <c r="D97" s="419">
        <v>80</v>
      </c>
      <c r="E97" s="419"/>
      <c r="F97" s="420">
        <v>10000</v>
      </c>
      <c r="G97" s="421">
        <f t="shared" si="29"/>
        <v>800000</v>
      </c>
      <c r="H97" s="419">
        <v>80</v>
      </c>
      <c r="I97" s="419"/>
      <c r="J97" s="420">
        <v>10000</v>
      </c>
      <c r="K97" s="421">
        <f t="shared" si="31"/>
        <v>800000</v>
      </c>
      <c r="L97" s="289">
        <f t="shared" si="30"/>
        <v>0</v>
      </c>
      <c r="M97" s="579"/>
      <c r="N97" s="280"/>
    </row>
    <row r="98" spans="1:14">
      <c r="A98" s="407" t="s">
        <v>15</v>
      </c>
      <c r="B98" s="408" t="s">
        <v>308</v>
      </c>
      <c r="C98" s="409" t="s">
        <v>164</v>
      </c>
      <c r="D98" s="419">
        <v>400</v>
      </c>
      <c r="E98" s="419"/>
      <c r="F98" s="420">
        <v>6000</v>
      </c>
      <c r="G98" s="421">
        <f t="shared" si="29"/>
        <v>2400000</v>
      </c>
      <c r="H98" s="419">
        <v>400</v>
      </c>
      <c r="I98" s="419"/>
      <c r="J98" s="420">
        <v>6000</v>
      </c>
      <c r="K98" s="421">
        <f t="shared" si="31"/>
        <v>2400000</v>
      </c>
      <c r="L98" s="289">
        <f t="shared" si="30"/>
        <v>0</v>
      </c>
      <c r="M98" s="579"/>
      <c r="N98" s="280"/>
    </row>
    <row r="99" spans="1:14">
      <c r="A99" s="407" t="s">
        <v>15</v>
      </c>
      <c r="B99" s="408" t="s">
        <v>309</v>
      </c>
      <c r="C99" s="409" t="s">
        <v>164</v>
      </c>
      <c r="D99" s="409">
        <v>152</v>
      </c>
      <c r="E99" s="409"/>
      <c r="F99" s="410">
        <v>25000</v>
      </c>
      <c r="G99" s="421">
        <f t="shared" si="29"/>
        <v>3800000</v>
      </c>
      <c r="H99" s="409">
        <v>152</v>
      </c>
      <c r="I99" s="409"/>
      <c r="J99" s="410">
        <v>25000</v>
      </c>
      <c r="K99" s="421">
        <f t="shared" si="31"/>
        <v>3800000</v>
      </c>
      <c r="L99" s="289">
        <f t="shared" si="30"/>
        <v>0</v>
      </c>
      <c r="M99" s="579"/>
      <c r="N99" s="280"/>
    </row>
    <row r="100" spans="1:14">
      <c r="A100" s="407" t="s">
        <v>15</v>
      </c>
      <c r="B100" s="408" t="s">
        <v>310</v>
      </c>
      <c r="C100" s="409" t="s">
        <v>164</v>
      </c>
      <c r="D100" s="409">
        <v>2</v>
      </c>
      <c r="E100" s="409"/>
      <c r="F100" s="410">
        <v>450000</v>
      </c>
      <c r="G100" s="421">
        <f t="shared" si="29"/>
        <v>900000</v>
      </c>
      <c r="H100" s="409">
        <v>2</v>
      </c>
      <c r="I100" s="409"/>
      <c r="J100" s="410">
        <v>450000</v>
      </c>
      <c r="K100" s="421">
        <f t="shared" si="31"/>
        <v>900000</v>
      </c>
      <c r="L100" s="289">
        <f t="shared" si="30"/>
        <v>0</v>
      </c>
      <c r="M100" s="579"/>
      <c r="N100" s="280"/>
    </row>
    <row r="101" spans="1:14">
      <c r="A101" s="407" t="s">
        <v>15</v>
      </c>
      <c r="B101" s="408" t="s">
        <v>311</v>
      </c>
      <c r="C101" s="409" t="s">
        <v>164</v>
      </c>
      <c r="D101" s="409">
        <v>1</v>
      </c>
      <c r="E101" s="409"/>
      <c r="F101" s="410">
        <v>600000</v>
      </c>
      <c r="G101" s="421">
        <f t="shared" si="29"/>
        <v>600000</v>
      </c>
      <c r="H101" s="409">
        <v>1</v>
      </c>
      <c r="I101" s="409"/>
      <c r="J101" s="410">
        <v>600000</v>
      </c>
      <c r="K101" s="421">
        <f t="shared" si="31"/>
        <v>600000</v>
      </c>
      <c r="L101" s="289">
        <f t="shared" si="30"/>
        <v>0</v>
      </c>
      <c r="M101" s="300"/>
      <c r="N101" s="280"/>
    </row>
    <row r="102" spans="1:14">
      <c r="A102" s="407" t="s">
        <v>15</v>
      </c>
      <c r="B102" s="408" t="s">
        <v>312</v>
      </c>
      <c r="C102" s="409" t="s">
        <v>164</v>
      </c>
      <c r="D102" s="409">
        <v>6</v>
      </c>
      <c r="E102" s="422"/>
      <c r="F102" s="423">
        <v>300000</v>
      </c>
      <c r="G102" s="421">
        <f t="shared" si="29"/>
        <v>1800000</v>
      </c>
      <c r="H102" s="409">
        <v>6</v>
      </c>
      <c r="I102" s="422"/>
      <c r="J102" s="423">
        <v>300000</v>
      </c>
      <c r="K102" s="421">
        <f t="shared" si="31"/>
        <v>1800000</v>
      </c>
      <c r="L102" s="289">
        <f t="shared" si="30"/>
        <v>0</v>
      </c>
      <c r="M102" s="579"/>
      <c r="N102" s="280"/>
    </row>
    <row r="103" spans="1:14">
      <c r="A103" s="407" t="s">
        <v>15</v>
      </c>
      <c r="B103" s="408" t="s">
        <v>313</v>
      </c>
      <c r="C103" s="409" t="s">
        <v>164</v>
      </c>
      <c r="D103" s="409">
        <v>2</v>
      </c>
      <c r="E103" s="422"/>
      <c r="F103" s="423">
        <v>200000</v>
      </c>
      <c r="G103" s="421">
        <f t="shared" si="29"/>
        <v>400000</v>
      </c>
      <c r="H103" s="409">
        <v>2</v>
      </c>
      <c r="I103" s="422"/>
      <c r="J103" s="423">
        <v>200000</v>
      </c>
      <c r="K103" s="421">
        <f t="shared" si="31"/>
        <v>400000</v>
      </c>
      <c r="L103" s="289">
        <f t="shared" si="30"/>
        <v>0</v>
      </c>
      <c r="M103" s="579"/>
      <c r="N103" s="280"/>
    </row>
    <row r="104" spans="1:14">
      <c r="A104" s="407" t="s">
        <v>15</v>
      </c>
      <c r="B104" s="408" t="s">
        <v>314</v>
      </c>
      <c r="C104" s="409" t="s">
        <v>164</v>
      </c>
      <c r="D104" s="409">
        <v>7</v>
      </c>
      <c r="E104" s="422"/>
      <c r="F104" s="423">
        <v>50000</v>
      </c>
      <c r="G104" s="421">
        <f t="shared" si="29"/>
        <v>350000</v>
      </c>
      <c r="H104" s="409">
        <v>7</v>
      </c>
      <c r="I104" s="422"/>
      <c r="J104" s="423">
        <v>50000</v>
      </c>
      <c r="K104" s="421">
        <f t="shared" si="31"/>
        <v>350000</v>
      </c>
      <c r="L104" s="289">
        <f t="shared" si="30"/>
        <v>0</v>
      </c>
      <c r="M104" s="579"/>
      <c r="N104" s="280"/>
    </row>
    <row r="105" spans="1:14" ht="30">
      <c r="A105" s="407" t="s">
        <v>15</v>
      </c>
      <c r="B105" s="408" t="s">
        <v>315</v>
      </c>
      <c r="C105" s="409"/>
      <c r="D105" s="409"/>
      <c r="E105" s="422"/>
      <c r="F105" s="423"/>
      <c r="G105" s="421">
        <v>5000000</v>
      </c>
      <c r="H105" s="409"/>
      <c r="I105" s="422"/>
      <c r="J105" s="423"/>
      <c r="K105" s="421">
        <v>5000000</v>
      </c>
      <c r="L105" s="289">
        <f t="shared" si="30"/>
        <v>0</v>
      </c>
      <c r="M105" s="579"/>
      <c r="N105" s="280"/>
    </row>
    <row r="106" spans="1:14">
      <c r="A106" s="407" t="s">
        <v>15</v>
      </c>
      <c r="B106" s="408" t="s">
        <v>316</v>
      </c>
      <c r="C106" s="409" t="s">
        <v>177</v>
      </c>
      <c r="D106" s="409">
        <v>3</v>
      </c>
      <c r="E106" s="422"/>
      <c r="F106" s="423">
        <v>900000</v>
      </c>
      <c r="G106" s="421">
        <f t="shared" si="29"/>
        <v>2700000</v>
      </c>
      <c r="H106" s="409">
        <v>3</v>
      </c>
      <c r="I106" s="422"/>
      <c r="J106" s="423">
        <v>900000</v>
      </c>
      <c r="K106" s="421">
        <f t="shared" ref="K106:K113" si="32">H106*J106</f>
        <v>2700000</v>
      </c>
      <c r="L106" s="289">
        <f t="shared" si="30"/>
        <v>0</v>
      </c>
      <c r="M106" s="579"/>
      <c r="N106" s="280"/>
    </row>
    <row r="107" spans="1:14">
      <c r="A107" s="407" t="s">
        <v>15</v>
      </c>
      <c r="B107" s="408" t="s">
        <v>317</v>
      </c>
      <c r="C107" s="409" t="s">
        <v>177</v>
      </c>
      <c r="D107" s="409">
        <v>1</v>
      </c>
      <c r="E107" s="422"/>
      <c r="F107" s="423">
        <v>850000</v>
      </c>
      <c r="G107" s="421">
        <f t="shared" si="29"/>
        <v>850000</v>
      </c>
      <c r="H107" s="409">
        <v>1</v>
      </c>
      <c r="I107" s="422"/>
      <c r="J107" s="423">
        <v>850000</v>
      </c>
      <c r="K107" s="421">
        <f t="shared" si="32"/>
        <v>850000</v>
      </c>
      <c r="L107" s="289">
        <f t="shared" si="30"/>
        <v>0</v>
      </c>
      <c r="M107" s="579"/>
      <c r="N107" s="280"/>
    </row>
    <row r="108" spans="1:14">
      <c r="A108" s="407" t="s">
        <v>15</v>
      </c>
      <c r="B108" s="408" t="s">
        <v>318</v>
      </c>
      <c r="C108" s="409" t="s">
        <v>177</v>
      </c>
      <c r="D108" s="409">
        <v>6</v>
      </c>
      <c r="E108" s="422"/>
      <c r="F108" s="423">
        <v>200000</v>
      </c>
      <c r="G108" s="421">
        <f t="shared" si="29"/>
        <v>1200000</v>
      </c>
      <c r="H108" s="409">
        <v>6</v>
      </c>
      <c r="I108" s="422"/>
      <c r="J108" s="423">
        <v>200000</v>
      </c>
      <c r="K108" s="421">
        <f t="shared" si="32"/>
        <v>1200000</v>
      </c>
      <c r="L108" s="289">
        <f t="shared" si="30"/>
        <v>0</v>
      </c>
      <c r="M108" s="579"/>
      <c r="N108" s="280"/>
    </row>
    <row r="109" spans="1:14">
      <c r="A109" s="407" t="s">
        <v>15</v>
      </c>
      <c r="B109" s="408" t="s">
        <v>319</v>
      </c>
      <c r="C109" s="409" t="s">
        <v>320</v>
      </c>
      <c r="D109" s="409">
        <v>40</v>
      </c>
      <c r="E109" s="422"/>
      <c r="F109" s="423">
        <v>50000</v>
      </c>
      <c r="G109" s="421">
        <f t="shared" si="29"/>
        <v>2000000</v>
      </c>
      <c r="H109" s="409">
        <v>40</v>
      </c>
      <c r="I109" s="422"/>
      <c r="J109" s="423">
        <v>50000</v>
      </c>
      <c r="K109" s="421">
        <f>H109*J109</f>
        <v>2000000</v>
      </c>
      <c r="L109" s="289">
        <f t="shared" si="30"/>
        <v>0</v>
      </c>
      <c r="M109" s="579"/>
      <c r="N109" s="280"/>
    </row>
    <row r="110" spans="1:14">
      <c r="A110" s="407" t="s">
        <v>15</v>
      </c>
      <c r="B110" s="408" t="s">
        <v>321</v>
      </c>
      <c r="C110" s="409" t="s">
        <v>176</v>
      </c>
      <c r="D110" s="409">
        <v>40</v>
      </c>
      <c r="E110" s="422"/>
      <c r="F110" s="423">
        <v>85000</v>
      </c>
      <c r="G110" s="421">
        <f t="shared" si="29"/>
        <v>3400000</v>
      </c>
      <c r="H110" s="409">
        <v>40</v>
      </c>
      <c r="I110" s="422"/>
      <c r="J110" s="423">
        <v>85000</v>
      </c>
      <c r="K110" s="421">
        <f t="shared" si="32"/>
        <v>3400000</v>
      </c>
      <c r="L110" s="289">
        <f t="shared" si="30"/>
        <v>0</v>
      </c>
      <c r="M110" s="579"/>
      <c r="N110" s="280"/>
    </row>
    <row r="111" spans="1:14">
      <c r="A111" s="407" t="s">
        <v>15</v>
      </c>
      <c r="B111" s="408" t="s">
        <v>322</v>
      </c>
      <c r="C111" s="409" t="s">
        <v>164</v>
      </c>
      <c r="D111" s="409">
        <v>20</v>
      </c>
      <c r="E111" s="422"/>
      <c r="F111" s="423">
        <v>120000</v>
      </c>
      <c r="G111" s="421">
        <f t="shared" si="29"/>
        <v>2400000</v>
      </c>
      <c r="H111" s="409">
        <v>20</v>
      </c>
      <c r="I111" s="422"/>
      <c r="J111" s="423">
        <v>120000</v>
      </c>
      <c r="K111" s="421">
        <f t="shared" si="32"/>
        <v>2400000</v>
      </c>
      <c r="L111" s="289">
        <f t="shared" si="30"/>
        <v>0</v>
      </c>
      <c r="M111" s="579"/>
      <c r="N111" s="280"/>
    </row>
    <row r="112" spans="1:14">
      <c r="A112" s="407" t="s">
        <v>15</v>
      </c>
      <c r="B112" s="408" t="s">
        <v>323</v>
      </c>
      <c r="C112" s="409" t="s">
        <v>164</v>
      </c>
      <c r="D112" s="409">
        <v>6</v>
      </c>
      <c r="E112" s="422"/>
      <c r="F112" s="423">
        <v>250000</v>
      </c>
      <c r="G112" s="421">
        <f t="shared" si="29"/>
        <v>1500000</v>
      </c>
      <c r="H112" s="409">
        <v>6</v>
      </c>
      <c r="I112" s="422"/>
      <c r="J112" s="423">
        <v>250000</v>
      </c>
      <c r="K112" s="421">
        <f t="shared" si="32"/>
        <v>1500000</v>
      </c>
      <c r="L112" s="289">
        <f t="shared" si="30"/>
        <v>0</v>
      </c>
      <c r="M112" s="579"/>
      <c r="N112" s="280"/>
    </row>
    <row r="113" spans="1:14">
      <c r="A113" s="407" t="s">
        <v>15</v>
      </c>
      <c r="B113" s="408" t="s">
        <v>324</v>
      </c>
      <c r="C113" s="409" t="s">
        <v>164</v>
      </c>
      <c r="D113" s="409">
        <v>6</v>
      </c>
      <c r="E113" s="422"/>
      <c r="F113" s="423">
        <v>100000</v>
      </c>
      <c r="G113" s="421">
        <f t="shared" si="29"/>
        <v>600000</v>
      </c>
      <c r="H113" s="409">
        <v>6</v>
      </c>
      <c r="I113" s="422"/>
      <c r="J113" s="423">
        <v>100000</v>
      </c>
      <c r="K113" s="421">
        <f t="shared" si="32"/>
        <v>600000</v>
      </c>
      <c r="L113" s="289">
        <f t="shared" si="30"/>
        <v>0</v>
      </c>
      <c r="M113" s="579"/>
      <c r="N113" s="280"/>
    </row>
    <row r="114" spans="1:14">
      <c r="A114" s="407" t="s">
        <v>15</v>
      </c>
      <c r="B114" s="408" t="s">
        <v>325</v>
      </c>
      <c r="C114" s="409"/>
      <c r="D114" s="409"/>
      <c r="E114" s="422"/>
      <c r="F114" s="423"/>
      <c r="G114" s="421">
        <v>1000000</v>
      </c>
      <c r="H114" s="409"/>
      <c r="I114" s="422"/>
      <c r="J114" s="423"/>
      <c r="K114" s="421">
        <v>1000000</v>
      </c>
      <c r="L114" s="289">
        <f t="shared" si="30"/>
        <v>0</v>
      </c>
      <c r="M114" s="579"/>
      <c r="N114" s="280"/>
    </row>
    <row r="115" spans="1:14">
      <c r="A115" s="407" t="s">
        <v>15</v>
      </c>
      <c r="B115" s="408" t="s">
        <v>326</v>
      </c>
      <c r="C115" s="409" t="s">
        <v>175</v>
      </c>
      <c r="D115" s="409">
        <v>5</v>
      </c>
      <c r="E115" s="422"/>
      <c r="F115" s="423">
        <v>200000</v>
      </c>
      <c r="G115" s="421">
        <f t="shared" si="29"/>
        <v>1000000</v>
      </c>
      <c r="H115" s="409">
        <v>5</v>
      </c>
      <c r="I115" s="422"/>
      <c r="J115" s="423">
        <v>200000</v>
      </c>
      <c r="K115" s="421">
        <f t="shared" ref="K115:K116" si="33">H115*J115</f>
        <v>1000000</v>
      </c>
      <c r="L115" s="289">
        <f t="shared" si="30"/>
        <v>0</v>
      </c>
      <c r="M115" s="579"/>
      <c r="N115" s="280"/>
    </row>
    <row r="116" spans="1:14">
      <c r="A116" s="407" t="s">
        <v>15</v>
      </c>
      <c r="B116" s="408" t="s">
        <v>327</v>
      </c>
      <c r="C116" s="409" t="s">
        <v>164</v>
      </c>
      <c r="D116" s="409">
        <v>3</v>
      </c>
      <c r="E116" s="422"/>
      <c r="F116" s="423">
        <v>280000</v>
      </c>
      <c r="G116" s="421">
        <f t="shared" si="29"/>
        <v>840000</v>
      </c>
      <c r="H116" s="409">
        <v>3</v>
      </c>
      <c r="I116" s="422"/>
      <c r="J116" s="423">
        <v>280000</v>
      </c>
      <c r="K116" s="421">
        <f t="shared" si="33"/>
        <v>840000</v>
      </c>
      <c r="L116" s="289">
        <f t="shared" si="30"/>
        <v>0</v>
      </c>
      <c r="M116" s="300"/>
      <c r="N116" s="280"/>
    </row>
    <row r="117" spans="1:14" ht="37.5" customHeight="1">
      <c r="A117" s="407" t="s">
        <v>15</v>
      </c>
      <c r="B117" s="408" t="s">
        <v>328</v>
      </c>
      <c r="C117" s="409"/>
      <c r="D117" s="409"/>
      <c r="E117" s="422"/>
      <c r="F117" s="423"/>
      <c r="G117" s="421">
        <v>10000000</v>
      </c>
      <c r="H117" s="409"/>
      <c r="I117" s="422"/>
      <c r="J117" s="423"/>
      <c r="K117" s="421">
        <v>2000000</v>
      </c>
      <c r="L117" s="289">
        <f t="shared" si="30"/>
        <v>-8000000</v>
      </c>
      <c r="M117" s="579" t="s">
        <v>353</v>
      </c>
      <c r="N117" s="280"/>
    </row>
    <row r="118" spans="1:14" ht="30.75" customHeight="1">
      <c r="A118" s="399" t="s">
        <v>3</v>
      </c>
      <c r="B118" s="400" t="s">
        <v>248</v>
      </c>
      <c r="C118" s="401"/>
      <c r="D118" s="402"/>
      <c r="E118" s="402"/>
      <c r="F118" s="403"/>
      <c r="G118" s="403">
        <f>G119</f>
        <v>20800000</v>
      </c>
      <c r="H118" s="402"/>
      <c r="I118" s="402"/>
      <c r="J118" s="403"/>
      <c r="K118" s="403">
        <f>K119</f>
        <v>15000000</v>
      </c>
      <c r="L118" s="403">
        <f>K118-G118</f>
        <v>-5800000</v>
      </c>
      <c r="M118" s="400"/>
      <c r="N118" s="280"/>
    </row>
    <row r="119" spans="1:14" ht="29">
      <c r="A119" s="307">
        <v>1</v>
      </c>
      <c r="B119" s="301" t="s">
        <v>255</v>
      </c>
      <c r="C119" s="302"/>
      <c r="D119" s="394"/>
      <c r="E119" s="394"/>
      <c r="F119" s="303"/>
      <c r="G119" s="303">
        <f>SUM(G120:G127)</f>
        <v>20800000</v>
      </c>
      <c r="H119" s="394"/>
      <c r="I119" s="394"/>
      <c r="J119" s="303"/>
      <c r="K119" s="303">
        <f>SUM(K120:K127)</f>
        <v>15000000</v>
      </c>
      <c r="L119" s="303">
        <f>K119-G119</f>
        <v>-5800000</v>
      </c>
      <c r="M119" s="300"/>
      <c r="N119" s="280"/>
    </row>
    <row r="120" spans="1:14" ht="19" customHeight="1">
      <c r="A120" s="304" t="s">
        <v>168</v>
      </c>
      <c r="B120" s="305" t="s">
        <v>249</v>
      </c>
      <c r="C120" s="306" t="s">
        <v>163</v>
      </c>
      <c r="D120" s="425">
        <v>70</v>
      </c>
      <c r="E120" s="425">
        <v>1</v>
      </c>
      <c r="F120" s="289">
        <v>100000</v>
      </c>
      <c r="G120" s="289">
        <f>D120*E120*F120</f>
        <v>7000000</v>
      </c>
      <c r="H120" s="425">
        <v>70</v>
      </c>
      <c r="I120" s="425">
        <v>1</v>
      </c>
      <c r="J120" s="289">
        <v>100000</v>
      </c>
      <c r="K120" s="289">
        <f>H120*I120*J120</f>
        <v>7000000</v>
      </c>
      <c r="L120" s="289">
        <f t="shared" ref="L120:L127" si="34">K120-G120</f>
        <v>0</v>
      </c>
      <c r="M120" s="579" t="s">
        <v>179</v>
      </c>
      <c r="N120" s="280"/>
    </row>
    <row r="121" spans="1:14" ht="19" customHeight="1">
      <c r="A121" s="304" t="s">
        <v>167</v>
      </c>
      <c r="B121" s="305" t="s">
        <v>250</v>
      </c>
      <c r="C121" s="306" t="s">
        <v>163</v>
      </c>
      <c r="D121" s="425">
        <v>70</v>
      </c>
      <c r="E121" s="425">
        <v>1</v>
      </c>
      <c r="F121" s="289">
        <v>20000</v>
      </c>
      <c r="G121" s="289">
        <f t="shared" ref="G121:G125" si="35">D121*E121*F121</f>
        <v>1400000</v>
      </c>
      <c r="H121" s="425">
        <v>70</v>
      </c>
      <c r="I121" s="425">
        <v>1</v>
      </c>
      <c r="J121" s="289">
        <v>20000</v>
      </c>
      <c r="K121" s="289">
        <f t="shared" ref="K121:K125" si="36">H121*I121*J121</f>
        <v>1400000</v>
      </c>
      <c r="L121" s="289">
        <f t="shared" si="34"/>
        <v>0</v>
      </c>
      <c r="M121" s="579" t="s">
        <v>179</v>
      </c>
      <c r="N121" s="280"/>
    </row>
    <row r="122" spans="1:14" ht="19" customHeight="1">
      <c r="A122" s="304" t="s">
        <v>166</v>
      </c>
      <c r="B122" s="305" t="s">
        <v>251</v>
      </c>
      <c r="C122" s="306" t="s">
        <v>163</v>
      </c>
      <c r="D122" s="425">
        <v>20</v>
      </c>
      <c r="E122" s="425">
        <v>3</v>
      </c>
      <c r="F122" s="289">
        <v>20000</v>
      </c>
      <c r="G122" s="289">
        <f t="shared" si="35"/>
        <v>1200000</v>
      </c>
      <c r="H122" s="425">
        <v>20</v>
      </c>
      <c r="I122" s="425">
        <v>3</v>
      </c>
      <c r="J122" s="289">
        <v>20000</v>
      </c>
      <c r="K122" s="289">
        <f t="shared" si="36"/>
        <v>1200000</v>
      </c>
      <c r="L122" s="289">
        <f t="shared" si="34"/>
        <v>0</v>
      </c>
      <c r="M122" s="579" t="s">
        <v>181</v>
      </c>
      <c r="N122" s="280"/>
    </row>
    <row r="123" spans="1:14" ht="19" customHeight="1">
      <c r="A123" s="304" t="s">
        <v>165</v>
      </c>
      <c r="B123" s="305" t="s">
        <v>375</v>
      </c>
      <c r="C123" s="306" t="s">
        <v>163</v>
      </c>
      <c r="D123" s="425">
        <v>20</v>
      </c>
      <c r="E123" s="425">
        <v>1</v>
      </c>
      <c r="F123" s="289">
        <v>80000</v>
      </c>
      <c r="G123" s="289">
        <f t="shared" ref="G123:G124" si="37">D123*E123*F123</f>
        <v>1600000</v>
      </c>
      <c r="H123" s="425">
        <v>20</v>
      </c>
      <c r="I123" s="425">
        <v>1</v>
      </c>
      <c r="J123" s="289">
        <v>80000</v>
      </c>
      <c r="K123" s="289">
        <f t="shared" si="36"/>
        <v>1600000</v>
      </c>
      <c r="L123" s="289">
        <f t="shared" ref="L123:L124" si="38">K123-G123</f>
        <v>0</v>
      </c>
      <c r="M123" s="579" t="s">
        <v>181</v>
      </c>
      <c r="N123" s="280"/>
    </row>
    <row r="124" spans="1:14" ht="19" customHeight="1">
      <c r="A124" s="304" t="s">
        <v>334</v>
      </c>
      <c r="B124" s="305" t="s">
        <v>376</v>
      </c>
      <c r="C124" s="306" t="s">
        <v>164</v>
      </c>
      <c r="D124" s="425">
        <v>3</v>
      </c>
      <c r="E124" s="425">
        <v>1</v>
      </c>
      <c r="F124" s="289">
        <v>400000</v>
      </c>
      <c r="G124" s="289">
        <f t="shared" si="37"/>
        <v>1200000</v>
      </c>
      <c r="H124" s="425">
        <v>3</v>
      </c>
      <c r="I124" s="425">
        <v>1</v>
      </c>
      <c r="J124" s="289">
        <v>400000</v>
      </c>
      <c r="K124" s="289">
        <f t="shared" si="36"/>
        <v>1200000</v>
      </c>
      <c r="L124" s="289">
        <f t="shared" si="38"/>
        <v>0</v>
      </c>
      <c r="M124" s="579" t="s">
        <v>380</v>
      </c>
      <c r="N124" s="280"/>
    </row>
    <row r="125" spans="1:14" ht="19" customHeight="1">
      <c r="A125" s="304" t="s">
        <v>169</v>
      </c>
      <c r="B125" s="305" t="s">
        <v>377</v>
      </c>
      <c r="C125" s="306" t="s">
        <v>164</v>
      </c>
      <c r="D125" s="425">
        <v>1</v>
      </c>
      <c r="E125" s="425">
        <v>1</v>
      </c>
      <c r="F125" s="289">
        <v>4400000</v>
      </c>
      <c r="G125" s="289">
        <f t="shared" si="35"/>
        <v>4400000</v>
      </c>
      <c r="H125" s="425">
        <v>1</v>
      </c>
      <c r="I125" s="425">
        <v>1</v>
      </c>
      <c r="J125" s="289">
        <v>2600000</v>
      </c>
      <c r="K125" s="289">
        <f t="shared" si="36"/>
        <v>2600000</v>
      </c>
      <c r="L125" s="289">
        <f t="shared" si="34"/>
        <v>-1800000</v>
      </c>
      <c r="M125" s="579" t="s">
        <v>379</v>
      </c>
      <c r="N125" s="280"/>
    </row>
    <row r="126" spans="1:14" ht="19" customHeight="1">
      <c r="A126" s="304" t="s">
        <v>178</v>
      </c>
      <c r="B126" s="305" t="s">
        <v>252</v>
      </c>
      <c r="C126" s="306"/>
      <c r="D126" s="395"/>
      <c r="E126" s="395"/>
      <c r="F126" s="289"/>
      <c r="G126" s="289">
        <v>2000000</v>
      </c>
      <c r="H126" s="395"/>
      <c r="I126" s="395"/>
      <c r="J126" s="289"/>
      <c r="K126" s="289">
        <v>0</v>
      </c>
      <c r="L126" s="289">
        <f>K126-G126</f>
        <v>-2000000</v>
      </c>
      <c r="M126" s="579"/>
      <c r="N126" s="280"/>
    </row>
    <row r="127" spans="1:14" ht="19" customHeight="1">
      <c r="A127" s="304" t="s">
        <v>378</v>
      </c>
      <c r="B127" s="305" t="s">
        <v>253</v>
      </c>
      <c r="C127" s="306"/>
      <c r="D127" s="395"/>
      <c r="E127" s="395"/>
      <c r="F127" s="289"/>
      <c r="G127" s="289">
        <v>2000000</v>
      </c>
      <c r="H127" s="395"/>
      <c r="I127" s="395"/>
      <c r="J127" s="289"/>
      <c r="K127" s="289">
        <v>0</v>
      </c>
      <c r="L127" s="289">
        <f t="shared" si="34"/>
        <v>-2000000</v>
      </c>
      <c r="M127" s="579"/>
      <c r="N127" s="280"/>
    </row>
    <row r="128" spans="1:14" ht="32.25" customHeight="1">
      <c r="A128" s="399" t="s">
        <v>4</v>
      </c>
      <c r="B128" s="400" t="s">
        <v>356</v>
      </c>
      <c r="C128" s="401"/>
      <c r="D128" s="402"/>
      <c r="E128" s="402"/>
      <c r="F128" s="403"/>
      <c r="G128" s="403">
        <f>G129+G132</f>
        <v>46980000</v>
      </c>
      <c r="H128" s="402"/>
      <c r="I128" s="402"/>
      <c r="J128" s="403"/>
      <c r="K128" s="403">
        <f>K129+K132</f>
        <v>31400000</v>
      </c>
      <c r="L128" s="403">
        <f>K128-G128</f>
        <v>-15580000</v>
      </c>
      <c r="M128" s="400"/>
    </row>
    <row r="129" spans="1:13" ht="63.75" customHeight="1">
      <c r="A129" s="307">
        <v>1</v>
      </c>
      <c r="B129" s="301" t="s">
        <v>364</v>
      </c>
      <c r="C129" s="302"/>
      <c r="D129" s="394"/>
      <c r="E129" s="394"/>
      <c r="F129" s="303"/>
      <c r="G129" s="303">
        <f>G130+G131</f>
        <v>16400000</v>
      </c>
      <c r="H129" s="302"/>
      <c r="I129" s="394"/>
      <c r="J129" s="394"/>
      <c r="K129" s="303">
        <f>K130+K131</f>
        <v>16400000</v>
      </c>
      <c r="L129" s="303">
        <f>L130+L131</f>
        <v>0</v>
      </c>
      <c r="M129" s="300"/>
    </row>
    <row r="130" spans="1:13" ht="35.25" customHeight="1">
      <c r="A130" s="304" t="s">
        <v>168</v>
      </c>
      <c r="B130" s="305" t="s">
        <v>357</v>
      </c>
      <c r="C130" s="306"/>
      <c r="D130" s="395"/>
      <c r="E130" s="395"/>
      <c r="F130" s="289"/>
      <c r="G130" s="289">
        <v>23400000</v>
      </c>
      <c r="H130" s="306"/>
      <c r="I130" s="395"/>
      <c r="J130" s="395"/>
      <c r="K130" s="289">
        <v>23400000</v>
      </c>
      <c r="L130" s="289">
        <f>K130-G130</f>
        <v>0</v>
      </c>
      <c r="M130" s="579" t="s">
        <v>359</v>
      </c>
    </row>
    <row r="131" spans="1:13" ht="22.5" customHeight="1">
      <c r="A131" s="304" t="s">
        <v>167</v>
      </c>
      <c r="B131" s="305" t="s">
        <v>358</v>
      </c>
      <c r="C131" s="306"/>
      <c r="D131" s="395"/>
      <c r="E131" s="395"/>
      <c r="F131" s="289"/>
      <c r="G131" s="289">
        <v>-7000000</v>
      </c>
      <c r="H131" s="306"/>
      <c r="I131" s="395"/>
      <c r="J131" s="395"/>
      <c r="K131" s="289">
        <v>-7000000</v>
      </c>
      <c r="L131" s="289">
        <f>K131-G131</f>
        <v>0</v>
      </c>
      <c r="M131" s="579"/>
    </row>
    <row r="132" spans="1:13" ht="36" customHeight="1">
      <c r="A132" s="307">
        <v>2</v>
      </c>
      <c r="B132" s="301" t="s">
        <v>255</v>
      </c>
      <c r="C132" s="302"/>
      <c r="D132" s="394"/>
      <c r="E132" s="394"/>
      <c r="F132" s="303"/>
      <c r="G132" s="303">
        <f>SUM(G133:G139)</f>
        <v>30580000</v>
      </c>
      <c r="H132" s="394"/>
      <c r="I132" s="394"/>
      <c r="J132" s="303"/>
      <c r="K132" s="303">
        <f>SUM(K133:K139)</f>
        <v>15000000</v>
      </c>
      <c r="L132" s="303">
        <f>K132-G132</f>
        <v>-15580000</v>
      </c>
      <c r="M132" s="300"/>
    </row>
    <row r="133" spans="1:13">
      <c r="A133" s="304" t="s">
        <v>168</v>
      </c>
      <c r="B133" s="305" t="s">
        <v>457</v>
      </c>
      <c r="C133" s="306" t="s">
        <v>164</v>
      </c>
      <c r="D133" s="425">
        <v>1</v>
      </c>
      <c r="E133" s="425">
        <v>1</v>
      </c>
      <c r="F133" s="289">
        <v>6480000</v>
      </c>
      <c r="G133" s="289">
        <f>D133*E133*F133</f>
        <v>6480000</v>
      </c>
      <c r="H133" s="425">
        <v>1</v>
      </c>
      <c r="I133" s="425">
        <v>1</v>
      </c>
      <c r="J133" s="289">
        <v>2800000</v>
      </c>
      <c r="K133" s="289">
        <f>H133*I133*J133</f>
        <v>2800000</v>
      </c>
      <c r="L133" s="289">
        <f>K133-G133</f>
        <v>-3680000</v>
      </c>
      <c r="M133" s="597" t="s">
        <v>463</v>
      </c>
    </row>
    <row r="134" spans="1:13" ht="20.149999999999999" customHeight="1">
      <c r="A134" s="304" t="s">
        <v>167</v>
      </c>
      <c r="B134" s="305" t="s">
        <v>458</v>
      </c>
      <c r="C134" s="306" t="s">
        <v>365</v>
      </c>
      <c r="D134" s="425">
        <v>150</v>
      </c>
      <c r="E134" s="425">
        <v>1</v>
      </c>
      <c r="F134" s="289">
        <v>10000</v>
      </c>
      <c r="G134" s="289">
        <f>D134*E134*F134</f>
        <v>1500000</v>
      </c>
      <c r="H134" s="425">
        <v>0</v>
      </c>
      <c r="I134" s="425">
        <v>1</v>
      </c>
      <c r="J134" s="289">
        <v>10000</v>
      </c>
      <c r="K134" s="289">
        <f>H134*I134*J134</f>
        <v>0</v>
      </c>
      <c r="L134" s="289">
        <f t="shared" ref="L134:L137" si="39">K134-G134</f>
        <v>-1500000</v>
      </c>
      <c r="M134" s="597"/>
    </row>
    <row r="135" spans="1:13" ht="20.149999999999999" customHeight="1">
      <c r="A135" s="304" t="s">
        <v>166</v>
      </c>
      <c r="B135" s="305" t="s">
        <v>459</v>
      </c>
      <c r="C135" s="306" t="s">
        <v>163</v>
      </c>
      <c r="D135" s="425">
        <v>20</v>
      </c>
      <c r="E135" s="425">
        <v>1</v>
      </c>
      <c r="F135" s="289">
        <v>50000</v>
      </c>
      <c r="G135" s="289">
        <f t="shared" ref="G135" si="40">D135*E135*F135</f>
        <v>1000000</v>
      </c>
      <c r="H135" s="425">
        <v>20</v>
      </c>
      <c r="I135" s="425">
        <v>1</v>
      </c>
      <c r="J135" s="289">
        <v>50000</v>
      </c>
      <c r="K135" s="289">
        <f t="shared" ref="K135" si="41">H135*I135*J135</f>
        <v>1000000</v>
      </c>
      <c r="L135" s="289">
        <f t="shared" si="39"/>
        <v>0</v>
      </c>
      <c r="M135" s="597" t="s">
        <v>181</v>
      </c>
    </row>
    <row r="136" spans="1:13" ht="20.149999999999999" customHeight="1">
      <c r="A136" s="304" t="s">
        <v>165</v>
      </c>
      <c r="B136" s="305" t="s">
        <v>460</v>
      </c>
      <c r="C136" s="306" t="s">
        <v>163</v>
      </c>
      <c r="D136" s="425">
        <v>20</v>
      </c>
      <c r="E136" s="425">
        <v>1</v>
      </c>
      <c r="F136" s="289">
        <v>80000</v>
      </c>
      <c r="G136" s="289">
        <f>D136*E136*F136</f>
        <v>1600000</v>
      </c>
      <c r="H136" s="425">
        <v>20</v>
      </c>
      <c r="I136" s="425">
        <v>1</v>
      </c>
      <c r="J136" s="289">
        <v>80000</v>
      </c>
      <c r="K136" s="289">
        <f>H136*I136*J136</f>
        <v>1600000</v>
      </c>
      <c r="L136" s="289"/>
      <c r="M136" s="597" t="s">
        <v>181</v>
      </c>
    </row>
    <row r="137" spans="1:13" ht="20.149999999999999" customHeight="1">
      <c r="A137" s="304" t="s">
        <v>334</v>
      </c>
      <c r="B137" s="305" t="s">
        <v>366</v>
      </c>
      <c r="C137" s="306" t="s">
        <v>164</v>
      </c>
      <c r="D137" s="425">
        <v>20</v>
      </c>
      <c r="E137" s="425">
        <v>1</v>
      </c>
      <c r="F137" s="289">
        <v>100000</v>
      </c>
      <c r="G137" s="289">
        <f>D137*E137*F137</f>
        <v>2000000</v>
      </c>
      <c r="H137" s="425">
        <v>0</v>
      </c>
      <c r="I137" s="425">
        <v>0</v>
      </c>
      <c r="J137" s="289">
        <v>0</v>
      </c>
      <c r="K137" s="289">
        <f>H137*I137*J137</f>
        <v>0</v>
      </c>
      <c r="L137" s="289">
        <f t="shared" si="39"/>
        <v>-2000000</v>
      </c>
      <c r="M137" s="597" t="s">
        <v>462</v>
      </c>
    </row>
    <row r="138" spans="1:13" ht="20.149999999999999" customHeight="1">
      <c r="A138" s="304" t="s">
        <v>169</v>
      </c>
      <c r="B138" s="305" t="s">
        <v>250</v>
      </c>
      <c r="C138" s="306" t="s">
        <v>163</v>
      </c>
      <c r="D138" s="425">
        <v>150</v>
      </c>
      <c r="E138" s="425">
        <v>1</v>
      </c>
      <c r="F138" s="289">
        <v>40000</v>
      </c>
      <c r="G138" s="289">
        <f>D138*E138*F138</f>
        <v>6000000</v>
      </c>
      <c r="H138" s="425">
        <v>80</v>
      </c>
      <c r="I138" s="425">
        <v>1</v>
      </c>
      <c r="J138" s="289">
        <v>20000</v>
      </c>
      <c r="K138" s="289">
        <f>H138*I138*J138</f>
        <v>1600000</v>
      </c>
      <c r="L138" s="289">
        <f>K138-G138</f>
        <v>-4400000</v>
      </c>
      <c r="M138" s="597" t="s">
        <v>179</v>
      </c>
    </row>
    <row r="139" spans="1:13" ht="20.149999999999999" customHeight="1">
      <c r="A139" s="304" t="s">
        <v>178</v>
      </c>
      <c r="B139" s="305" t="s">
        <v>461</v>
      </c>
      <c r="C139" s="306" t="s">
        <v>163</v>
      </c>
      <c r="D139" s="425">
        <v>120</v>
      </c>
      <c r="E139" s="425">
        <v>1</v>
      </c>
      <c r="F139" s="289">
        <v>100000</v>
      </c>
      <c r="G139" s="289">
        <f>D139*E139*F139</f>
        <v>12000000</v>
      </c>
      <c r="H139" s="425">
        <v>80</v>
      </c>
      <c r="I139" s="425">
        <v>1</v>
      </c>
      <c r="J139" s="289">
        <v>100000</v>
      </c>
      <c r="K139" s="289">
        <f>H139*I139*J139</f>
        <v>8000000</v>
      </c>
      <c r="L139" s="289">
        <f t="shared" ref="L139" si="42">K139-G139</f>
        <v>-4000000</v>
      </c>
      <c r="M139" s="597" t="s">
        <v>464</v>
      </c>
    </row>
    <row r="140" spans="1:13" ht="26.25" customHeight="1">
      <c r="A140" s="399" t="s">
        <v>11</v>
      </c>
      <c r="B140" s="400" t="s">
        <v>467</v>
      </c>
      <c r="C140" s="401"/>
      <c r="D140" s="402"/>
      <c r="E140" s="402"/>
      <c r="F140" s="403"/>
      <c r="G140" s="403">
        <f>G141</f>
        <v>19795000</v>
      </c>
      <c r="H140" s="402"/>
      <c r="I140" s="402"/>
      <c r="J140" s="403"/>
      <c r="K140" s="403">
        <f>K141</f>
        <v>19795000</v>
      </c>
      <c r="L140" s="403">
        <f>K140-G140</f>
        <v>0</v>
      </c>
      <c r="M140" s="400"/>
    </row>
    <row r="141" spans="1:13" ht="66.75" customHeight="1">
      <c r="A141" s="307">
        <v>1</v>
      </c>
      <c r="B141" s="301" t="s">
        <v>364</v>
      </c>
      <c r="C141" s="302"/>
      <c r="D141" s="394"/>
      <c r="E141" s="394"/>
      <c r="F141" s="303"/>
      <c r="G141" s="303">
        <f>G142+G143</f>
        <v>19795000</v>
      </c>
      <c r="H141" s="302"/>
      <c r="I141" s="394"/>
      <c r="J141" s="394"/>
      <c r="K141" s="303">
        <f>K142+K143</f>
        <v>19795000</v>
      </c>
      <c r="L141" s="303">
        <f>L142+L143</f>
        <v>0</v>
      </c>
      <c r="M141" s="300"/>
    </row>
    <row r="142" spans="1:13" ht="41.25" customHeight="1">
      <c r="A142" s="304" t="s">
        <v>168</v>
      </c>
      <c r="B142" s="305" t="s">
        <v>468</v>
      </c>
      <c r="C142" s="306"/>
      <c r="D142" s="395"/>
      <c r="E142" s="395"/>
      <c r="F142" s="289"/>
      <c r="G142" s="289">
        <v>23400000</v>
      </c>
      <c r="H142" s="306"/>
      <c r="I142" s="395"/>
      <c r="J142" s="395"/>
      <c r="K142" s="289">
        <v>23400000</v>
      </c>
      <c r="L142" s="289">
        <f>K142-G142</f>
        <v>0</v>
      </c>
      <c r="M142" s="597" t="s">
        <v>469</v>
      </c>
    </row>
    <row r="143" spans="1:13" ht="28.5" customHeight="1">
      <c r="A143" s="389" t="s">
        <v>167</v>
      </c>
      <c r="B143" s="390" t="s">
        <v>358</v>
      </c>
      <c r="C143" s="391"/>
      <c r="D143" s="598"/>
      <c r="E143" s="598"/>
      <c r="F143" s="392"/>
      <c r="G143" s="392">
        <v>-3605000</v>
      </c>
      <c r="H143" s="391"/>
      <c r="I143" s="598"/>
      <c r="J143" s="598"/>
      <c r="K143" s="392">
        <v>-3605000</v>
      </c>
      <c r="L143" s="392">
        <f>K143-G143</f>
        <v>0</v>
      </c>
      <c r="M143" s="393"/>
    </row>
  </sheetData>
  <mergeCells count="24">
    <mergeCell ref="M85:M89"/>
    <mergeCell ref="M81:M83"/>
    <mergeCell ref="M75:M79"/>
    <mergeCell ref="M26:M27"/>
    <mergeCell ref="M33:M37"/>
    <mergeCell ref="M60:M61"/>
    <mergeCell ref="M67:M69"/>
    <mergeCell ref="M71:M72"/>
    <mergeCell ref="M42:M47"/>
    <mergeCell ref="M49:M50"/>
    <mergeCell ref="M54:M58"/>
    <mergeCell ref="M20:M24"/>
    <mergeCell ref="M16:M17"/>
    <mergeCell ref="M13:M14"/>
    <mergeCell ref="A2:M2"/>
    <mergeCell ref="A3:M3"/>
    <mergeCell ref="L4:M4"/>
    <mergeCell ref="A5:A6"/>
    <mergeCell ref="B5:B6"/>
    <mergeCell ref="C5:C6"/>
    <mergeCell ref="D5:G5"/>
    <mergeCell ref="H5:K5"/>
    <mergeCell ref="L5:L6"/>
    <mergeCell ref="M5:M6"/>
  </mergeCells>
  <pageMargins left="0.31496062992125984" right="0.19685039370078741" top="0.35433070866141736" bottom="0.39370078740157483" header="0.19685039370078741" footer="0.23622047244094491"/>
  <pageSetup paperSize="9" scale="70" orientation="landscape" useFirstPageNumber="1" r:id="rId1"/>
  <headerFooter>
    <oddFooter>&amp;C&amp;"Times New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70" zoomScaleNormal="70" workbookViewId="0">
      <selection activeCell="I16" sqref="I16"/>
    </sheetView>
  </sheetViews>
  <sheetFormatPr defaultColWidth="9.1640625" defaultRowHeight="15.5"/>
  <cols>
    <col min="1" max="1" width="10" style="37" customWidth="1"/>
    <col min="2" max="2" width="33.75" style="37" customWidth="1"/>
    <col min="3" max="3" width="18.75" style="37" customWidth="1"/>
    <col min="4" max="4" width="20.58203125" style="37" customWidth="1"/>
    <col min="5" max="9" width="18.75" style="37" customWidth="1"/>
    <col min="10" max="10" width="17.1640625" style="37" customWidth="1"/>
    <col min="11" max="12" width="9.1640625" style="37"/>
    <col min="13" max="13" width="9.58203125" style="37" bestFit="1" customWidth="1"/>
    <col min="14" max="16384" width="9.1640625" style="37"/>
  </cols>
  <sheetData>
    <row r="1" spans="1:13">
      <c r="J1" s="109" t="s">
        <v>56</v>
      </c>
    </row>
    <row r="2" spans="1:13" ht="24.75" customHeight="1">
      <c r="A2" s="775" t="s">
        <v>58</v>
      </c>
      <c r="B2" s="775"/>
      <c r="C2" s="775"/>
      <c r="D2" s="775"/>
      <c r="E2" s="775"/>
      <c r="F2" s="775"/>
      <c r="G2" s="775"/>
      <c r="H2" s="775"/>
      <c r="I2" s="775"/>
      <c r="J2" s="775"/>
    </row>
    <row r="3" spans="1:13" ht="15.75" customHeight="1">
      <c r="A3" s="776" t="str">
        <f>'TỔNG HỢP'!A3:D3</f>
        <v>(Kèm theo Tờ trình số         /TTr-UBND ngày       /12/2024 của UBND huyện Na Rì)</v>
      </c>
      <c r="B3" s="776"/>
      <c r="C3" s="776"/>
      <c r="D3" s="776"/>
      <c r="E3" s="776"/>
      <c r="F3" s="776"/>
      <c r="G3" s="776"/>
      <c r="H3" s="776"/>
      <c r="I3" s="776"/>
      <c r="J3" s="776"/>
    </row>
    <row r="4" spans="1:13">
      <c r="A4" s="777"/>
      <c r="B4" s="777"/>
      <c r="C4" s="777"/>
      <c r="D4" s="777"/>
      <c r="E4" s="777"/>
      <c r="F4" s="777"/>
      <c r="G4" s="777"/>
      <c r="H4" s="777"/>
      <c r="I4" s="777"/>
      <c r="J4" s="110" t="s">
        <v>42</v>
      </c>
    </row>
    <row r="5" spans="1:13" ht="39" customHeight="1">
      <c r="A5" s="778" t="s">
        <v>13</v>
      </c>
      <c r="B5" s="778" t="s">
        <v>6</v>
      </c>
      <c r="C5" s="778" t="s">
        <v>72</v>
      </c>
      <c r="D5" s="778" t="s">
        <v>148</v>
      </c>
      <c r="E5" s="780" t="s">
        <v>44</v>
      </c>
      <c r="F5" s="780"/>
      <c r="G5" s="778" t="s">
        <v>144</v>
      </c>
      <c r="H5" s="778" t="s">
        <v>145</v>
      </c>
      <c r="I5" s="778" t="s">
        <v>146</v>
      </c>
      <c r="J5" s="778" t="s">
        <v>0</v>
      </c>
    </row>
    <row r="6" spans="1:13" ht="126.75" customHeight="1">
      <c r="A6" s="779"/>
      <c r="B6" s="779"/>
      <c r="C6" s="779"/>
      <c r="D6" s="779"/>
      <c r="E6" s="38" t="s">
        <v>147</v>
      </c>
      <c r="F6" s="38" t="s">
        <v>149</v>
      </c>
      <c r="G6" s="779"/>
      <c r="H6" s="779"/>
      <c r="I6" s="779"/>
      <c r="J6" s="779"/>
    </row>
    <row r="7" spans="1:13" ht="23.25" customHeight="1">
      <c r="A7" s="39" t="s">
        <v>1</v>
      </c>
      <c r="B7" s="39" t="s">
        <v>5</v>
      </c>
      <c r="C7" s="39">
        <v>1</v>
      </c>
      <c r="D7" s="39" t="s">
        <v>150</v>
      </c>
      <c r="E7" s="39">
        <v>3</v>
      </c>
      <c r="F7" s="39">
        <v>4</v>
      </c>
      <c r="G7" s="39" t="s">
        <v>151</v>
      </c>
      <c r="H7" s="39">
        <v>6</v>
      </c>
      <c r="I7" s="39">
        <v>7</v>
      </c>
      <c r="J7" s="39">
        <v>9</v>
      </c>
    </row>
    <row r="8" spans="1:13" ht="23.25" customHeight="1">
      <c r="A8" s="38"/>
      <c r="B8" s="38" t="s">
        <v>23</v>
      </c>
      <c r="C8" s="114">
        <f>SUM(C9:C16)</f>
        <v>11922254999.673332</v>
      </c>
      <c r="D8" s="115">
        <f>E8+F8</f>
        <v>10597000000</v>
      </c>
      <c r="E8" s="115">
        <f>SUM(E9:E16)</f>
        <v>10392000000</v>
      </c>
      <c r="F8" s="116">
        <v>205000000</v>
      </c>
      <c r="G8" s="115">
        <f>SUM(G9:G16)</f>
        <v>-1530255000</v>
      </c>
      <c r="H8" s="115">
        <f>SUM(H9:H16)</f>
        <v>457634000</v>
      </c>
      <c r="I8" s="115">
        <f>SUM(I9:I16)</f>
        <v>662634000</v>
      </c>
      <c r="J8" s="772" t="s">
        <v>143</v>
      </c>
      <c r="M8" s="40"/>
    </row>
    <row r="9" spans="1:13" s="42" customFormat="1" ht="36" customHeight="1">
      <c r="A9" s="113">
        <v>1</v>
      </c>
      <c r="B9" s="112" t="s">
        <v>60</v>
      </c>
      <c r="C9" s="117">
        <f>'Biểu 01a'!I8</f>
        <v>3213158999.833333</v>
      </c>
      <c r="D9" s="118"/>
      <c r="E9" s="118">
        <v>1269000000</v>
      </c>
      <c r="F9" s="118"/>
      <c r="G9" s="118">
        <v>-1944159000</v>
      </c>
      <c r="H9" s="118"/>
      <c r="I9" s="118">
        <v>618904000</v>
      </c>
      <c r="J9" s="773"/>
      <c r="M9" s="43"/>
    </row>
    <row r="10" spans="1:13" ht="23.25" customHeight="1">
      <c r="A10" s="44">
        <v>2</v>
      </c>
      <c r="B10" s="45" t="s">
        <v>41</v>
      </c>
      <c r="C10" s="119">
        <f>'Biểu 01a'!I264</f>
        <v>736569999.83333325</v>
      </c>
      <c r="D10" s="120"/>
      <c r="E10" s="120">
        <v>716000000</v>
      </c>
      <c r="F10" s="120"/>
      <c r="G10" s="120">
        <v>-20570000</v>
      </c>
      <c r="H10" s="120"/>
      <c r="I10" s="120">
        <v>20570000</v>
      </c>
      <c r="J10" s="773"/>
    </row>
    <row r="11" spans="1:13" ht="23.25" customHeight="1">
      <c r="A11" s="44">
        <v>3</v>
      </c>
      <c r="B11" s="46" t="s">
        <v>40</v>
      </c>
      <c r="C11" s="119">
        <f>'Biểu 01a'!I217</f>
        <v>615095999.58333325</v>
      </c>
      <c r="D11" s="121"/>
      <c r="E11" s="121">
        <v>747000000</v>
      </c>
      <c r="F11" s="121"/>
      <c r="G11" s="121">
        <v>131904000</v>
      </c>
      <c r="H11" s="121">
        <v>131904000</v>
      </c>
      <c r="I11" s="121"/>
      <c r="J11" s="773"/>
    </row>
    <row r="12" spans="1:13" ht="23.25" customHeight="1">
      <c r="A12" s="44">
        <v>4</v>
      </c>
      <c r="B12" s="46" t="s">
        <v>17</v>
      </c>
      <c r="C12" s="119">
        <f>'Biểu 01a'!I114</f>
        <v>125199999.70833333</v>
      </c>
      <c r="D12" s="121"/>
      <c r="E12" s="121">
        <v>160000000</v>
      </c>
      <c r="F12" s="121"/>
      <c r="G12" s="121">
        <v>34800000</v>
      </c>
      <c r="H12" s="121">
        <v>34800000</v>
      </c>
      <c r="I12" s="121"/>
      <c r="J12" s="773"/>
    </row>
    <row r="13" spans="1:13" ht="23.25" customHeight="1">
      <c r="A13" s="44">
        <v>5</v>
      </c>
      <c r="B13" s="46" t="s">
        <v>30</v>
      </c>
      <c r="C13" s="119">
        <f>'Biểu 01a'!I29</f>
        <v>697147000.375</v>
      </c>
      <c r="D13" s="121"/>
      <c r="E13" s="121">
        <v>707000000</v>
      </c>
      <c r="F13" s="121"/>
      <c r="G13" s="121">
        <v>9853000</v>
      </c>
      <c r="H13" s="121">
        <v>9853000</v>
      </c>
      <c r="I13" s="121"/>
      <c r="J13" s="773"/>
    </row>
    <row r="14" spans="1:13" ht="23.25" customHeight="1">
      <c r="A14" s="44">
        <v>6</v>
      </c>
      <c r="B14" s="46" t="s">
        <v>31</v>
      </c>
      <c r="C14" s="119">
        <f>'Biểu 01a'!I145</f>
        <v>1137923000.4166665</v>
      </c>
      <c r="D14" s="121"/>
      <c r="E14" s="121">
        <v>1419000000</v>
      </c>
      <c r="F14" s="121"/>
      <c r="G14" s="121">
        <v>281077000</v>
      </c>
      <c r="H14" s="121">
        <v>281077000</v>
      </c>
      <c r="I14" s="121"/>
      <c r="J14" s="773"/>
    </row>
    <row r="15" spans="1:13" ht="23.25" customHeight="1">
      <c r="A15" s="44">
        <v>7</v>
      </c>
      <c r="B15" s="46" t="s">
        <v>16</v>
      </c>
      <c r="C15" s="119">
        <f>'Biểu 01a'!I76</f>
        <v>1372159999.9233334</v>
      </c>
      <c r="D15" s="121"/>
      <c r="E15" s="121">
        <v>1349000000</v>
      </c>
      <c r="F15" s="121"/>
      <c r="G15" s="121">
        <v>-23160000</v>
      </c>
      <c r="H15" s="121"/>
      <c r="I15" s="121">
        <v>23160000</v>
      </c>
      <c r="J15" s="773"/>
    </row>
    <row r="16" spans="1:13" ht="23.25" customHeight="1">
      <c r="A16" s="47">
        <v>8</v>
      </c>
      <c r="B16" s="123" t="s">
        <v>152</v>
      </c>
      <c r="C16" s="124">
        <f>'Biểu 01a'!I318</f>
        <v>4025000000</v>
      </c>
      <c r="D16" s="125"/>
      <c r="E16" s="125">
        <v>4025000000</v>
      </c>
      <c r="F16" s="125"/>
      <c r="G16" s="125"/>
      <c r="H16" s="125"/>
      <c r="I16" s="125"/>
      <c r="J16" s="774"/>
    </row>
    <row r="17" spans="1:9">
      <c r="A17" s="48"/>
      <c r="B17" s="49"/>
      <c r="C17" s="49"/>
      <c r="D17" s="49"/>
      <c r="E17" s="49"/>
      <c r="F17" s="49"/>
      <c r="G17" s="49"/>
      <c r="H17" s="49"/>
      <c r="I17" s="49"/>
    </row>
    <row r="18" spans="1:9">
      <c r="B18" s="50"/>
      <c r="C18" s="50"/>
      <c r="D18" s="122"/>
      <c r="E18" s="122"/>
      <c r="F18" s="50"/>
      <c r="G18" s="50"/>
      <c r="H18" s="50"/>
      <c r="I18" s="50"/>
    </row>
  </sheetData>
  <mergeCells count="13">
    <mergeCell ref="J8:J16"/>
    <mergeCell ref="A2:J2"/>
    <mergeCell ref="A3:J3"/>
    <mergeCell ref="A4:I4"/>
    <mergeCell ref="A5:A6"/>
    <mergeCell ref="B5:B6"/>
    <mergeCell ref="J5:J6"/>
    <mergeCell ref="G5:G6"/>
    <mergeCell ref="C5:C6"/>
    <mergeCell ref="H5:H6"/>
    <mergeCell ref="I5:I6"/>
    <mergeCell ref="D5:D6"/>
    <mergeCell ref="E5:F5"/>
  </mergeCells>
  <pageMargins left="0.51181102362204722" right="0.51181102362204722" top="0.55118110236220474" bottom="0.55118110236220474" header="0.31496062992125984" footer="0.31496062992125984"/>
  <pageSetup paperSize="9" scale="70" orientation="landscape" verticalDpi="0"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19"/>
  <sheetViews>
    <sheetView zoomScale="70" zoomScaleNormal="70" workbookViewId="0">
      <pane xSplit="2" ySplit="6" topLeftCell="C7" activePane="bottomRight" state="frozen"/>
      <selection activeCell="J10" sqref="J10"/>
      <selection pane="topRight" activeCell="J10" sqref="J10"/>
      <selection pane="bottomLeft" activeCell="J10" sqref="J10"/>
      <selection pane="bottomRight" activeCell="M8" sqref="M8"/>
    </sheetView>
  </sheetViews>
  <sheetFormatPr defaultColWidth="9.1640625" defaultRowHeight="15.5"/>
  <cols>
    <col min="1" max="1" width="6.1640625" style="147" customWidth="1"/>
    <col min="2" max="2" width="36.83203125" style="148" customWidth="1"/>
    <col min="3" max="3" width="12.83203125" style="149" customWidth="1"/>
    <col min="4" max="4" width="12.4140625" style="149" customWidth="1"/>
    <col min="5" max="5" width="16.25" style="149" customWidth="1"/>
    <col min="6" max="6" width="13.1640625" style="149" customWidth="1"/>
    <col min="7" max="7" width="13" style="149" customWidth="1"/>
    <col min="8" max="8" width="15.83203125" style="149" customWidth="1"/>
    <col min="9" max="10" width="16.83203125" style="149" customWidth="1"/>
    <col min="11" max="11" width="17.75" style="149" customWidth="1"/>
    <col min="12" max="12" width="14.58203125" style="149" customWidth="1"/>
    <col min="13" max="13" width="17.25" style="149" customWidth="1"/>
    <col min="14" max="14" width="43.4140625" style="149" customWidth="1"/>
    <col min="15" max="15" width="32.1640625" style="147" hidden="1" customWidth="1"/>
    <col min="16" max="16" width="0" style="147" hidden="1" customWidth="1"/>
    <col min="17" max="16384" width="9.1640625" style="147"/>
  </cols>
  <sheetData>
    <row r="1" spans="1:15" ht="16.5">
      <c r="N1" s="150" t="s">
        <v>45</v>
      </c>
    </row>
    <row r="2" spans="1:15" ht="23.25" customHeight="1">
      <c r="A2" s="800" t="s">
        <v>61</v>
      </c>
      <c r="B2" s="800"/>
      <c r="C2" s="800"/>
      <c r="D2" s="800"/>
      <c r="E2" s="800"/>
      <c r="F2" s="800"/>
      <c r="G2" s="800"/>
      <c r="H2" s="800"/>
      <c r="I2" s="800"/>
      <c r="J2" s="800"/>
      <c r="K2" s="800"/>
      <c r="L2" s="800"/>
      <c r="M2" s="800"/>
      <c r="N2" s="800"/>
    </row>
    <row r="3" spans="1:15" ht="24" customHeight="1">
      <c r="A3" s="801" t="str">
        <f>'TỔNG HỢP'!A3:D3</f>
        <v>(Kèm theo Tờ trình số         /TTr-UBND ngày       /12/2024 của UBND huyện Na Rì)</v>
      </c>
      <c r="B3" s="801"/>
      <c r="C3" s="801"/>
      <c r="D3" s="801"/>
      <c r="E3" s="801"/>
      <c r="F3" s="801"/>
      <c r="G3" s="801"/>
      <c r="H3" s="801"/>
      <c r="I3" s="801"/>
      <c r="J3" s="801"/>
      <c r="K3" s="801"/>
      <c r="L3" s="801"/>
      <c r="M3" s="801"/>
      <c r="N3" s="801"/>
    </row>
    <row r="4" spans="1:15" ht="20.25" customHeight="1">
      <c r="F4" s="151"/>
      <c r="I4" s="152"/>
      <c r="J4" s="153"/>
      <c r="K4" s="152"/>
      <c r="N4" s="154" t="s">
        <v>42</v>
      </c>
    </row>
    <row r="5" spans="1:15" ht="36.75" customHeight="1">
      <c r="A5" s="802" t="s">
        <v>13</v>
      </c>
      <c r="B5" s="797" t="s">
        <v>57</v>
      </c>
      <c r="C5" s="797" t="s">
        <v>62</v>
      </c>
      <c r="D5" s="797"/>
      <c r="E5" s="797"/>
      <c r="F5" s="797" t="s">
        <v>63</v>
      </c>
      <c r="G5" s="797"/>
      <c r="H5" s="797"/>
      <c r="I5" s="797" t="s">
        <v>64</v>
      </c>
      <c r="J5" s="797" t="s">
        <v>65</v>
      </c>
      <c r="K5" s="797" t="s">
        <v>66</v>
      </c>
      <c r="L5" s="795" t="s">
        <v>67</v>
      </c>
      <c r="M5" s="795" t="s">
        <v>68</v>
      </c>
      <c r="N5" s="797" t="s">
        <v>0</v>
      </c>
    </row>
    <row r="6" spans="1:15" ht="130.5" customHeight="1">
      <c r="A6" s="802"/>
      <c r="B6" s="797"/>
      <c r="C6" s="155" t="s">
        <v>69</v>
      </c>
      <c r="D6" s="155" t="s">
        <v>70</v>
      </c>
      <c r="E6" s="155" t="s">
        <v>59</v>
      </c>
      <c r="F6" s="155" t="str">
        <f>C6</f>
        <v>Diện tích được phê duyệt (Chi tiết theo Biểu số 02a)</v>
      </c>
      <c r="G6" s="155" t="s">
        <v>71</v>
      </c>
      <c r="H6" s="155" t="s">
        <v>72</v>
      </c>
      <c r="I6" s="797"/>
      <c r="J6" s="797"/>
      <c r="K6" s="797"/>
      <c r="L6" s="796"/>
      <c r="M6" s="796"/>
      <c r="N6" s="797"/>
    </row>
    <row r="7" spans="1:15" ht="20.25" customHeight="1">
      <c r="A7" s="157"/>
      <c r="B7" s="156" t="s">
        <v>23</v>
      </c>
      <c r="C7" s="158">
        <f>SUM(C8,C29,C76,C114,C145,C217,C264)</f>
        <v>22649.53</v>
      </c>
      <c r="D7" s="159"/>
      <c r="E7" s="160">
        <f>SUM(E8,E29,E76,E114,E145,E217,E264)</f>
        <v>2783116680.4166665</v>
      </c>
      <c r="F7" s="158">
        <f>SUM(F8,F29,F76,F114,F145,F217,F264)</f>
        <v>22649.53</v>
      </c>
      <c r="G7" s="159"/>
      <c r="H7" s="160">
        <f>SUM(H8,H29,H76,H114,H145,H217,H264)</f>
        <v>4069001347.5900002</v>
      </c>
      <c r="I7" s="160">
        <f>SUM(I8,I29,I76,I114,I145,I217,I264,I318)</f>
        <v>11922254999.673332</v>
      </c>
      <c r="J7" s="160">
        <f>SUM(J8,J29,J76,J114,J145,J217,J264,J318)</f>
        <v>10392000000</v>
      </c>
      <c r="K7" s="160">
        <f>SUM(K8,K29,K76,K114,K145,K217,K264)</f>
        <v>-1530254999.6733327</v>
      </c>
      <c r="L7" s="160">
        <f>L29+L114+L145+L217</f>
        <v>457633999.625</v>
      </c>
      <c r="M7" s="160">
        <f>M8+M76+M264</f>
        <v>662634000</v>
      </c>
      <c r="N7" s="156"/>
      <c r="O7" s="161">
        <f>J7+1530255000</f>
        <v>11922255000</v>
      </c>
    </row>
    <row r="8" spans="1:15" ht="37.5" customHeight="1">
      <c r="A8" s="162" t="s">
        <v>2</v>
      </c>
      <c r="B8" s="163" t="s">
        <v>73</v>
      </c>
      <c r="C8" s="164">
        <f>C9+C25</f>
        <v>12680.060000000001</v>
      </c>
      <c r="D8" s="165"/>
      <c r="E8" s="166">
        <f>E9+E25</f>
        <v>702266500</v>
      </c>
      <c r="F8" s="164">
        <f>F9+F25</f>
        <v>12680.060000000001</v>
      </c>
      <c r="G8" s="165"/>
      <c r="H8" s="166">
        <f>H9+H25</f>
        <v>2510892270.833333</v>
      </c>
      <c r="I8" s="166">
        <f>I9+I25</f>
        <v>3213158999.833333</v>
      </c>
      <c r="J8" s="166">
        <v>1269000000</v>
      </c>
      <c r="K8" s="166">
        <f>J8-I8</f>
        <v>-1944158999.833333</v>
      </c>
      <c r="L8" s="167">
        <v>0</v>
      </c>
      <c r="M8" s="166">
        <v>618904000</v>
      </c>
      <c r="N8" s="168"/>
      <c r="O8" s="161">
        <f>K8-J8</f>
        <v>-3213158999.833333</v>
      </c>
    </row>
    <row r="9" spans="1:15" ht="17.25" customHeight="1">
      <c r="A9" s="81" t="s">
        <v>1</v>
      </c>
      <c r="B9" s="82" t="s">
        <v>74</v>
      </c>
      <c r="C9" s="76">
        <v>8358.42</v>
      </c>
      <c r="D9" s="77"/>
      <c r="E9" s="79"/>
      <c r="F9" s="76">
        <f>F10</f>
        <v>8358.42</v>
      </c>
      <c r="G9" s="77"/>
      <c r="H9" s="79">
        <f>H10</f>
        <v>2510892270.833333</v>
      </c>
      <c r="I9" s="79">
        <f>E9+H9+229</f>
        <v>2510892499.833333</v>
      </c>
      <c r="J9" s="79"/>
      <c r="K9" s="79"/>
      <c r="L9" s="79"/>
      <c r="M9" s="79"/>
      <c r="N9" s="169"/>
    </row>
    <row r="10" spans="1:15" ht="17.25" customHeight="1">
      <c r="A10" s="81">
        <v>1</v>
      </c>
      <c r="B10" s="82" t="s">
        <v>75</v>
      </c>
      <c r="C10" s="76"/>
      <c r="D10" s="79"/>
      <c r="E10" s="79"/>
      <c r="F10" s="76">
        <f>F11+F16</f>
        <v>8358.42</v>
      </c>
      <c r="G10" s="79"/>
      <c r="H10" s="79">
        <f>H11+H16</f>
        <v>2510892270.833333</v>
      </c>
      <c r="I10" s="79">
        <f t="shared" ref="I10:I11" si="0">E10+H10</f>
        <v>2510892270.833333</v>
      </c>
      <c r="J10" s="79"/>
      <c r="K10" s="79"/>
      <c r="L10" s="79"/>
      <c r="M10" s="79"/>
      <c r="N10" s="169"/>
    </row>
    <row r="11" spans="1:15" ht="17.25" customHeight="1">
      <c r="A11" s="83" t="s">
        <v>7</v>
      </c>
      <c r="B11" s="84" t="s">
        <v>76</v>
      </c>
      <c r="C11" s="85"/>
      <c r="D11" s="86"/>
      <c r="E11" s="88"/>
      <c r="F11" s="85">
        <f>F12</f>
        <v>1002.18</v>
      </c>
      <c r="G11" s="86"/>
      <c r="H11" s="88">
        <f>H13+H14+H15</f>
        <v>273511625</v>
      </c>
      <c r="I11" s="79">
        <f t="shared" si="0"/>
        <v>273511625</v>
      </c>
      <c r="J11" s="79"/>
      <c r="K11" s="79"/>
      <c r="L11" s="79"/>
      <c r="M11" s="79"/>
      <c r="N11" s="169"/>
    </row>
    <row r="12" spans="1:15" s="171" customFormat="1" ht="17.25" customHeight="1">
      <c r="A12" s="170" t="s">
        <v>77</v>
      </c>
      <c r="B12" s="84" t="s">
        <v>78</v>
      </c>
      <c r="C12" s="85"/>
      <c r="D12" s="86"/>
      <c r="E12" s="88"/>
      <c r="F12" s="103">
        <f>'Biểu 01b'!C12</f>
        <v>1002.18</v>
      </c>
      <c r="G12" s="86"/>
      <c r="H12" s="88">
        <f>SUM(H13:H15)</f>
        <v>273511625</v>
      </c>
      <c r="I12" s="79">
        <f>I13+I14+I15</f>
        <v>273511625</v>
      </c>
      <c r="J12" s="79"/>
      <c r="K12" s="79"/>
      <c r="L12" s="79"/>
      <c r="M12" s="79"/>
      <c r="N12" s="169"/>
    </row>
    <row r="13" spans="1:15" ht="17.25" customHeight="1">
      <c r="A13" s="172" t="s">
        <v>15</v>
      </c>
      <c r="B13" s="173" t="s">
        <v>79</v>
      </c>
      <c r="C13" s="92"/>
      <c r="D13" s="93"/>
      <c r="E13" s="93"/>
      <c r="F13" s="174"/>
      <c r="G13" s="93">
        <v>500000</v>
      </c>
      <c r="H13" s="94">
        <f>F12*G13/12*5</f>
        <v>208787500</v>
      </c>
      <c r="I13" s="79">
        <f>E13+H13</f>
        <v>208787500</v>
      </c>
      <c r="J13" s="79"/>
      <c r="K13" s="79"/>
      <c r="L13" s="79"/>
      <c r="M13" s="79"/>
      <c r="N13" s="787" t="s">
        <v>80</v>
      </c>
    </row>
    <row r="14" spans="1:15" ht="17.25" customHeight="1">
      <c r="A14" s="172" t="s">
        <v>15</v>
      </c>
      <c r="B14" s="173" t="s">
        <v>81</v>
      </c>
      <c r="C14" s="92"/>
      <c r="D14" s="175"/>
      <c r="E14" s="93"/>
      <c r="F14" s="174"/>
      <c r="G14" s="176">
        <v>7.0000000000000007E-2</v>
      </c>
      <c r="H14" s="94">
        <f>H13*0.07</f>
        <v>14615125.000000002</v>
      </c>
      <c r="I14" s="93">
        <f t="shared" ref="I14:I28" si="1">E14+H14</f>
        <v>14615125.000000002</v>
      </c>
      <c r="J14" s="79"/>
      <c r="K14" s="79"/>
      <c r="L14" s="79"/>
      <c r="M14" s="79"/>
      <c r="N14" s="793"/>
    </row>
    <row r="15" spans="1:15" ht="17.25" customHeight="1">
      <c r="A15" s="172" t="s">
        <v>15</v>
      </c>
      <c r="B15" s="173" t="s">
        <v>82</v>
      </c>
      <c r="C15" s="92"/>
      <c r="D15" s="175"/>
      <c r="E15" s="93"/>
      <c r="F15" s="174"/>
      <c r="G15" s="98">
        <v>50000</v>
      </c>
      <c r="H15" s="94">
        <f>F12*G15</f>
        <v>50109000</v>
      </c>
      <c r="I15" s="93">
        <f t="shared" si="1"/>
        <v>50109000</v>
      </c>
      <c r="J15" s="79"/>
      <c r="K15" s="79"/>
      <c r="L15" s="79"/>
      <c r="M15" s="79"/>
      <c r="N15" s="788"/>
    </row>
    <row r="16" spans="1:15" ht="17.25" customHeight="1">
      <c r="A16" s="83" t="s">
        <v>8</v>
      </c>
      <c r="B16" s="84" t="s">
        <v>83</v>
      </c>
      <c r="C16" s="85"/>
      <c r="D16" s="86"/>
      <c r="E16" s="88"/>
      <c r="F16" s="85">
        <f>F17+F21</f>
        <v>7356.24</v>
      </c>
      <c r="G16" s="86"/>
      <c r="H16" s="88">
        <f>H17+H21</f>
        <v>2237380645.833333</v>
      </c>
      <c r="I16" s="79">
        <f t="shared" si="1"/>
        <v>2237380645.833333</v>
      </c>
      <c r="J16" s="79"/>
      <c r="K16" s="79"/>
      <c r="L16" s="79"/>
      <c r="M16" s="79"/>
      <c r="N16" s="169"/>
    </row>
    <row r="17" spans="1:15" ht="17.25" customHeight="1">
      <c r="A17" s="170" t="s">
        <v>84</v>
      </c>
      <c r="B17" s="84" t="s">
        <v>78</v>
      </c>
      <c r="C17" s="85"/>
      <c r="D17" s="86"/>
      <c r="E17" s="88"/>
      <c r="F17" s="103">
        <f>'Biểu 01b'!C14</f>
        <v>2203.19</v>
      </c>
      <c r="G17" s="86"/>
      <c r="H17" s="88">
        <f>SUM(H18:H20)</f>
        <v>601287270.83333325</v>
      </c>
      <c r="I17" s="79">
        <f t="shared" si="1"/>
        <v>601287270.83333325</v>
      </c>
      <c r="J17" s="79"/>
      <c r="K17" s="79"/>
      <c r="L17" s="79"/>
      <c r="M17" s="79"/>
      <c r="N17" s="169"/>
    </row>
    <row r="18" spans="1:15" ht="17.25" customHeight="1">
      <c r="A18" s="172" t="s">
        <v>15</v>
      </c>
      <c r="B18" s="173" t="s">
        <v>79</v>
      </c>
      <c r="C18" s="85"/>
      <c r="D18" s="86"/>
      <c r="E18" s="88"/>
      <c r="F18" s="174"/>
      <c r="G18" s="93">
        <v>500000</v>
      </c>
      <c r="H18" s="94">
        <f>F17*G18/12*5</f>
        <v>458997916.66666663</v>
      </c>
      <c r="I18" s="93">
        <f t="shared" si="1"/>
        <v>458997916.66666663</v>
      </c>
      <c r="J18" s="79"/>
      <c r="K18" s="79"/>
      <c r="L18" s="79"/>
      <c r="M18" s="79"/>
      <c r="N18" s="787" t="s">
        <v>85</v>
      </c>
    </row>
    <row r="19" spans="1:15" ht="17.25" customHeight="1">
      <c r="A19" s="172" t="s">
        <v>15</v>
      </c>
      <c r="B19" s="173" t="s">
        <v>81</v>
      </c>
      <c r="C19" s="85"/>
      <c r="D19" s="86"/>
      <c r="E19" s="88"/>
      <c r="F19" s="174"/>
      <c r="G19" s="176">
        <v>7.0000000000000007E-2</v>
      </c>
      <c r="H19" s="94">
        <f>H18*0.07</f>
        <v>32129854.166666668</v>
      </c>
      <c r="I19" s="93">
        <f t="shared" si="1"/>
        <v>32129854.166666668</v>
      </c>
      <c r="J19" s="79"/>
      <c r="K19" s="79"/>
      <c r="L19" s="79"/>
      <c r="M19" s="79"/>
      <c r="N19" s="793"/>
    </row>
    <row r="20" spans="1:15" ht="17.25" customHeight="1">
      <c r="A20" s="172" t="s">
        <v>15</v>
      </c>
      <c r="B20" s="173" t="s">
        <v>82</v>
      </c>
      <c r="C20" s="92"/>
      <c r="D20" s="93"/>
      <c r="E20" s="93"/>
      <c r="F20" s="174"/>
      <c r="G20" s="98">
        <v>50000</v>
      </c>
      <c r="H20" s="94">
        <f>F17*G20</f>
        <v>110159500</v>
      </c>
      <c r="I20" s="93">
        <f t="shared" si="1"/>
        <v>110159500</v>
      </c>
      <c r="J20" s="79"/>
      <c r="K20" s="79"/>
      <c r="L20" s="79"/>
      <c r="M20" s="79"/>
      <c r="N20" s="788"/>
    </row>
    <row r="21" spans="1:15" ht="17.25" customHeight="1">
      <c r="A21" s="170" t="s">
        <v>86</v>
      </c>
      <c r="B21" s="84" t="s">
        <v>87</v>
      </c>
      <c r="C21" s="85"/>
      <c r="D21" s="88"/>
      <c r="E21" s="88"/>
      <c r="F21" s="103">
        <f>'Biểu 01b'!C15</f>
        <v>5153.05</v>
      </c>
      <c r="G21" s="88"/>
      <c r="H21" s="88">
        <f>SUM(H22:H24)</f>
        <v>1636093375</v>
      </c>
      <c r="I21" s="79">
        <f t="shared" si="1"/>
        <v>1636093375</v>
      </c>
      <c r="J21" s="79"/>
      <c r="K21" s="79"/>
      <c r="L21" s="79"/>
      <c r="M21" s="79"/>
      <c r="N21" s="169"/>
    </row>
    <row r="22" spans="1:15" ht="18" customHeight="1">
      <c r="A22" s="172" t="s">
        <v>15</v>
      </c>
      <c r="B22" s="173" t="s">
        <v>79</v>
      </c>
      <c r="C22" s="92"/>
      <c r="D22" s="93"/>
      <c r="E22" s="93"/>
      <c r="F22" s="174"/>
      <c r="G22" s="93">
        <f>500000*1.2</f>
        <v>600000</v>
      </c>
      <c r="H22" s="94">
        <f>F21*G22/12*5</f>
        <v>1288262500</v>
      </c>
      <c r="I22" s="93">
        <f t="shared" si="1"/>
        <v>1288262500</v>
      </c>
      <c r="J22" s="79"/>
      <c r="K22" s="79"/>
      <c r="L22" s="79"/>
      <c r="M22" s="79"/>
      <c r="N22" s="787" t="s">
        <v>88</v>
      </c>
    </row>
    <row r="23" spans="1:15" ht="17.25" customHeight="1">
      <c r="A23" s="172" t="s">
        <v>15</v>
      </c>
      <c r="B23" s="173" t="s">
        <v>81</v>
      </c>
      <c r="C23" s="92"/>
      <c r="D23" s="175"/>
      <c r="E23" s="93"/>
      <c r="F23" s="174"/>
      <c r="G23" s="176">
        <v>7.0000000000000007E-2</v>
      </c>
      <c r="H23" s="94">
        <f>H22*0.07</f>
        <v>90178375.000000015</v>
      </c>
      <c r="I23" s="93">
        <f t="shared" si="1"/>
        <v>90178375.000000015</v>
      </c>
      <c r="J23" s="79"/>
      <c r="K23" s="79"/>
      <c r="L23" s="79"/>
      <c r="M23" s="79"/>
      <c r="N23" s="793"/>
    </row>
    <row r="24" spans="1:15" ht="17.25" customHeight="1">
      <c r="A24" s="172" t="s">
        <v>15</v>
      </c>
      <c r="B24" s="173" t="s">
        <v>82</v>
      </c>
      <c r="C24" s="92"/>
      <c r="D24" s="175"/>
      <c r="E24" s="93"/>
      <c r="F24" s="174"/>
      <c r="G24" s="177">
        <v>50000</v>
      </c>
      <c r="H24" s="94">
        <f>F21*G24</f>
        <v>257652500</v>
      </c>
      <c r="I24" s="93">
        <f t="shared" si="1"/>
        <v>257652500</v>
      </c>
      <c r="J24" s="79"/>
      <c r="K24" s="79"/>
      <c r="L24" s="79"/>
      <c r="M24" s="79"/>
      <c r="N24" s="788"/>
    </row>
    <row r="25" spans="1:15" ht="36.75" customHeight="1">
      <c r="A25" s="81" t="s">
        <v>5</v>
      </c>
      <c r="B25" s="82" t="s">
        <v>89</v>
      </c>
      <c r="C25" s="76">
        <f>C26</f>
        <v>4321.6400000000003</v>
      </c>
      <c r="D25" s="77"/>
      <c r="E25" s="79">
        <f>E26</f>
        <v>702266500</v>
      </c>
      <c r="F25" s="76">
        <f>C25</f>
        <v>4321.6400000000003</v>
      </c>
      <c r="G25" s="77"/>
      <c r="H25" s="79"/>
      <c r="I25" s="79">
        <f t="shared" si="1"/>
        <v>702266500</v>
      </c>
      <c r="J25" s="79"/>
      <c r="K25" s="79"/>
      <c r="L25" s="79"/>
      <c r="M25" s="79"/>
      <c r="N25" s="798"/>
    </row>
    <row r="26" spans="1:15" ht="36.75" customHeight="1">
      <c r="A26" s="81">
        <v>2</v>
      </c>
      <c r="B26" s="82" t="s">
        <v>90</v>
      </c>
      <c r="C26" s="76">
        <f>C27</f>
        <v>4321.6400000000003</v>
      </c>
      <c r="D26" s="77"/>
      <c r="E26" s="79">
        <f>E27</f>
        <v>702266500</v>
      </c>
      <c r="F26" s="76"/>
      <c r="G26" s="77"/>
      <c r="H26" s="79"/>
      <c r="I26" s="79">
        <f t="shared" si="1"/>
        <v>702266500</v>
      </c>
      <c r="J26" s="79"/>
      <c r="K26" s="79"/>
      <c r="L26" s="79"/>
      <c r="M26" s="79"/>
      <c r="N26" s="798"/>
    </row>
    <row r="27" spans="1:15" s="171" customFormat="1" ht="17.25" customHeight="1">
      <c r="A27" s="170" t="s">
        <v>15</v>
      </c>
      <c r="B27" s="84" t="s">
        <v>79</v>
      </c>
      <c r="C27" s="103">
        <f>'Biểu 01b'!C17</f>
        <v>4321.6400000000003</v>
      </c>
      <c r="D27" s="178">
        <v>300000</v>
      </c>
      <c r="E27" s="87">
        <f>C27*D27/12*6.5</f>
        <v>702266500</v>
      </c>
      <c r="F27" s="85"/>
      <c r="G27" s="86"/>
      <c r="H27" s="88"/>
      <c r="I27" s="88">
        <f t="shared" si="1"/>
        <v>702266500</v>
      </c>
      <c r="J27" s="88"/>
      <c r="K27" s="88"/>
      <c r="L27" s="88"/>
      <c r="M27" s="88"/>
      <c r="N27" s="798"/>
    </row>
    <row r="28" spans="1:15" s="171" customFormat="1" ht="17.25" customHeight="1">
      <c r="A28" s="179" t="s">
        <v>15</v>
      </c>
      <c r="B28" s="180" t="s">
        <v>81</v>
      </c>
      <c r="C28" s="181"/>
      <c r="D28" s="182"/>
      <c r="E28" s="183"/>
      <c r="F28" s="181"/>
      <c r="G28" s="182"/>
      <c r="H28" s="183"/>
      <c r="I28" s="183">
        <f t="shared" si="1"/>
        <v>0</v>
      </c>
      <c r="J28" s="183"/>
      <c r="K28" s="183"/>
      <c r="L28" s="183"/>
      <c r="M28" s="183"/>
      <c r="N28" s="799"/>
    </row>
    <row r="29" spans="1:15" s="188" customFormat="1" ht="17.25" customHeight="1">
      <c r="A29" s="184" t="s">
        <v>3</v>
      </c>
      <c r="B29" s="185" t="s">
        <v>91</v>
      </c>
      <c r="C29" s="141">
        <f>C30+C47</f>
        <v>1985.73</v>
      </c>
      <c r="D29" s="141"/>
      <c r="E29" s="186">
        <f>E30+E47</f>
        <v>259548033.75</v>
      </c>
      <c r="F29" s="141">
        <f>F30+F47</f>
        <v>1985.73</v>
      </c>
      <c r="G29" s="141"/>
      <c r="H29" s="186">
        <f>H30+H47</f>
        <v>369784710.625</v>
      </c>
      <c r="I29" s="186">
        <f>I30+I47</f>
        <v>697147000.375</v>
      </c>
      <c r="J29" s="186">
        <f>J30+J47</f>
        <v>707000000</v>
      </c>
      <c r="K29" s="186">
        <f>K30+K47</f>
        <v>9852999.6249999702</v>
      </c>
      <c r="L29" s="186">
        <f>K29</f>
        <v>9852999.6249999702</v>
      </c>
      <c r="M29" s="146">
        <v>0</v>
      </c>
      <c r="N29" s="187"/>
      <c r="O29" s="188" t="s">
        <v>92</v>
      </c>
    </row>
    <row r="30" spans="1:15" s="188" customFormat="1" ht="17.25" customHeight="1">
      <c r="A30" s="81" t="s">
        <v>1</v>
      </c>
      <c r="B30" s="82" t="s">
        <v>74</v>
      </c>
      <c r="C30" s="76">
        <f>C31+C46</f>
        <v>591.96</v>
      </c>
      <c r="D30" s="76"/>
      <c r="E30" s="79">
        <f>E31+E46</f>
        <v>17206275</v>
      </c>
      <c r="F30" s="76">
        <f>F31+F46</f>
        <v>591.96</v>
      </c>
      <c r="G30" s="76"/>
      <c r="H30" s="79">
        <f>H31+H46</f>
        <v>124590354.16666666</v>
      </c>
      <c r="I30" s="79">
        <f>I31+I46+276</f>
        <v>209610885.16666666</v>
      </c>
      <c r="J30" s="79">
        <v>413493000</v>
      </c>
      <c r="K30" s="79">
        <f>J30-I30</f>
        <v>203882114.83333334</v>
      </c>
      <c r="L30" s="79"/>
      <c r="M30" s="79"/>
      <c r="N30" s="80"/>
    </row>
    <row r="31" spans="1:15" s="188" customFormat="1" ht="17.25" customHeight="1">
      <c r="A31" s="81">
        <v>1</v>
      </c>
      <c r="B31" s="82" t="s">
        <v>75</v>
      </c>
      <c r="C31" s="76">
        <f>C32+C39</f>
        <v>591.96</v>
      </c>
      <c r="D31" s="76"/>
      <c r="E31" s="79">
        <f>E32+E3</f>
        <v>17206275</v>
      </c>
      <c r="F31" s="76">
        <f>F32+F39</f>
        <v>591.96</v>
      </c>
      <c r="G31" s="76"/>
      <c r="H31" s="79">
        <f>H32+H39</f>
        <v>124590354.16666666</v>
      </c>
      <c r="I31" s="79">
        <f>I32+I39</f>
        <v>209610609.16666666</v>
      </c>
      <c r="J31" s="79"/>
      <c r="K31" s="79"/>
      <c r="L31" s="79"/>
      <c r="M31" s="79"/>
      <c r="N31" s="80"/>
    </row>
    <row r="32" spans="1:15" s="171" customFormat="1" ht="17.25" customHeight="1">
      <c r="A32" s="83" t="s">
        <v>7</v>
      </c>
      <c r="B32" s="84" t="s">
        <v>76</v>
      </c>
      <c r="C32" s="85">
        <f>C34</f>
        <v>119.8</v>
      </c>
      <c r="D32" s="85"/>
      <c r="E32" s="88">
        <f>E33+E35+E37</f>
        <v>17206275</v>
      </c>
      <c r="F32" s="85">
        <f>F34</f>
        <v>119.8</v>
      </c>
      <c r="G32" s="85"/>
      <c r="H32" s="88">
        <f>H33+H35+H37</f>
        <v>8812787.5</v>
      </c>
      <c r="I32" s="88">
        <f>E32+H32</f>
        <v>26019062.5</v>
      </c>
      <c r="J32" s="88"/>
      <c r="K32" s="88"/>
      <c r="L32" s="88"/>
      <c r="M32" s="88"/>
      <c r="N32" s="89"/>
    </row>
    <row r="33" spans="1:14" s="171" customFormat="1" ht="17.25" customHeight="1">
      <c r="A33" s="83" t="s">
        <v>18</v>
      </c>
      <c r="B33" s="84" t="s">
        <v>79</v>
      </c>
      <c r="C33" s="85"/>
      <c r="D33" s="85"/>
      <c r="E33" s="88">
        <f>E34</f>
        <v>10482500</v>
      </c>
      <c r="F33" s="85"/>
      <c r="G33" s="85"/>
      <c r="H33" s="88">
        <f>H34</f>
        <v>8236250</v>
      </c>
      <c r="I33" s="88">
        <f>E33+H33</f>
        <v>18718750</v>
      </c>
      <c r="J33" s="88"/>
      <c r="K33" s="88"/>
      <c r="L33" s="189"/>
      <c r="M33" s="189"/>
      <c r="N33" s="787" t="s">
        <v>93</v>
      </c>
    </row>
    <row r="34" spans="1:14" ht="17.25" customHeight="1">
      <c r="A34" s="90"/>
      <c r="B34" s="173" t="s">
        <v>94</v>
      </c>
      <c r="C34" s="85">
        <f>'Biểu 01b'!C22</f>
        <v>119.8</v>
      </c>
      <c r="D34" s="93">
        <v>300000</v>
      </c>
      <c r="E34" s="93">
        <f>C34*D34/12*3.5</f>
        <v>10482500</v>
      </c>
      <c r="F34" s="85">
        <v>119.8</v>
      </c>
      <c r="G34" s="93">
        <v>150000</v>
      </c>
      <c r="H34" s="93">
        <f>F34*G34/12*5.5</f>
        <v>8236250</v>
      </c>
      <c r="I34" s="93"/>
      <c r="J34" s="93"/>
      <c r="K34" s="93"/>
      <c r="L34" s="190"/>
      <c r="M34" s="190"/>
      <c r="N34" s="793"/>
    </row>
    <row r="35" spans="1:14" s="171" customFormat="1" ht="17.25" customHeight="1">
      <c r="A35" s="83" t="s">
        <v>18</v>
      </c>
      <c r="B35" s="84" t="s">
        <v>81</v>
      </c>
      <c r="C35" s="85"/>
      <c r="D35" s="191"/>
      <c r="E35" s="88">
        <f>E36</f>
        <v>733775.00000000012</v>
      </c>
      <c r="F35" s="85"/>
      <c r="G35" s="191"/>
      <c r="H35" s="88">
        <f>H36</f>
        <v>576537.5</v>
      </c>
      <c r="I35" s="88">
        <f t="shared" ref="I35:I37" si="2">E35+H35</f>
        <v>1310312.5</v>
      </c>
      <c r="J35" s="88"/>
      <c r="K35" s="88"/>
      <c r="L35" s="88"/>
      <c r="M35" s="88"/>
      <c r="N35" s="793"/>
    </row>
    <row r="36" spans="1:14" ht="17.25" customHeight="1">
      <c r="A36" s="90"/>
      <c r="B36" s="173" t="s">
        <v>94</v>
      </c>
      <c r="C36" s="92">
        <v>119.8</v>
      </c>
      <c r="D36" s="176">
        <v>7.0000000000000007E-2</v>
      </c>
      <c r="E36" s="93">
        <f>E34*D36</f>
        <v>733775.00000000012</v>
      </c>
      <c r="F36" s="92">
        <v>119.8</v>
      </c>
      <c r="G36" s="176">
        <v>7.0000000000000007E-2</v>
      </c>
      <c r="H36" s="93">
        <f>H34*G36</f>
        <v>576537.5</v>
      </c>
      <c r="I36" s="93"/>
      <c r="J36" s="93"/>
      <c r="K36" s="93"/>
      <c r="L36" s="93"/>
      <c r="M36" s="93"/>
      <c r="N36" s="788"/>
    </row>
    <row r="37" spans="1:14" s="171" customFormat="1" ht="17.25" customHeight="1">
      <c r="A37" s="83" t="s">
        <v>18</v>
      </c>
      <c r="B37" s="84" t="s">
        <v>82</v>
      </c>
      <c r="C37" s="85"/>
      <c r="D37" s="85"/>
      <c r="E37" s="88">
        <f>E38</f>
        <v>5990000</v>
      </c>
      <c r="F37" s="85"/>
      <c r="G37" s="85"/>
      <c r="H37" s="88">
        <f>H38</f>
        <v>0</v>
      </c>
      <c r="I37" s="88">
        <f t="shared" si="2"/>
        <v>5990000</v>
      </c>
      <c r="J37" s="88"/>
      <c r="K37" s="88"/>
      <c r="L37" s="88"/>
      <c r="M37" s="88"/>
      <c r="N37" s="95"/>
    </row>
    <row r="38" spans="1:14" ht="17.25" customHeight="1">
      <c r="A38" s="90"/>
      <c r="B38" s="173" t="s">
        <v>94</v>
      </c>
      <c r="C38" s="92">
        <v>119.8</v>
      </c>
      <c r="D38" s="98">
        <v>50000</v>
      </c>
      <c r="E38" s="93">
        <f>C38*D38</f>
        <v>5990000</v>
      </c>
      <c r="F38" s="92"/>
      <c r="G38" s="93">
        <v>50000</v>
      </c>
      <c r="H38" s="93"/>
      <c r="I38" s="93"/>
      <c r="J38" s="93"/>
      <c r="K38" s="93"/>
      <c r="L38" s="93"/>
      <c r="M38" s="93"/>
      <c r="N38" s="99"/>
    </row>
    <row r="39" spans="1:14" s="171" customFormat="1" ht="17.25" customHeight="1">
      <c r="A39" s="83" t="s">
        <v>8</v>
      </c>
      <c r="B39" s="84" t="s">
        <v>83</v>
      </c>
      <c r="C39" s="85">
        <f>C41</f>
        <v>472.16</v>
      </c>
      <c r="D39" s="85"/>
      <c r="E39" s="88">
        <f>E40+E42+E44</f>
        <v>67813980</v>
      </c>
      <c r="F39" s="85">
        <f>F41</f>
        <v>472.16</v>
      </c>
      <c r="G39" s="85"/>
      <c r="H39" s="88">
        <f>H40+H42+H44</f>
        <v>115777566.66666666</v>
      </c>
      <c r="I39" s="88">
        <f>E39+H39</f>
        <v>183591546.66666666</v>
      </c>
      <c r="J39" s="88"/>
      <c r="K39" s="88"/>
      <c r="L39" s="88"/>
      <c r="M39" s="88"/>
      <c r="N39" s="89"/>
    </row>
    <row r="40" spans="1:14" s="171" customFormat="1" ht="17.25" customHeight="1">
      <c r="A40" s="83" t="s">
        <v>18</v>
      </c>
      <c r="B40" s="84" t="s">
        <v>79</v>
      </c>
      <c r="C40" s="85"/>
      <c r="D40" s="85"/>
      <c r="E40" s="88">
        <f>E41</f>
        <v>41314000</v>
      </c>
      <c r="F40" s="85"/>
      <c r="G40" s="85"/>
      <c r="H40" s="88">
        <f>H41</f>
        <v>108203333.33333333</v>
      </c>
      <c r="I40" s="88">
        <f>E40+H40</f>
        <v>149517333.33333331</v>
      </c>
      <c r="J40" s="88"/>
      <c r="K40" s="88"/>
      <c r="L40" s="189"/>
      <c r="M40" s="189"/>
      <c r="N40" s="787" t="s">
        <v>95</v>
      </c>
    </row>
    <row r="41" spans="1:14" ht="17.25" customHeight="1">
      <c r="A41" s="90"/>
      <c r="B41" s="173" t="s">
        <v>94</v>
      </c>
      <c r="C41" s="92">
        <f>'Biểu 01b'!C24</f>
        <v>472.16</v>
      </c>
      <c r="D41" s="93">
        <v>300000</v>
      </c>
      <c r="E41" s="93">
        <f>C41*D41/12*3.5</f>
        <v>41314000</v>
      </c>
      <c r="F41" s="92">
        <f>C41</f>
        <v>472.16</v>
      </c>
      <c r="G41" s="93">
        <v>500000</v>
      </c>
      <c r="H41" s="93">
        <f>F41*G41/12*5.5</f>
        <v>108203333.33333333</v>
      </c>
      <c r="I41" s="93"/>
      <c r="J41" s="93"/>
      <c r="K41" s="93"/>
      <c r="L41" s="190"/>
      <c r="M41" s="190"/>
      <c r="N41" s="793"/>
    </row>
    <row r="42" spans="1:14" s="171" customFormat="1" ht="17.25" customHeight="1">
      <c r="A42" s="83" t="s">
        <v>18</v>
      </c>
      <c r="B42" s="84" t="s">
        <v>81</v>
      </c>
      <c r="C42" s="85"/>
      <c r="D42" s="191"/>
      <c r="E42" s="88">
        <f>E43</f>
        <v>2891980.0000000005</v>
      </c>
      <c r="F42" s="85"/>
      <c r="G42" s="191"/>
      <c r="H42" s="88">
        <f>H43</f>
        <v>7574233.333333334</v>
      </c>
      <c r="I42" s="88">
        <f t="shared" ref="I42:I75" si="3">E42+H42</f>
        <v>10466213.333333334</v>
      </c>
      <c r="J42" s="88"/>
      <c r="K42" s="88"/>
      <c r="L42" s="88"/>
      <c r="M42" s="88"/>
      <c r="N42" s="793"/>
    </row>
    <row r="43" spans="1:14" ht="17.25" customHeight="1">
      <c r="A43" s="90"/>
      <c r="B43" s="173" t="s">
        <v>94</v>
      </c>
      <c r="C43" s="92">
        <v>472.16</v>
      </c>
      <c r="D43" s="176">
        <v>7.0000000000000007E-2</v>
      </c>
      <c r="E43" s="93">
        <f>E41*D43</f>
        <v>2891980.0000000005</v>
      </c>
      <c r="F43" s="92">
        <f>C43</f>
        <v>472.16</v>
      </c>
      <c r="G43" s="176">
        <v>7.0000000000000007E-2</v>
      </c>
      <c r="H43" s="93">
        <f>H41*G43</f>
        <v>7574233.333333334</v>
      </c>
      <c r="I43" s="93"/>
      <c r="J43" s="93"/>
      <c r="K43" s="93"/>
      <c r="L43" s="93"/>
      <c r="M43" s="93"/>
      <c r="N43" s="788"/>
    </row>
    <row r="44" spans="1:14" s="171" customFormat="1" ht="17.25" customHeight="1">
      <c r="A44" s="83" t="s">
        <v>18</v>
      </c>
      <c r="B44" s="84" t="s">
        <v>82</v>
      </c>
      <c r="C44" s="85"/>
      <c r="D44" s="85"/>
      <c r="E44" s="88">
        <f>E45</f>
        <v>23608000</v>
      </c>
      <c r="F44" s="85"/>
      <c r="G44" s="85"/>
      <c r="H44" s="88">
        <f>H45</f>
        <v>0</v>
      </c>
      <c r="I44" s="88">
        <f t="shared" si="3"/>
        <v>23608000</v>
      </c>
      <c r="J44" s="88"/>
      <c r="K44" s="88"/>
      <c r="L44" s="88"/>
      <c r="M44" s="88"/>
      <c r="N44" s="95"/>
    </row>
    <row r="45" spans="1:14" ht="17.25" customHeight="1">
      <c r="A45" s="90"/>
      <c r="B45" s="173" t="s">
        <v>94</v>
      </c>
      <c r="C45" s="92">
        <v>472.16</v>
      </c>
      <c r="D45" s="98">
        <v>50000</v>
      </c>
      <c r="E45" s="93">
        <f>C45*D45</f>
        <v>23608000</v>
      </c>
      <c r="F45" s="92"/>
      <c r="G45" s="93">
        <v>50000</v>
      </c>
      <c r="H45" s="93"/>
      <c r="I45" s="93"/>
      <c r="J45" s="93"/>
      <c r="K45" s="93"/>
      <c r="L45" s="93"/>
      <c r="M45" s="93"/>
      <c r="N45" s="99"/>
    </row>
    <row r="46" spans="1:14" s="188" customFormat="1" ht="17.25" customHeight="1">
      <c r="A46" s="81">
        <v>2</v>
      </c>
      <c r="B46" s="82" t="s">
        <v>96</v>
      </c>
      <c r="C46" s="76"/>
      <c r="D46" s="93">
        <v>5000000</v>
      </c>
      <c r="E46" s="79">
        <f>C46*D46</f>
        <v>0</v>
      </c>
      <c r="F46" s="76"/>
      <c r="G46" s="76"/>
      <c r="H46" s="79">
        <f>F46*G46</f>
        <v>0</v>
      </c>
      <c r="I46" s="79">
        <f t="shared" si="3"/>
        <v>0</v>
      </c>
      <c r="J46" s="79"/>
      <c r="K46" s="88"/>
      <c r="L46" s="88"/>
      <c r="M46" s="88"/>
      <c r="N46" s="89"/>
    </row>
    <row r="47" spans="1:14" s="188" customFormat="1" ht="36.75" customHeight="1">
      <c r="A47" s="81" t="s">
        <v>5</v>
      </c>
      <c r="B47" s="82" t="s">
        <v>89</v>
      </c>
      <c r="C47" s="76">
        <f>C49+C63</f>
        <v>1393.77</v>
      </c>
      <c r="D47" s="76"/>
      <c r="E47" s="79">
        <f>E49+E63</f>
        <v>242341758.75</v>
      </c>
      <c r="F47" s="76">
        <f>F49+F63</f>
        <v>1393.77</v>
      </c>
      <c r="G47" s="76"/>
      <c r="H47" s="79">
        <f t="shared" ref="H47:N47" si="4">H49+H63</f>
        <v>245194356.45833334</v>
      </c>
      <c r="I47" s="79">
        <f t="shared" si="4"/>
        <v>487536115.20833337</v>
      </c>
      <c r="J47" s="78">
        <v>293507000</v>
      </c>
      <c r="K47" s="79">
        <f>J47-I47</f>
        <v>-194029115.20833337</v>
      </c>
      <c r="L47" s="79"/>
      <c r="M47" s="79"/>
      <c r="N47" s="192">
        <f t="shared" si="4"/>
        <v>0</v>
      </c>
    </row>
    <row r="48" spans="1:14" s="188" customFormat="1" ht="17.25" customHeight="1">
      <c r="A48" s="81">
        <v>1</v>
      </c>
      <c r="B48" s="82" t="s">
        <v>75</v>
      </c>
      <c r="C48" s="76"/>
      <c r="D48" s="76"/>
      <c r="E48" s="79">
        <f>E49+E59</f>
        <v>97823813.750000015</v>
      </c>
      <c r="F48" s="76"/>
      <c r="G48" s="76"/>
      <c r="H48" s="79">
        <f>H49+H59</f>
        <v>41386998.125</v>
      </c>
      <c r="I48" s="79">
        <f>I49+I59</f>
        <v>139210811.875</v>
      </c>
      <c r="J48" s="79"/>
      <c r="K48" s="79"/>
      <c r="L48" s="79"/>
      <c r="M48" s="79"/>
      <c r="N48" s="80"/>
    </row>
    <row r="49" spans="1:14" s="171" customFormat="1" ht="17.25" customHeight="1">
      <c r="A49" s="83" t="s">
        <v>7</v>
      </c>
      <c r="B49" s="84" t="s">
        <v>76</v>
      </c>
      <c r="C49" s="85">
        <f>C50</f>
        <v>562.61</v>
      </c>
      <c r="D49" s="85"/>
      <c r="E49" s="88">
        <f>E50+E54+E58</f>
        <v>97823813.750000015</v>
      </c>
      <c r="F49" s="85">
        <f>F50</f>
        <v>562.61</v>
      </c>
      <c r="G49" s="85"/>
      <c r="H49" s="88">
        <f>H50+H54+H58</f>
        <v>41386998.125</v>
      </c>
      <c r="I49" s="79">
        <f t="shared" si="3"/>
        <v>139210811.875</v>
      </c>
      <c r="J49" s="88"/>
      <c r="K49" s="88"/>
      <c r="L49" s="88"/>
      <c r="M49" s="88"/>
      <c r="N49" s="95"/>
    </row>
    <row r="50" spans="1:14" s="171" customFormat="1" ht="17.25" customHeight="1">
      <c r="A50" s="83" t="s">
        <v>18</v>
      </c>
      <c r="B50" s="84" t="s">
        <v>79</v>
      </c>
      <c r="C50" s="85">
        <f>SUM(C51:C53)</f>
        <v>562.61</v>
      </c>
      <c r="D50" s="85"/>
      <c r="E50" s="88">
        <f>SUM(E51:E53)</f>
        <v>91424125.000000015</v>
      </c>
      <c r="F50" s="85">
        <f>SUM(F51:F53)</f>
        <v>562.61</v>
      </c>
      <c r="G50" s="85"/>
      <c r="H50" s="88">
        <f>SUM(H51:H53)</f>
        <v>38679437.5</v>
      </c>
      <c r="I50" s="88">
        <f t="shared" si="3"/>
        <v>130103562.50000001</v>
      </c>
      <c r="J50" s="88"/>
      <c r="K50" s="88"/>
      <c r="L50" s="88"/>
      <c r="M50" s="88"/>
      <c r="N50" s="95"/>
    </row>
    <row r="51" spans="1:14" ht="17.25" customHeight="1">
      <c r="A51" s="90"/>
      <c r="B51" s="73" t="s">
        <v>97</v>
      </c>
      <c r="C51" s="92">
        <f>'Biểu 01b'!C29</f>
        <v>54.96</v>
      </c>
      <c r="D51" s="93">
        <v>300000</v>
      </c>
      <c r="E51" s="93">
        <f>C51*D51/12*6.5</f>
        <v>8931000</v>
      </c>
      <c r="F51" s="92">
        <v>54.96</v>
      </c>
      <c r="G51" s="93">
        <v>150000</v>
      </c>
      <c r="H51" s="93">
        <f>F51*G51/12*5.5</f>
        <v>3778500</v>
      </c>
      <c r="I51" s="93">
        <f t="shared" si="3"/>
        <v>12709500</v>
      </c>
      <c r="J51" s="93"/>
      <c r="K51" s="93"/>
      <c r="L51" s="93"/>
      <c r="M51" s="93"/>
      <c r="N51" s="787" t="s">
        <v>98</v>
      </c>
    </row>
    <row r="52" spans="1:14" ht="17.25" customHeight="1">
      <c r="A52" s="90"/>
      <c r="B52" s="73" t="s">
        <v>99</v>
      </c>
      <c r="C52" s="92">
        <f>'Biểu 01b'!C30</f>
        <v>120.68</v>
      </c>
      <c r="D52" s="93">
        <v>300000</v>
      </c>
      <c r="E52" s="93">
        <f t="shared" ref="E52:E53" si="5">C52*D52/12*6.5</f>
        <v>19610500</v>
      </c>
      <c r="F52" s="92">
        <v>120.68</v>
      </c>
      <c r="G52" s="93">
        <v>150000</v>
      </c>
      <c r="H52" s="93">
        <f t="shared" ref="H52:H53" si="6">F52*G52/12*5.5</f>
        <v>8296750</v>
      </c>
      <c r="I52" s="93">
        <f>E52+H52</f>
        <v>27907250</v>
      </c>
      <c r="J52" s="93"/>
      <c r="K52" s="93"/>
      <c r="L52" s="93"/>
      <c r="M52" s="93"/>
      <c r="N52" s="793"/>
    </row>
    <row r="53" spans="1:14" ht="17.25" customHeight="1">
      <c r="A53" s="90"/>
      <c r="B53" s="173" t="s">
        <v>100</v>
      </c>
      <c r="C53" s="92">
        <f>'Biểu 01b'!C31</f>
        <v>386.97</v>
      </c>
      <c r="D53" s="93">
        <v>300000</v>
      </c>
      <c r="E53" s="93">
        <f t="shared" si="5"/>
        <v>62882625.000000015</v>
      </c>
      <c r="F53" s="92">
        <v>386.97</v>
      </c>
      <c r="G53" s="93">
        <v>150000</v>
      </c>
      <c r="H53" s="93">
        <f t="shared" si="6"/>
        <v>26604187.500000004</v>
      </c>
      <c r="I53" s="93">
        <f>E53+H53</f>
        <v>89486812.500000015</v>
      </c>
      <c r="J53" s="93"/>
      <c r="K53" s="93"/>
      <c r="L53" s="93"/>
      <c r="M53" s="93"/>
      <c r="N53" s="788"/>
    </row>
    <row r="54" spans="1:14" s="171" customFormat="1" ht="17.25" customHeight="1">
      <c r="A54" s="83" t="s">
        <v>18</v>
      </c>
      <c r="B54" s="84" t="s">
        <v>81</v>
      </c>
      <c r="C54" s="85">
        <f>SUM(C55:C57)</f>
        <v>562.61</v>
      </c>
      <c r="D54" s="191"/>
      <c r="E54" s="88">
        <f>SUM(E55:E57)</f>
        <v>6399688.7500000019</v>
      </c>
      <c r="F54" s="85">
        <f>SUM(F55:F57)</f>
        <v>562.61</v>
      </c>
      <c r="G54" s="191"/>
      <c r="H54" s="88">
        <f>SUM(H55:H57)</f>
        <v>2707560.6250000005</v>
      </c>
      <c r="I54" s="88">
        <f>SUM(I55:I57)</f>
        <v>9107249.3750000019</v>
      </c>
      <c r="J54" s="88"/>
      <c r="K54" s="88"/>
      <c r="L54" s="88"/>
      <c r="M54" s="88"/>
      <c r="N54" s="95"/>
    </row>
    <row r="55" spans="1:14" ht="17.25" customHeight="1">
      <c r="A55" s="90"/>
      <c r="B55" s="73" t="s">
        <v>97</v>
      </c>
      <c r="C55" s="92">
        <v>54.96</v>
      </c>
      <c r="D55" s="176">
        <v>7.0000000000000007E-2</v>
      </c>
      <c r="E55" s="93">
        <f>E51*D55</f>
        <v>625170.00000000012</v>
      </c>
      <c r="F55" s="92">
        <v>54.96</v>
      </c>
      <c r="G55" s="176">
        <v>7.0000000000000007E-2</v>
      </c>
      <c r="H55" s="93">
        <f>H51*G55</f>
        <v>264495</v>
      </c>
      <c r="I55" s="93">
        <f t="shared" ref="I55:I57" si="7">E55+H55</f>
        <v>889665.00000000012</v>
      </c>
      <c r="J55" s="93"/>
      <c r="K55" s="93"/>
      <c r="L55" s="93"/>
      <c r="M55" s="93"/>
      <c r="N55" s="787" t="s">
        <v>101</v>
      </c>
    </row>
    <row r="56" spans="1:14" ht="17.25" customHeight="1">
      <c r="A56" s="90"/>
      <c r="B56" s="73" t="s">
        <v>99</v>
      </c>
      <c r="C56" s="92">
        <v>120.68</v>
      </c>
      <c r="D56" s="176">
        <v>7.0000000000000007E-2</v>
      </c>
      <c r="E56" s="93">
        <f>E52*D56</f>
        <v>1372735.0000000002</v>
      </c>
      <c r="F56" s="92">
        <v>120.68</v>
      </c>
      <c r="G56" s="176">
        <v>7.0000000000000007E-2</v>
      </c>
      <c r="H56" s="93">
        <f>H52*G56</f>
        <v>580772.5</v>
      </c>
      <c r="I56" s="93">
        <f t="shared" si="7"/>
        <v>1953507.5000000002</v>
      </c>
      <c r="J56" s="93"/>
      <c r="K56" s="93"/>
      <c r="L56" s="93"/>
      <c r="M56" s="93"/>
      <c r="N56" s="793"/>
    </row>
    <row r="57" spans="1:14" ht="17.25" customHeight="1">
      <c r="A57" s="90"/>
      <c r="B57" s="173" t="s">
        <v>100</v>
      </c>
      <c r="C57" s="92">
        <v>386.97</v>
      </c>
      <c r="D57" s="176">
        <v>7.0000000000000007E-2</v>
      </c>
      <c r="E57" s="93">
        <f>E53*D57</f>
        <v>4401783.7500000019</v>
      </c>
      <c r="F57" s="92">
        <v>386.97</v>
      </c>
      <c r="G57" s="176">
        <v>7.0000000000000007E-2</v>
      </c>
      <c r="H57" s="93">
        <f>H53*G57</f>
        <v>1862293.1250000005</v>
      </c>
      <c r="I57" s="93">
        <f t="shared" si="7"/>
        <v>6264076.8750000019</v>
      </c>
      <c r="J57" s="93"/>
      <c r="K57" s="93"/>
      <c r="L57" s="93"/>
      <c r="M57" s="93"/>
      <c r="N57" s="788"/>
    </row>
    <row r="58" spans="1:14" ht="17.25" customHeight="1">
      <c r="A58" s="90" t="s">
        <v>18</v>
      </c>
      <c r="B58" s="173" t="s">
        <v>82</v>
      </c>
      <c r="C58" s="92"/>
      <c r="D58" s="92"/>
      <c r="E58" s="93">
        <v>0</v>
      </c>
      <c r="F58" s="92"/>
      <c r="G58" s="92"/>
      <c r="H58" s="93">
        <v>0</v>
      </c>
      <c r="I58" s="93">
        <f t="shared" si="3"/>
        <v>0</v>
      </c>
      <c r="J58" s="93"/>
      <c r="K58" s="93"/>
      <c r="L58" s="93"/>
      <c r="M58" s="93"/>
      <c r="N58" s="99"/>
    </row>
    <row r="59" spans="1:14" s="171" customFormat="1" ht="17.25" customHeight="1">
      <c r="A59" s="83" t="s">
        <v>8</v>
      </c>
      <c r="B59" s="84" t="s">
        <v>83</v>
      </c>
      <c r="C59" s="85"/>
      <c r="D59" s="85"/>
      <c r="E59" s="88"/>
      <c r="F59" s="85"/>
      <c r="G59" s="85"/>
      <c r="H59" s="88"/>
      <c r="I59" s="93">
        <f t="shared" si="3"/>
        <v>0</v>
      </c>
      <c r="J59" s="88"/>
      <c r="K59" s="88"/>
      <c r="L59" s="88"/>
      <c r="M59" s="88"/>
      <c r="N59" s="95"/>
    </row>
    <row r="60" spans="1:14" ht="15.75" hidden="1" customHeight="1">
      <c r="A60" s="90"/>
      <c r="B60" s="173" t="s">
        <v>79</v>
      </c>
      <c r="C60" s="92"/>
      <c r="D60" s="92"/>
      <c r="E60" s="93"/>
      <c r="F60" s="92"/>
      <c r="G60" s="92"/>
      <c r="H60" s="93"/>
      <c r="I60" s="93">
        <f t="shared" si="3"/>
        <v>0</v>
      </c>
      <c r="J60" s="93"/>
      <c r="K60" s="93"/>
      <c r="L60" s="93"/>
      <c r="M60" s="93"/>
      <c r="N60" s="99"/>
    </row>
    <row r="61" spans="1:14" ht="15.75" hidden="1" customHeight="1">
      <c r="A61" s="90"/>
      <c r="B61" s="173" t="s">
        <v>81</v>
      </c>
      <c r="C61" s="92"/>
      <c r="D61" s="92"/>
      <c r="E61" s="93"/>
      <c r="F61" s="92"/>
      <c r="G61" s="92"/>
      <c r="H61" s="93"/>
      <c r="I61" s="93">
        <f t="shared" si="3"/>
        <v>0</v>
      </c>
      <c r="J61" s="93"/>
      <c r="K61" s="93"/>
      <c r="L61" s="93"/>
      <c r="M61" s="93"/>
      <c r="N61" s="99"/>
    </row>
    <row r="62" spans="1:14" ht="15.75" hidden="1" customHeight="1">
      <c r="A62" s="90"/>
      <c r="B62" s="173" t="s">
        <v>82</v>
      </c>
      <c r="C62" s="92"/>
      <c r="D62" s="92"/>
      <c r="E62" s="93"/>
      <c r="F62" s="92"/>
      <c r="G62" s="92"/>
      <c r="H62" s="93"/>
      <c r="I62" s="93">
        <f t="shared" si="3"/>
        <v>0</v>
      </c>
      <c r="J62" s="93"/>
      <c r="K62" s="93"/>
      <c r="L62" s="93"/>
      <c r="M62" s="93"/>
      <c r="N62" s="99"/>
    </row>
    <row r="63" spans="1:14" s="188" customFormat="1" ht="36.75" customHeight="1">
      <c r="A63" s="81">
        <v>2</v>
      </c>
      <c r="B63" s="82" t="s">
        <v>90</v>
      </c>
      <c r="C63" s="76">
        <f>C64</f>
        <v>831.16</v>
      </c>
      <c r="D63" s="76"/>
      <c r="E63" s="79">
        <f>E64+E70</f>
        <v>144517945</v>
      </c>
      <c r="F63" s="76">
        <f>F64</f>
        <v>831.16</v>
      </c>
      <c r="G63" s="76"/>
      <c r="H63" s="79">
        <f>H64+H70</f>
        <v>203807358.33333334</v>
      </c>
      <c r="I63" s="79">
        <f>I64+I70</f>
        <v>348325303.33333337</v>
      </c>
      <c r="J63" s="79"/>
      <c r="K63" s="79"/>
      <c r="L63" s="79"/>
      <c r="M63" s="79"/>
      <c r="N63" s="80"/>
    </row>
    <row r="64" spans="1:14" s="171" customFormat="1" ht="17.25" customHeight="1">
      <c r="A64" s="83" t="s">
        <v>18</v>
      </c>
      <c r="B64" s="84" t="s">
        <v>79</v>
      </c>
      <c r="C64" s="85">
        <f>SUM(C65:C69)</f>
        <v>831.16</v>
      </c>
      <c r="D64" s="85"/>
      <c r="E64" s="88">
        <f>SUM(E65:E69)</f>
        <v>135063500</v>
      </c>
      <c r="F64" s="85">
        <f>SUM(F65:F69)</f>
        <v>831.16</v>
      </c>
      <c r="G64" s="85"/>
      <c r="H64" s="88">
        <f>SUM(H65:H69)</f>
        <v>190474166.66666669</v>
      </c>
      <c r="I64" s="88">
        <f>E64+H64</f>
        <v>325537666.66666669</v>
      </c>
      <c r="J64" s="88"/>
      <c r="K64" s="88"/>
      <c r="L64" s="88"/>
      <c r="M64" s="88"/>
      <c r="N64" s="95"/>
    </row>
    <row r="65" spans="1:15" ht="17.25" customHeight="1">
      <c r="A65" s="90"/>
      <c r="B65" s="73" t="s">
        <v>97</v>
      </c>
      <c r="C65" s="92">
        <f>'Biểu 01b'!C34</f>
        <v>140.61000000000001</v>
      </c>
      <c r="D65" s="93">
        <v>300000</v>
      </c>
      <c r="E65" s="93">
        <f>C65*D65/12*6.5</f>
        <v>22849125.000000004</v>
      </c>
      <c r="F65" s="92">
        <v>140.61000000000001</v>
      </c>
      <c r="G65" s="93">
        <v>500000</v>
      </c>
      <c r="H65" s="93">
        <f>F65*G65/12*5.5</f>
        <v>32223125</v>
      </c>
      <c r="I65" s="93">
        <f t="shared" si="3"/>
        <v>55072250</v>
      </c>
      <c r="J65" s="93"/>
      <c r="K65" s="93"/>
      <c r="L65" s="93"/>
      <c r="M65" s="93"/>
      <c r="N65" s="787" t="s">
        <v>102</v>
      </c>
    </row>
    <row r="66" spans="1:15" ht="17.25" customHeight="1">
      <c r="A66" s="90"/>
      <c r="B66" s="73" t="s">
        <v>99</v>
      </c>
      <c r="C66" s="92">
        <f>'Biểu 01b'!C35</f>
        <v>85.38</v>
      </c>
      <c r="D66" s="93">
        <v>300000</v>
      </c>
      <c r="E66" s="93">
        <f t="shared" ref="E66:E69" si="8">C66*D66/12*6.5</f>
        <v>13874250</v>
      </c>
      <c r="F66" s="92">
        <v>85.38</v>
      </c>
      <c r="G66" s="93">
        <v>500000</v>
      </c>
      <c r="H66" s="93">
        <f t="shared" ref="H66:H69" si="9">F66*G66/12*5.5</f>
        <v>19566250</v>
      </c>
      <c r="I66" s="93">
        <f t="shared" si="3"/>
        <v>33440500</v>
      </c>
      <c r="J66" s="93"/>
      <c r="K66" s="93"/>
      <c r="L66" s="93"/>
      <c r="M66" s="93"/>
      <c r="N66" s="793"/>
    </row>
    <row r="67" spans="1:15" ht="17.25" customHeight="1">
      <c r="A67" s="90"/>
      <c r="B67" s="74" t="s">
        <v>103</v>
      </c>
      <c r="C67" s="92">
        <f>'Biểu 01b'!C36</f>
        <v>416.53</v>
      </c>
      <c r="D67" s="93">
        <v>300000</v>
      </c>
      <c r="E67" s="93">
        <f t="shared" si="8"/>
        <v>67686124.999999985</v>
      </c>
      <c r="F67" s="92">
        <v>416.53</v>
      </c>
      <c r="G67" s="93">
        <v>500000</v>
      </c>
      <c r="H67" s="93">
        <f t="shared" si="9"/>
        <v>95454791.666666672</v>
      </c>
      <c r="I67" s="93">
        <f t="shared" si="3"/>
        <v>163140916.66666666</v>
      </c>
      <c r="J67" s="93"/>
      <c r="K67" s="93"/>
      <c r="L67" s="93"/>
      <c r="M67" s="93"/>
      <c r="N67" s="793"/>
    </row>
    <row r="68" spans="1:15" ht="17.25" customHeight="1">
      <c r="A68" s="90"/>
      <c r="B68" s="74" t="s">
        <v>104</v>
      </c>
      <c r="C68" s="92">
        <f>'Biểu 01b'!C37</f>
        <v>64.17</v>
      </c>
      <c r="D68" s="93">
        <v>300000</v>
      </c>
      <c r="E68" s="93">
        <f t="shared" si="8"/>
        <v>10427625</v>
      </c>
      <c r="F68" s="92">
        <v>64.17</v>
      </c>
      <c r="G68" s="93">
        <v>500000</v>
      </c>
      <c r="H68" s="93">
        <f t="shared" si="9"/>
        <v>14705625</v>
      </c>
      <c r="I68" s="93">
        <f t="shared" si="3"/>
        <v>25133250</v>
      </c>
      <c r="J68" s="93"/>
      <c r="K68" s="93"/>
      <c r="L68" s="93"/>
      <c r="M68" s="93"/>
      <c r="N68" s="793"/>
    </row>
    <row r="69" spans="1:15" ht="17.25" customHeight="1">
      <c r="A69" s="90"/>
      <c r="B69" s="74" t="s">
        <v>100</v>
      </c>
      <c r="C69" s="92">
        <f>'Biểu 01b'!C38</f>
        <v>124.47</v>
      </c>
      <c r="D69" s="93">
        <v>300000</v>
      </c>
      <c r="E69" s="93">
        <f t="shared" si="8"/>
        <v>20226375</v>
      </c>
      <c r="F69" s="92">
        <v>124.47</v>
      </c>
      <c r="G69" s="93">
        <v>500000</v>
      </c>
      <c r="H69" s="93">
        <f t="shared" si="9"/>
        <v>28524375</v>
      </c>
      <c r="I69" s="93">
        <f t="shared" si="3"/>
        <v>48750750</v>
      </c>
      <c r="J69" s="93"/>
      <c r="K69" s="93"/>
      <c r="L69" s="93"/>
      <c r="M69" s="93"/>
      <c r="N69" s="788"/>
    </row>
    <row r="70" spans="1:15" s="171" customFormat="1" ht="17.25" customHeight="1">
      <c r="A70" s="83" t="s">
        <v>18</v>
      </c>
      <c r="B70" s="84" t="s">
        <v>81</v>
      </c>
      <c r="C70" s="85"/>
      <c r="D70" s="85"/>
      <c r="E70" s="88">
        <f>SUM(E71:E75)</f>
        <v>9454445</v>
      </c>
      <c r="F70" s="85"/>
      <c r="G70" s="85"/>
      <c r="H70" s="88">
        <f>SUM(H71:H75)</f>
        <v>13333191.666666668</v>
      </c>
      <c r="I70" s="88">
        <f>SUM(I71:I75)</f>
        <v>22787636.666666668</v>
      </c>
      <c r="J70" s="88"/>
      <c r="K70" s="88"/>
      <c r="L70" s="88"/>
      <c r="M70" s="88"/>
      <c r="N70" s="95"/>
    </row>
    <row r="71" spans="1:15" ht="17.25" customHeight="1">
      <c r="A71" s="90"/>
      <c r="B71" s="73" t="s">
        <v>97</v>
      </c>
      <c r="C71" s="92">
        <f>'Biểu 01b'!C40</f>
        <v>143.10999999999999</v>
      </c>
      <c r="D71" s="176">
        <v>7.0000000000000007E-2</v>
      </c>
      <c r="E71" s="93">
        <f>E65*D71</f>
        <v>1599438.7500000005</v>
      </c>
      <c r="F71" s="92">
        <v>143.10999999999999</v>
      </c>
      <c r="G71" s="176">
        <v>7.0000000000000007E-2</v>
      </c>
      <c r="H71" s="93">
        <f>H65*G71</f>
        <v>2255618.75</v>
      </c>
      <c r="I71" s="93">
        <f t="shared" si="3"/>
        <v>3855057.5000000005</v>
      </c>
      <c r="J71" s="93"/>
      <c r="K71" s="93"/>
      <c r="L71" s="93"/>
      <c r="M71" s="93"/>
      <c r="N71" s="787" t="s">
        <v>105</v>
      </c>
    </row>
    <row r="72" spans="1:15" ht="17.25" customHeight="1">
      <c r="A72" s="90"/>
      <c r="B72" s="73" t="s">
        <v>99</v>
      </c>
      <c r="C72" s="92">
        <f>'Biểu 01b'!C41</f>
        <v>78.97999999999999</v>
      </c>
      <c r="D72" s="176">
        <v>7.0000000000000007E-2</v>
      </c>
      <c r="E72" s="93">
        <f t="shared" ref="E72:E75" si="10">E66*D72</f>
        <v>971197.50000000012</v>
      </c>
      <c r="F72" s="92">
        <v>78.97999999999999</v>
      </c>
      <c r="G72" s="176">
        <v>7.0000000000000007E-2</v>
      </c>
      <c r="H72" s="93">
        <f t="shared" ref="H72:H75" si="11">H66*G72</f>
        <v>1369637.5000000002</v>
      </c>
      <c r="I72" s="93">
        <f t="shared" si="3"/>
        <v>2340835.0000000005</v>
      </c>
      <c r="J72" s="93"/>
      <c r="K72" s="93"/>
      <c r="L72" s="93"/>
      <c r="M72" s="93"/>
      <c r="N72" s="793"/>
    </row>
    <row r="73" spans="1:15" ht="17.25" customHeight="1">
      <c r="A73" s="90"/>
      <c r="B73" s="74" t="s">
        <v>103</v>
      </c>
      <c r="C73" s="92">
        <f>'Biểu 01b'!C42</f>
        <v>0</v>
      </c>
      <c r="D73" s="176">
        <v>7.0000000000000007E-2</v>
      </c>
      <c r="E73" s="93">
        <f t="shared" si="10"/>
        <v>4738028.7499999991</v>
      </c>
      <c r="F73" s="92">
        <v>0</v>
      </c>
      <c r="G73" s="176">
        <v>7.0000000000000007E-2</v>
      </c>
      <c r="H73" s="93">
        <f t="shared" si="11"/>
        <v>6681835.4166666679</v>
      </c>
      <c r="I73" s="93">
        <f t="shared" si="3"/>
        <v>11419864.166666668</v>
      </c>
      <c r="J73" s="93"/>
      <c r="K73" s="93"/>
      <c r="L73" s="93"/>
      <c r="M73" s="93"/>
      <c r="N73" s="793"/>
    </row>
    <row r="74" spans="1:15" ht="17.25" customHeight="1">
      <c r="A74" s="90"/>
      <c r="B74" s="74" t="s">
        <v>104</v>
      </c>
      <c r="C74" s="92">
        <f>'Biểu 01b'!C43</f>
        <v>78.97999999999999</v>
      </c>
      <c r="D74" s="176">
        <v>7.0000000000000007E-2</v>
      </c>
      <c r="E74" s="93">
        <f t="shared" si="10"/>
        <v>729933.75000000012</v>
      </c>
      <c r="F74" s="92">
        <v>78.97999999999999</v>
      </c>
      <c r="G74" s="176">
        <v>7.0000000000000007E-2</v>
      </c>
      <c r="H74" s="93">
        <f t="shared" si="11"/>
        <v>1029393.7500000001</v>
      </c>
      <c r="I74" s="93">
        <f t="shared" si="3"/>
        <v>1759327.5000000002</v>
      </c>
      <c r="J74" s="93"/>
      <c r="K74" s="93"/>
      <c r="L74" s="93"/>
      <c r="M74" s="93"/>
      <c r="N74" s="793"/>
    </row>
    <row r="75" spans="1:15" ht="17.25" customHeight="1">
      <c r="A75" s="136"/>
      <c r="B75" s="130" t="s">
        <v>100</v>
      </c>
      <c r="C75" s="193">
        <f>'Biểu 01b'!C44</f>
        <v>34.619999999999997</v>
      </c>
      <c r="D75" s="194">
        <v>7.0000000000000007E-2</v>
      </c>
      <c r="E75" s="140">
        <f t="shared" si="10"/>
        <v>1415846.2500000002</v>
      </c>
      <c r="F75" s="193">
        <v>34.619999999999997</v>
      </c>
      <c r="G75" s="194">
        <v>7.0000000000000007E-2</v>
      </c>
      <c r="H75" s="140">
        <f t="shared" si="11"/>
        <v>1996706.2500000002</v>
      </c>
      <c r="I75" s="140">
        <f t="shared" si="3"/>
        <v>3412552.5000000005</v>
      </c>
      <c r="J75" s="140"/>
      <c r="K75" s="140"/>
      <c r="L75" s="140"/>
      <c r="M75" s="140"/>
      <c r="N75" s="794"/>
    </row>
    <row r="76" spans="1:15" s="195" customFormat="1" ht="17.25" customHeight="1">
      <c r="A76" s="184" t="s">
        <v>4</v>
      </c>
      <c r="B76" s="185" t="s">
        <v>24</v>
      </c>
      <c r="C76" s="141">
        <f>C77+C96</f>
        <v>250.29</v>
      </c>
      <c r="D76" s="142"/>
      <c r="E76" s="186">
        <f>E77+E96</f>
        <v>338111800</v>
      </c>
      <c r="F76" s="141">
        <f>F77+F96</f>
        <v>250.29</v>
      </c>
      <c r="G76" s="142"/>
      <c r="H76" s="186">
        <f>H77+H96</f>
        <v>45647915.923333339</v>
      </c>
      <c r="I76" s="186">
        <f>I77+I96+I113</f>
        <v>1372159999.9233334</v>
      </c>
      <c r="J76" s="186">
        <v>1349000000</v>
      </c>
      <c r="K76" s="186">
        <f>J76-I76</f>
        <v>-23159999.923333406</v>
      </c>
      <c r="L76" s="186">
        <v>0</v>
      </c>
      <c r="M76" s="186">
        <v>23160000</v>
      </c>
      <c r="N76" s="187"/>
      <c r="O76" s="195" t="s">
        <v>92</v>
      </c>
    </row>
    <row r="77" spans="1:15" ht="17.25" customHeight="1">
      <c r="A77" s="81" t="s">
        <v>1</v>
      </c>
      <c r="B77" s="82" t="s">
        <v>74</v>
      </c>
      <c r="C77" s="76">
        <f>C78+C93</f>
        <v>143.10999999999999</v>
      </c>
      <c r="D77" s="76"/>
      <c r="E77" s="79">
        <f>E78+E93</f>
        <v>319475877.5</v>
      </c>
      <c r="F77" s="76">
        <f>F78+F93</f>
        <v>143.10999999999999</v>
      </c>
      <c r="G77" s="76"/>
      <c r="H77" s="79">
        <f t="shared" ref="H77" si="12">H78+H93</f>
        <v>19366522.06666667</v>
      </c>
      <c r="I77" s="79">
        <f>I78+I93+284</f>
        <v>338842683.56666666</v>
      </c>
      <c r="J77" s="79"/>
      <c r="K77" s="79"/>
      <c r="L77" s="79"/>
      <c r="M77" s="79"/>
      <c r="N77" s="77"/>
    </row>
    <row r="78" spans="1:15" ht="17.25" customHeight="1">
      <c r="A78" s="81">
        <v>1</v>
      </c>
      <c r="B78" s="82" t="s">
        <v>75</v>
      </c>
      <c r="C78" s="76">
        <f>C79+C83</f>
        <v>78.97999999999999</v>
      </c>
      <c r="D78" s="76"/>
      <c r="E78" s="79">
        <f t="shared" ref="E78:I78" si="13">E79+E83</f>
        <v>9751877.5</v>
      </c>
      <c r="F78" s="76">
        <f t="shared" si="13"/>
        <v>78.97999999999999</v>
      </c>
      <c r="G78" s="76"/>
      <c r="H78" s="79">
        <f t="shared" si="13"/>
        <v>19366522.06666667</v>
      </c>
      <c r="I78" s="79">
        <f t="shared" si="13"/>
        <v>29118399.56666667</v>
      </c>
      <c r="J78" s="79"/>
      <c r="K78" s="79"/>
      <c r="L78" s="79"/>
      <c r="M78" s="79"/>
      <c r="N78" s="99"/>
    </row>
    <row r="79" spans="1:15" ht="17.25" customHeight="1">
      <c r="A79" s="83" t="s">
        <v>7</v>
      </c>
      <c r="B79" s="84" t="s">
        <v>76</v>
      </c>
      <c r="C79" s="85"/>
      <c r="D79" s="86"/>
      <c r="E79" s="88"/>
      <c r="F79" s="85"/>
      <c r="G79" s="86"/>
      <c r="H79" s="88"/>
      <c r="I79" s="88"/>
      <c r="J79" s="88"/>
      <c r="K79" s="88"/>
      <c r="L79" s="88"/>
      <c r="M79" s="88"/>
      <c r="N79" s="88"/>
    </row>
    <row r="80" spans="1:15" ht="15.75" hidden="1" customHeight="1">
      <c r="A80" s="90"/>
      <c r="B80" s="173" t="s">
        <v>79</v>
      </c>
      <c r="C80" s="92"/>
      <c r="D80" s="93"/>
      <c r="E80" s="93"/>
      <c r="F80" s="92"/>
      <c r="G80" s="93"/>
      <c r="H80" s="93"/>
      <c r="I80" s="93"/>
      <c r="J80" s="93"/>
      <c r="K80" s="93"/>
      <c r="L80" s="93"/>
      <c r="M80" s="93"/>
      <c r="N80" s="175"/>
    </row>
    <row r="81" spans="1:14" ht="15.75" hidden="1" customHeight="1">
      <c r="A81" s="90"/>
      <c r="B81" s="173" t="s">
        <v>81</v>
      </c>
      <c r="C81" s="92"/>
      <c r="D81" s="175"/>
      <c r="E81" s="93"/>
      <c r="F81" s="92"/>
      <c r="G81" s="175"/>
      <c r="H81" s="93"/>
      <c r="I81" s="93"/>
      <c r="J81" s="93"/>
      <c r="K81" s="93"/>
      <c r="L81" s="93"/>
      <c r="M81" s="93"/>
      <c r="N81" s="175"/>
    </row>
    <row r="82" spans="1:14" ht="15.75" hidden="1" customHeight="1">
      <c r="A82" s="90"/>
      <c r="B82" s="173" t="s">
        <v>82</v>
      </c>
      <c r="C82" s="92"/>
      <c r="D82" s="175"/>
      <c r="E82" s="93"/>
      <c r="F82" s="92"/>
      <c r="G82" s="175"/>
      <c r="H82" s="93"/>
      <c r="I82" s="93"/>
      <c r="J82" s="93"/>
      <c r="K82" s="93"/>
      <c r="L82" s="93"/>
      <c r="M82" s="93"/>
      <c r="N82" s="175"/>
    </row>
    <row r="83" spans="1:14" ht="17.25" customHeight="1">
      <c r="A83" s="83" t="s">
        <v>8</v>
      </c>
      <c r="B83" s="84" t="s">
        <v>83</v>
      </c>
      <c r="C83" s="85">
        <f>C84</f>
        <v>78.97999999999999</v>
      </c>
      <c r="D83" s="86"/>
      <c r="E83" s="88">
        <f>E84+E87+E90</f>
        <v>9751877.5</v>
      </c>
      <c r="F83" s="85">
        <f>F84</f>
        <v>78.97999999999999</v>
      </c>
      <c r="G83" s="86"/>
      <c r="H83" s="88">
        <f>H84+H87+H90</f>
        <v>19366522.06666667</v>
      </c>
      <c r="I83" s="88">
        <f>I84+I87+I90</f>
        <v>29118399.56666667</v>
      </c>
      <c r="J83" s="88"/>
      <c r="K83" s="88"/>
      <c r="L83" s="88"/>
      <c r="M83" s="88"/>
      <c r="N83" s="99"/>
    </row>
    <row r="84" spans="1:14" s="196" customFormat="1" ht="17.25" customHeight="1">
      <c r="A84" s="83" t="s">
        <v>18</v>
      </c>
      <c r="B84" s="84" t="s">
        <v>79</v>
      </c>
      <c r="C84" s="85">
        <f>C85+C86</f>
        <v>78.97999999999999</v>
      </c>
      <c r="D84" s="86"/>
      <c r="E84" s="88">
        <f>E85+E86</f>
        <v>5423250</v>
      </c>
      <c r="F84" s="85">
        <f t="shared" ref="F84:H84" si="14">F85+F86</f>
        <v>78.97999999999999</v>
      </c>
      <c r="G84" s="86"/>
      <c r="H84" s="87">
        <f t="shared" si="14"/>
        <v>18099553.333333336</v>
      </c>
      <c r="I84" s="87">
        <f>I85+I86</f>
        <v>23522803.333333336</v>
      </c>
      <c r="J84" s="88"/>
      <c r="K84" s="88"/>
      <c r="L84" s="88"/>
      <c r="M84" s="88"/>
      <c r="N84" s="86"/>
    </row>
    <row r="85" spans="1:14" ht="17.25" customHeight="1">
      <c r="A85" s="90"/>
      <c r="B85" s="173" t="s">
        <v>106</v>
      </c>
      <c r="C85" s="92">
        <v>34.619999999999997</v>
      </c>
      <c r="D85" s="93">
        <v>300000</v>
      </c>
      <c r="E85" s="93">
        <f>C85*D85*0.5/12</f>
        <v>432750</v>
      </c>
      <c r="F85" s="92">
        <v>34.619999999999997</v>
      </c>
      <c r="G85" s="93">
        <v>500000</v>
      </c>
      <c r="H85" s="94">
        <f>F85*G85*5.5/12</f>
        <v>7933750</v>
      </c>
      <c r="I85" s="93">
        <f>E85+H85</f>
        <v>8366500</v>
      </c>
      <c r="J85" s="94"/>
      <c r="K85" s="197"/>
      <c r="L85" s="197"/>
      <c r="M85" s="197"/>
      <c r="N85" s="792" t="s">
        <v>102</v>
      </c>
    </row>
    <row r="86" spans="1:14" ht="17.25" customHeight="1">
      <c r="A86" s="90"/>
      <c r="B86" s="173" t="s">
        <v>107</v>
      </c>
      <c r="C86" s="92">
        <v>44.36</v>
      </c>
      <c r="D86" s="93">
        <v>300000</v>
      </c>
      <c r="E86" s="93">
        <f>C86*D86*4.5/12</f>
        <v>4990500</v>
      </c>
      <c r="F86" s="92">
        <v>44.36</v>
      </c>
      <c r="G86" s="93">
        <v>500000</v>
      </c>
      <c r="H86" s="94">
        <f>(F86*G86*5.5/12)-30</f>
        <v>10165803.333333334</v>
      </c>
      <c r="I86" s="93">
        <f>H86+E86</f>
        <v>15156303.333333334</v>
      </c>
      <c r="J86" s="94"/>
      <c r="K86" s="197"/>
      <c r="L86" s="197"/>
      <c r="M86" s="197"/>
      <c r="N86" s="792"/>
    </row>
    <row r="87" spans="1:14" s="196" customFormat="1" ht="17.25" customHeight="1">
      <c r="A87" s="83" t="s">
        <v>18</v>
      </c>
      <c r="B87" s="84" t="s">
        <v>81</v>
      </c>
      <c r="C87" s="85">
        <f>C88+C89</f>
        <v>78.97999999999999</v>
      </c>
      <c r="D87" s="198"/>
      <c r="E87" s="88">
        <f>E88+E89</f>
        <v>379627.50000000006</v>
      </c>
      <c r="F87" s="85">
        <f t="shared" ref="F87:H87" si="15">F88+F89</f>
        <v>78.97999999999999</v>
      </c>
      <c r="G87" s="198"/>
      <c r="H87" s="88">
        <f t="shared" si="15"/>
        <v>1266968.7333333334</v>
      </c>
      <c r="I87" s="88">
        <f>I88+I89</f>
        <v>1646596.2333333334</v>
      </c>
      <c r="J87" s="88"/>
      <c r="K87" s="88"/>
      <c r="L87" s="88"/>
      <c r="M87" s="88"/>
      <c r="N87" s="86"/>
    </row>
    <row r="88" spans="1:14" ht="17.25" customHeight="1">
      <c r="A88" s="90"/>
      <c r="B88" s="173" t="s">
        <v>106</v>
      </c>
      <c r="C88" s="92">
        <v>34.619999999999997</v>
      </c>
      <c r="D88" s="176">
        <v>7.0000000000000007E-2</v>
      </c>
      <c r="E88" s="93">
        <f>E85*D88</f>
        <v>30292.500000000004</v>
      </c>
      <c r="F88" s="92">
        <v>34.619999999999997</v>
      </c>
      <c r="G88" s="176">
        <v>7.0000000000000007E-2</v>
      </c>
      <c r="H88" s="93">
        <f>H85*G88</f>
        <v>555362.5</v>
      </c>
      <c r="I88" s="93">
        <f>H88+E88</f>
        <v>585655</v>
      </c>
      <c r="J88" s="94"/>
      <c r="K88" s="197"/>
      <c r="L88" s="197"/>
      <c r="M88" s="197"/>
      <c r="N88" s="787" t="s">
        <v>105</v>
      </c>
    </row>
    <row r="89" spans="1:14" ht="17.25" customHeight="1">
      <c r="A89" s="90"/>
      <c r="B89" s="173" t="s">
        <v>107</v>
      </c>
      <c r="C89" s="92">
        <v>44.36</v>
      </c>
      <c r="D89" s="176">
        <v>7.0000000000000007E-2</v>
      </c>
      <c r="E89" s="93">
        <f>E86*D89</f>
        <v>349335.00000000006</v>
      </c>
      <c r="F89" s="92">
        <v>44.36</v>
      </c>
      <c r="G89" s="176">
        <v>7.0000000000000007E-2</v>
      </c>
      <c r="H89" s="93">
        <f>H86*G89</f>
        <v>711606.2333333334</v>
      </c>
      <c r="I89" s="93">
        <f>H89+E89</f>
        <v>1060941.2333333334</v>
      </c>
      <c r="J89" s="94"/>
      <c r="K89" s="197"/>
      <c r="L89" s="197"/>
      <c r="M89" s="197"/>
      <c r="N89" s="788"/>
    </row>
    <row r="90" spans="1:14" s="196" customFormat="1" ht="17.25" customHeight="1">
      <c r="A90" s="83" t="s">
        <v>18</v>
      </c>
      <c r="B90" s="84" t="s">
        <v>82</v>
      </c>
      <c r="C90" s="85">
        <f>C91+C92</f>
        <v>78.97999999999999</v>
      </c>
      <c r="D90" s="96">
        <v>50000</v>
      </c>
      <c r="E90" s="87">
        <f>E91+E92</f>
        <v>3949000</v>
      </c>
      <c r="F90" s="103">
        <f t="shared" ref="F90:I90" si="16">F91+F92</f>
        <v>0</v>
      </c>
      <c r="G90" s="178">
        <f t="shared" si="16"/>
        <v>0</v>
      </c>
      <c r="H90" s="87">
        <f t="shared" si="16"/>
        <v>0</v>
      </c>
      <c r="I90" s="87">
        <f t="shared" si="16"/>
        <v>3949000</v>
      </c>
      <c r="J90" s="87"/>
      <c r="K90" s="88"/>
      <c r="L90" s="88"/>
      <c r="M90" s="88"/>
      <c r="N90" s="86"/>
    </row>
    <row r="91" spans="1:14" ht="17.25" customHeight="1">
      <c r="A91" s="90"/>
      <c r="B91" s="173" t="s">
        <v>106</v>
      </c>
      <c r="C91" s="92">
        <v>34.619999999999997</v>
      </c>
      <c r="D91" s="98">
        <v>50000</v>
      </c>
      <c r="E91" s="94">
        <f>C91*D91</f>
        <v>1730999.9999999998</v>
      </c>
      <c r="F91" s="92"/>
      <c r="G91" s="175"/>
      <c r="H91" s="94"/>
      <c r="I91" s="93">
        <f>D91*C91</f>
        <v>1730999.9999999998</v>
      </c>
      <c r="J91" s="94"/>
      <c r="K91" s="197"/>
      <c r="L91" s="197"/>
      <c r="M91" s="197"/>
      <c r="N91" s="175"/>
    </row>
    <row r="92" spans="1:14" ht="17.25" customHeight="1">
      <c r="A92" s="90"/>
      <c r="B92" s="173" t="s">
        <v>107</v>
      </c>
      <c r="C92" s="92">
        <v>44.36</v>
      </c>
      <c r="D92" s="98">
        <v>50000</v>
      </c>
      <c r="E92" s="94">
        <f>C92*D92</f>
        <v>2218000</v>
      </c>
      <c r="F92" s="92"/>
      <c r="G92" s="175"/>
      <c r="H92" s="94"/>
      <c r="I92" s="93">
        <f>D92*C92</f>
        <v>2218000</v>
      </c>
      <c r="J92" s="94"/>
      <c r="K92" s="197"/>
      <c r="L92" s="197"/>
      <c r="M92" s="197"/>
      <c r="N92" s="175"/>
    </row>
    <row r="93" spans="1:14" ht="17.25" customHeight="1">
      <c r="A93" s="81">
        <v>2</v>
      </c>
      <c r="B93" s="82" t="s">
        <v>96</v>
      </c>
      <c r="C93" s="76">
        <f>C94+C95</f>
        <v>64.13</v>
      </c>
      <c r="D93" s="79">
        <v>5000000</v>
      </c>
      <c r="E93" s="78">
        <f>E94+E95</f>
        <v>309724000</v>
      </c>
      <c r="F93" s="76">
        <f>C93</f>
        <v>64.13</v>
      </c>
      <c r="G93" s="77"/>
      <c r="H93" s="79"/>
      <c r="I93" s="79">
        <f>I94+I95</f>
        <v>309724000</v>
      </c>
      <c r="J93" s="79"/>
      <c r="K93" s="79"/>
      <c r="L93" s="79"/>
      <c r="M93" s="79"/>
      <c r="N93" s="99"/>
    </row>
    <row r="94" spans="1:14" ht="17.25" customHeight="1">
      <c r="A94" s="90" t="s">
        <v>9</v>
      </c>
      <c r="B94" s="173" t="s">
        <v>106</v>
      </c>
      <c r="C94" s="92">
        <v>16.13</v>
      </c>
      <c r="D94" s="93">
        <v>5000000</v>
      </c>
      <c r="E94" s="94">
        <v>69724000</v>
      </c>
      <c r="F94" s="92"/>
      <c r="G94" s="175"/>
      <c r="H94" s="93"/>
      <c r="I94" s="93">
        <f>H94+E94</f>
        <v>69724000</v>
      </c>
      <c r="J94" s="94"/>
      <c r="K94" s="197"/>
      <c r="L94" s="197"/>
      <c r="M94" s="197"/>
      <c r="N94" s="199"/>
    </row>
    <row r="95" spans="1:14" ht="17.25" customHeight="1">
      <c r="A95" s="90" t="s">
        <v>10</v>
      </c>
      <c r="B95" s="173" t="s">
        <v>107</v>
      </c>
      <c r="C95" s="92">
        <v>48</v>
      </c>
      <c r="D95" s="93">
        <v>5000000</v>
      </c>
      <c r="E95" s="94">
        <v>240000000</v>
      </c>
      <c r="F95" s="92"/>
      <c r="G95" s="175"/>
      <c r="H95" s="93"/>
      <c r="I95" s="93">
        <f>H95+E95</f>
        <v>240000000</v>
      </c>
      <c r="J95" s="94"/>
      <c r="K95" s="197"/>
      <c r="L95" s="197"/>
      <c r="M95" s="197"/>
      <c r="N95" s="99"/>
    </row>
    <row r="96" spans="1:14" ht="36.75" customHeight="1">
      <c r="A96" s="81" t="s">
        <v>5</v>
      </c>
      <c r="B96" s="82" t="s">
        <v>89</v>
      </c>
      <c r="C96" s="76">
        <f>C97+C110</f>
        <v>107.18</v>
      </c>
      <c r="D96" s="77"/>
      <c r="E96" s="78">
        <f>E97+E110</f>
        <v>18635922.5</v>
      </c>
      <c r="F96" s="76">
        <f>F97+F110</f>
        <v>107.18</v>
      </c>
      <c r="G96" s="77"/>
      <c r="H96" s="78">
        <f>H97+H110</f>
        <v>26281393.856666669</v>
      </c>
      <c r="I96" s="78">
        <f>I97+I110</f>
        <v>44917316.356666669</v>
      </c>
      <c r="J96" s="79"/>
      <c r="K96" s="78"/>
      <c r="L96" s="78"/>
      <c r="M96" s="78"/>
      <c r="N96" s="77"/>
    </row>
    <row r="97" spans="1:14" ht="17.25" customHeight="1">
      <c r="A97" s="81">
        <v>1</v>
      </c>
      <c r="B97" s="82" t="s">
        <v>75</v>
      </c>
      <c r="C97" s="76">
        <f>C98</f>
        <v>107.18</v>
      </c>
      <c r="D97" s="129"/>
      <c r="E97" s="78">
        <f t="shared" ref="E97:I97" si="17">E98</f>
        <v>18635922.5</v>
      </c>
      <c r="F97" s="102">
        <f t="shared" si="17"/>
        <v>107.18</v>
      </c>
      <c r="G97" s="200"/>
      <c r="H97" s="78">
        <f t="shared" si="17"/>
        <v>26281393.856666669</v>
      </c>
      <c r="I97" s="78">
        <f t="shared" si="17"/>
        <v>44917316.356666669</v>
      </c>
      <c r="J97" s="78"/>
      <c r="K97" s="78"/>
      <c r="L97" s="78"/>
      <c r="M97" s="78"/>
      <c r="N97" s="99"/>
    </row>
    <row r="98" spans="1:14" ht="17.25" customHeight="1">
      <c r="A98" s="83" t="s">
        <v>7</v>
      </c>
      <c r="B98" s="84" t="s">
        <v>76</v>
      </c>
      <c r="C98" s="85">
        <f>C99</f>
        <v>107.18</v>
      </c>
      <c r="D98" s="86"/>
      <c r="E98" s="87">
        <f>E99+E102+E105</f>
        <v>18635922.5</v>
      </c>
      <c r="F98" s="85">
        <f>F99</f>
        <v>107.18</v>
      </c>
      <c r="G98" s="86"/>
      <c r="H98" s="88">
        <f>H99+H102</f>
        <v>26281393.856666669</v>
      </c>
      <c r="I98" s="88">
        <f>E98+H98</f>
        <v>44917316.356666669</v>
      </c>
      <c r="J98" s="88"/>
      <c r="K98" s="88"/>
      <c r="L98" s="88"/>
      <c r="M98" s="88"/>
      <c r="N98" s="86"/>
    </row>
    <row r="99" spans="1:14" s="196" customFormat="1" ht="17.25" customHeight="1">
      <c r="A99" s="83" t="s">
        <v>18</v>
      </c>
      <c r="B99" s="84" t="s">
        <v>79</v>
      </c>
      <c r="C99" s="85">
        <f>C100+C101</f>
        <v>107.18</v>
      </c>
      <c r="D99" s="86"/>
      <c r="E99" s="87">
        <f t="shared" ref="E99:I99" si="18">E100+E101</f>
        <v>17416750</v>
      </c>
      <c r="F99" s="103">
        <f t="shared" si="18"/>
        <v>107.18</v>
      </c>
      <c r="G99" s="86"/>
      <c r="H99" s="87">
        <f t="shared" si="18"/>
        <v>24562050.333333336</v>
      </c>
      <c r="I99" s="87">
        <f t="shared" si="18"/>
        <v>41978800.333333336</v>
      </c>
      <c r="J99" s="87"/>
      <c r="K99" s="88"/>
      <c r="L99" s="88"/>
      <c r="M99" s="88"/>
      <c r="N99" s="86"/>
    </row>
    <row r="100" spans="1:14" ht="17.25" customHeight="1">
      <c r="A100" s="90"/>
      <c r="B100" s="173" t="s">
        <v>106</v>
      </c>
      <c r="C100" s="92">
        <v>57.53</v>
      </c>
      <c r="D100" s="93">
        <v>300000</v>
      </c>
      <c r="E100" s="94">
        <f>C100*D100*6.5/12</f>
        <v>9348625</v>
      </c>
      <c r="F100" s="92">
        <v>57.53</v>
      </c>
      <c r="G100" s="93">
        <v>500000</v>
      </c>
      <c r="H100" s="94">
        <f>G100*F100*5.5/12</f>
        <v>13183958.333333334</v>
      </c>
      <c r="I100" s="93">
        <f>H100+E100</f>
        <v>22532583.333333336</v>
      </c>
      <c r="J100" s="94"/>
      <c r="K100" s="93"/>
      <c r="L100" s="93"/>
      <c r="M100" s="93"/>
      <c r="N100" s="792" t="s">
        <v>102</v>
      </c>
    </row>
    <row r="101" spans="1:14" ht="17.25" customHeight="1">
      <c r="A101" s="90"/>
      <c r="B101" s="173" t="s">
        <v>107</v>
      </c>
      <c r="C101" s="92">
        <v>49.65</v>
      </c>
      <c r="D101" s="93">
        <v>300000</v>
      </c>
      <c r="E101" s="94">
        <f>C101*D101*6.5/12</f>
        <v>8068125</v>
      </c>
      <c r="F101" s="92">
        <v>49.65</v>
      </c>
      <c r="G101" s="93">
        <v>500000</v>
      </c>
      <c r="H101" s="94">
        <f>(G101*F101*5.5/12)-33</f>
        <v>11378092</v>
      </c>
      <c r="I101" s="93">
        <f>H101+E101</f>
        <v>19446217</v>
      </c>
      <c r="J101" s="94"/>
      <c r="K101" s="93"/>
      <c r="L101" s="93"/>
      <c r="M101" s="93"/>
      <c r="N101" s="792"/>
    </row>
    <row r="102" spans="1:14" s="196" customFormat="1" ht="17.25" customHeight="1">
      <c r="A102" s="83" t="s">
        <v>18</v>
      </c>
      <c r="B102" s="84" t="s">
        <v>81</v>
      </c>
      <c r="C102" s="85">
        <f>C103+C104</f>
        <v>107.18</v>
      </c>
      <c r="D102" s="191"/>
      <c r="E102" s="87">
        <f>E103+E104</f>
        <v>1219172.5</v>
      </c>
      <c r="F102" s="103">
        <f t="shared" ref="F102:I102" si="19">F103+F104</f>
        <v>107.18</v>
      </c>
      <c r="G102" s="191"/>
      <c r="H102" s="87">
        <f t="shared" si="19"/>
        <v>1719343.5233333334</v>
      </c>
      <c r="I102" s="87">
        <f t="shared" si="19"/>
        <v>2938516.0233333334</v>
      </c>
      <c r="J102" s="87"/>
      <c r="K102" s="88"/>
      <c r="L102" s="88"/>
      <c r="M102" s="88"/>
      <c r="N102" s="86"/>
    </row>
    <row r="103" spans="1:14" ht="17.25" customHeight="1">
      <c r="A103" s="90"/>
      <c r="B103" s="173" t="s">
        <v>106</v>
      </c>
      <c r="C103" s="92">
        <v>57.53</v>
      </c>
      <c r="D103" s="176">
        <v>7.0000000000000007E-2</v>
      </c>
      <c r="E103" s="94">
        <f>E100*D103</f>
        <v>654403.75000000012</v>
      </c>
      <c r="F103" s="92">
        <v>57.53</v>
      </c>
      <c r="G103" s="176">
        <v>7.0000000000000007E-2</v>
      </c>
      <c r="H103" s="94">
        <f>H100*G103</f>
        <v>922877.08333333349</v>
      </c>
      <c r="I103" s="93">
        <f>H103+E103</f>
        <v>1577280.8333333335</v>
      </c>
      <c r="J103" s="94"/>
      <c r="K103" s="93"/>
      <c r="L103" s="93"/>
      <c r="M103" s="93"/>
      <c r="N103" s="787" t="s">
        <v>105</v>
      </c>
    </row>
    <row r="104" spans="1:14" ht="17.25" customHeight="1">
      <c r="A104" s="90"/>
      <c r="B104" s="173" t="s">
        <v>107</v>
      </c>
      <c r="C104" s="92">
        <v>49.65</v>
      </c>
      <c r="D104" s="176">
        <v>7.0000000000000007E-2</v>
      </c>
      <c r="E104" s="94">
        <f>E101*D104</f>
        <v>564768.75</v>
      </c>
      <c r="F104" s="92">
        <v>49.65</v>
      </c>
      <c r="G104" s="176">
        <v>7.0000000000000007E-2</v>
      </c>
      <c r="H104" s="94">
        <f>H101*G104</f>
        <v>796466.44000000006</v>
      </c>
      <c r="I104" s="93">
        <f>H104+E104</f>
        <v>1361235.19</v>
      </c>
      <c r="J104" s="94"/>
      <c r="K104" s="93"/>
      <c r="L104" s="93"/>
      <c r="M104" s="93"/>
      <c r="N104" s="788"/>
    </row>
    <row r="105" spans="1:14" s="196" customFormat="1" ht="17.25" customHeight="1">
      <c r="A105" s="83" t="s">
        <v>18</v>
      </c>
      <c r="B105" s="84" t="s">
        <v>82</v>
      </c>
      <c r="C105" s="85"/>
      <c r="D105" s="86"/>
      <c r="E105" s="87"/>
      <c r="F105" s="85"/>
      <c r="G105" s="86"/>
      <c r="H105" s="88"/>
      <c r="I105" s="88"/>
      <c r="J105" s="88"/>
      <c r="K105" s="88"/>
      <c r="L105" s="88"/>
      <c r="M105" s="88"/>
      <c r="N105" s="86"/>
    </row>
    <row r="106" spans="1:14" ht="17.25" customHeight="1">
      <c r="A106" s="83" t="s">
        <v>8</v>
      </c>
      <c r="B106" s="84" t="s">
        <v>83</v>
      </c>
      <c r="C106" s="85"/>
      <c r="D106" s="86"/>
      <c r="E106" s="88"/>
      <c r="F106" s="85"/>
      <c r="G106" s="86"/>
      <c r="H106" s="88"/>
      <c r="I106" s="88"/>
      <c r="J106" s="88"/>
      <c r="K106" s="88"/>
      <c r="L106" s="88"/>
      <c r="M106" s="88"/>
      <c r="N106" s="86"/>
    </row>
    <row r="107" spans="1:14" ht="15.75" hidden="1" customHeight="1">
      <c r="A107" s="90"/>
      <c r="B107" s="173" t="s">
        <v>79</v>
      </c>
      <c r="C107" s="92"/>
      <c r="D107" s="175"/>
      <c r="E107" s="93"/>
      <c r="F107" s="92"/>
      <c r="G107" s="175"/>
      <c r="H107" s="93"/>
      <c r="I107" s="93"/>
      <c r="J107" s="93"/>
      <c r="K107" s="93"/>
      <c r="L107" s="93"/>
      <c r="M107" s="93"/>
      <c r="N107" s="175"/>
    </row>
    <row r="108" spans="1:14" ht="15.75" hidden="1" customHeight="1">
      <c r="A108" s="90"/>
      <c r="B108" s="173" t="s">
        <v>81</v>
      </c>
      <c r="C108" s="92"/>
      <c r="D108" s="175"/>
      <c r="E108" s="93"/>
      <c r="F108" s="92"/>
      <c r="G108" s="175"/>
      <c r="H108" s="93"/>
      <c r="I108" s="93"/>
      <c r="J108" s="93"/>
      <c r="K108" s="93"/>
      <c r="L108" s="93"/>
      <c r="M108" s="93"/>
      <c r="N108" s="175"/>
    </row>
    <row r="109" spans="1:14" ht="15.75" hidden="1" customHeight="1">
      <c r="A109" s="90"/>
      <c r="B109" s="173" t="s">
        <v>82</v>
      </c>
      <c r="C109" s="92"/>
      <c r="D109" s="175"/>
      <c r="E109" s="93"/>
      <c r="F109" s="92"/>
      <c r="G109" s="175"/>
      <c r="H109" s="93"/>
      <c r="I109" s="93"/>
      <c r="J109" s="93"/>
      <c r="K109" s="93"/>
      <c r="L109" s="93"/>
      <c r="M109" s="93"/>
      <c r="N109" s="175"/>
    </row>
    <row r="110" spans="1:14" ht="36.75" customHeight="1">
      <c r="A110" s="81">
        <v>2</v>
      </c>
      <c r="B110" s="82" t="s">
        <v>90</v>
      </c>
      <c r="C110" s="76"/>
      <c r="D110" s="77"/>
      <c r="E110" s="79"/>
      <c r="F110" s="76"/>
      <c r="G110" s="77"/>
      <c r="H110" s="79"/>
      <c r="I110" s="79"/>
      <c r="J110" s="79"/>
      <c r="K110" s="79"/>
      <c r="L110" s="79"/>
      <c r="M110" s="79"/>
      <c r="N110" s="77"/>
    </row>
    <row r="111" spans="1:14" ht="17.25" customHeight="1">
      <c r="A111" s="90"/>
      <c r="B111" s="173" t="s">
        <v>79</v>
      </c>
      <c r="C111" s="92"/>
      <c r="D111" s="175"/>
      <c r="E111" s="93"/>
      <c r="F111" s="92"/>
      <c r="G111" s="175"/>
      <c r="H111" s="93"/>
      <c r="I111" s="93"/>
      <c r="J111" s="93"/>
      <c r="K111" s="93"/>
      <c r="L111" s="93"/>
      <c r="M111" s="93"/>
      <c r="N111" s="175"/>
    </row>
    <row r="112" spans="1:14" ht="17.25" customHeight="1">
      <c r="A112" s="90"/>
      <c r="B112" s="173" t="s">
        <v>81</v>
      </c>
      <c r="C112" s="92"/>
      <c r="D112" s="175"/>
      <c r="E112" s="93"/>
      <c r="F112" s="92"/>
      <c r="G112" s="175"/>
      <c r="H112" s="93"/>
      <c r="I112" s="93"/>
      <c r="J112" s="93"/>
      <c r="K112" s="93"/>
      <c r="L112" s="93"/>
      <c r="M112" s="93"/>
      <c r="N112" s="99"/>
    </row>
    <row r="113" spans="1:15" s="188" customFormat="1" ht="33" customHeight="1">
      <c r="A113" s="201" t="s">
        <v>12</v>
      </c>
      <c r="B113" s="202" t="s">
        <v>161</v>
      </c>
      <c r="C113" s="203"/>
      <c r="D113" s="204"/>
      <c r="E113" s="205"/>
      <c r="F113" s="203"/>
      <c r="G113" s="204"/>
      <c r="H113" s="205"/>
      <c r="I113" s="205">
        <v>988400000</v>
      </c>
      <c r="J113" s="205">
        <v>988400000</v>
      </c>
      <c r="K113" s="205"/>
      <c r="L113" s="205"/>
      <c r="M113" s="205"/>
      <c r="N113" s="206"/>
    </row>
    <row r="114" spans="1:15" s="188" customFormat="1" ht="17.25" customHeight="1">
      <c r="A114" s="184" t="s">
        <v>11</v>
      </c>
      <c r="B114" s="185" t="s">
        <v>25</v>
      </c>
      <c r="C114" s="141">
        <f>C115+C126</f>
        <v>496.28</v>
      </c>
      <c r="D114" s="142"/>
      <c r="E114" s="186">
        <f>E115+E126</f>
        <v>86290685</v>
      </c>
      <c r="F114" s="141">
        <f>F115+F126</f>
        <v>496.28</v>
      </c>
      <c r="G114" s="142"/>
      <c r="H114" s="186">
        <f>H115+H126</f>
        <v>38908922.708333336</v>
      </c>
      <c r="I114" s="186">
        <f>I115+I126</f>
        <v>125199999.70833333</v>
      </c>
      <c r="J114" s="186">
        <v>160000000</v>
      </c>
      <c r="K114" s="186">
        <f>J114-I114</f>
        <v>34800000.291666672</v>
      </c>
      <c r="L114" s="186">
        <v>34800000</v>
      </c>
      <c r="M114" s="186">
        <v>0</v>
      </c>
      <c r="N114" s="187"/>
      <c r="O114" s="188" t="s">
        <v>92</v>
      </c>
    </row>
    <row r="115" spans="1:15" ht="17.25" customHeight="1">
      <c r="A115" s="81" t="s">
        <v>1</v>
      </c>
      <c r="B115" s="82" t="s">
        <v>74</v>
      </c>
      <c r="C115" s="76"/>
      <c r="D115" s="79"/>
      <c r="E115" s="79"/>
      <c r="F115" s="76"/>
      <c r="G115" s="79"/>
      <c r="H115" s="79"/>
      <c r="I115" s="79"/>
      <c r="J115" s="79"/>
      <c r="K115" s="79"/>
      <c r="L115" s="79"/>
      <c r="M115" s="79"/>
      <c r="N115" s="207"/>
    </row>
    <row r="116" spans="1:15" ht="17.25" customHeight="1">
      <c r="A116" s="81">
        <v>1</v>
      </c>
      <c r="B116" s="82" t="s">
        <v>75</v>
      </c>
      <c r="C116" s="76"/>
      <c r="D116" s="79"/>
      <c r="E116" s="79"/>
      <c r="F116" s="76"/>
      <c r="G116" s="79"/>
      <c r="H116" s="79"/>
      <c r="I116" s="79"/>
      <c r="J116" s="79"/>
      <c r="K116" s="79"/>
      <c r="L116" s="79"/>
      <c r="M116" s="79"/>
      <c r="N116" s="207"/>
    </row>
    <row r="117" spans="1:15" ht="17.25" customHeight="1">
      <c r="A117" s="83" t="s">
        <v>7</v>
      </c>
      <c r="B117" s="84" t="s">
        <v>76</v>
      </c>
      <c r="C117" s="85"/>
      <c r="D117" s="88"/>
      <c r="E117" s="88"/>
      <c r="F117" s="85"/>
      <c r="G117" s="88"/>
      <c r="H117" s="88"/>
      <c r="I117" s="88"/>
      <c r="J117" s="88"/>
      <c r="K117" s="88"/>
      <c r="L117" s="88"/>
      <c r="M117" s="88"/>
      <c r="N117" s="89"/>
    </row>
    <row r="118" spans="1:15" ht="15.75" hidden="1" customHeight="1">
      <c r="A118" s="90"/>
      <c r="B118" s="173" t="s">
        <v>79</v>
      </c>
      <c r="C118" s="92"/>
      <c r="D118" s="93"/>
      <c r="E118" s="93"/>
      <c r="F118" s="92"/>
      <c r="G118" s="93"/>
      <c r="H118" s="93"/>
      <c r="I118" s="93"/>
      <c r="J118" s="93"/>
      <c r="K118" s="93"/>
      <c r="L118" s="93"/>
      <c r="M118" s="93"/>
      <c r="N118" s="208"/>
    </row>
    <row r="119" spans="1:15" ht="15.75" hidden="1" customHeight="1">
      <c r="A119" s="90"/>
      <c r="B119" s="173" t="s">
        <v>81</v>
      </c>
      <c r="C119" s="92"/>
      <c r="D119" s="93"/>
      <c r="E119" s="93"/>
      <c r="F119" s="92"/>
      <c r="G119" s="93"/>
      <c r="H119" s="93"/>
      <c r="I119" s="93"/>
      <c r="J119" s="93"/>
      <c r="K119" s="93"/>
      <c r="L119" s="93"/>
      <c r="M119" s="93"/>
      <c r="N119" s="208"/>
    </row>
    <row r="120" spans="1:15" ht="15.75" hidden="1" customHeight="1">
      <c r="A120" s="90"/>
      <c r="B120" s="173" t="s">
        <v>82</v>
      </c>
      <c r="C120" s="92"/>
      <c r="D120" s="93"/>
      <c r="E120" s="93"/>
      <c r="F120" s="92"/>
      <c r="G120" s="93"/>
      <c r="H120" s="93"/>
      <c r="I120" s="93"/>
      <c r="J120" s="93"/>
      <c r="K120" s="93"/>
      <c r="L120" s="93"/>
      <c r="M120" s="93"/>
      <c r="N120" s="208"/>
    </row>
    <row r="121" spans="1:15" ht="17.25" customHeight="1">
      <c r="A121" s="83" t="s">
        <v>8</v>
      </c>
      <c r="B121" s="84" t="s">
        <v>83</v>
      </c>
      <c r="C121" s="85"/>
      <c r="D121" s="88"/>
      <c r="E121" s="88"/>
      <c r="F121" s="85"/>
      <c r="G121" s="88"/>
      <c r="H121" s="88"/>
      <c r="I121" s="88"/>
      <c r="J121" s="88"/>
      <c r="K121" s="88"/>
      <c r="L121" s="88"/>
      <c r="M121" s="88"/>
      <c r="N121" s="89"/>
    </row>
    <row r="122" spans="1:15" ht="15.75" hidden="1" customHeight="1">
      <c r="A122" s="90"/>
      <c r="B122" s="173" t="s">
        <v>79</v>
      </c>
      <c r="C122" s="92"/>
      <c r="D122" s="93"/>
      <c r="E122" s="93"/>
      <c r="F122" s="92"/>
      <c r="G122" s="93"/>
      <c r="H122" s="93"/>
      <c r="I122" s="93"/>
      <c r="J122" s="93"/>
      <c r="K122" s="93"/>
      <c r="L122" s="93"/>
      <c r="M122" s="93"/>
      <c r="N122" s="208"/>
    </row>
    <row r="123" spans="1:15" ht="15.75" hidden="1" customHeight="1">
      <c r="A123" s="90"/>
      <c r="B123" s="173" t="s">
        <v>81</v>
      </c>
      <c r="C123" s="92"/>
      <c r="D123" s="93"/>
      <c r="E123" s="93"/>
      <c r="F123" s="92"/>
      <c r="G123" s="93"/>
      <c r="H123" s="93"/>
      <c r="I123" s="93"/>
      <c r="J123" s="93"/>
      <c r="K123" s="93"/>
      <c r="L123" s="93"/>
      <c r="M123" s="93"/>
      <c r="N123" s="208"/>
    </row>
    <row r="124" spans="1:15" ht="15.75" hidden="1" customHeight="1">
      <c r="A124" s="90"/>
      <c r="B124" s="173" t="s">
        <v>82</v>
      </c>
      <c r="C124" s="92"/>
      <c r="D124" s="93"/>
      <c r="E124" s="93"/>
      <c r="F124" s="92"/>
      <c r="G124" s="93"/>
      <c r="H124" s="93"/>
      <c r="I124" s="93"/>
      <c r="J124" s="93"/>
      <c r="K124" s="93"/>
      <c r="L124" s="93"/>
      <c r="M124" s="93"/>
      <c r="N124" s="208"/>
    </row>
    <row r="125" spans="1:15" ht="17.25" customHeight="1">
      <c r="A125" s="81">
        <v>2</v>
      </c>
      <c r="B125" s="82" t="s">
        <v>96</v>
      </c>
      <c r="C125" s="76"/>
      <c r="D125" s="93"/>
      <c r="E125" s="93"/>
      <c r="F125" s="76"/>
      <c r="G125" s="79"/>
      <c r="H125" s="79"/>
      <c r="I125" s="79"/>
      <c r="J125" s="79"/>
      <c r="K125" s="88"/>
      <c r="L125" s="88"/>
      <c r="M125" s="88"/>
      <c r="N125" s="89"/>
    </row>
    <row r="126" spans="1:15" ht="36.75" customHeight="1">
      <c r="A126" s="81" t="s">
        <v>5</v>
      </c>
      <c r="B126" s="82" t="s">
        <v>89</v>
      </c>
      <c r="C126" s="76">
        <f>C127+C140</f>
        <v>496.28</v>
      </c>
      <c r="D126" s="209"/>
      <c r="E126" s="79">
        <f t="shared" ref="E126:H126" si="20">E127+E140</f>
        <v>86290685</v>
      </c>
      <c r="F126" s="76">
        <f>F127+F140</f>
        <v>496.28</v>
      </c>
      <c r="G126" s="209"/>
      <c r="H126" s="79">
        <f t="shared" si="20"/>
        <v>38908922.708333336</v>
      </c>
      <c r="I126" s="79">
        <f>I127+I140+392</f>
        <v>125199999.70833333</v>
      </c>
      <c r="J126" s="79"/>
      <c r="K126" s="79"/>
      <c r="L126" s="79"/>
      <c r="M126" s="79"/>
      <c r="N126" s="207"/>
    </row>
    <row r="127" spans="1:15" ht="17.25" customHeight="1">
      <c r="A127" s="81">
        <v>1</v>
      </c>
      <c r="B127" s="82" t="s">
        <v>75</v>
      </c>
      <c r="C127" s="76">
        <f>C128+C134</f>
        <v>482.28999999999996</v>
      </c>
      <c r="D127" s="76"/>
      <c r="E127" s="79">
        <f>E128+E134</f>
        <v>83858173.75</v>
      </c>
      <c r="F127" s="76">
        <f>F128+F134</f>
        <v>482.28999999999996</v>
      </c>
      <c r="G127" s="76"/>
      <c r="H127" s="79">
        <f>H128+H134</f>
        <v>35478458.125</v>
      </c>
      <c r="I127" s="79">
        <f>I128+I134</f>
        <v>119336631.875</v>
      </c>
      <c r="J127" s="79"/>
      <c r="K127" s="79"/>
      <c r="L127" s="79"/>
      <c r="M127" s="79"/>
      <c r="N127" s="207"/>
    </row>
    <row r="128" spans="1:15" ht="17.25" customHeight="1">
      <c r="A128" s="83" t="s">
        <v>7</v>
      </c>
      <c r="B128" s="84" t="s">
        <v>76</v>
      </c>
      <c r="C128" s="85">
        <f>C130</f>
        <v>334.51</v>
      </c>
      <c r="D128" s="88"/>
      <c r="E128" s="93">
        <f>E129+E131+E133</f>
        <v>58162926.25</v>
      </c>
      <c r="F128" s="85">
        <f>F130</f>
        <v>334.51</v>
      </c>
      <c r="G128" s="88"/>
      <c r="H128" s="93">
        <f>H129+H131+H133</f>
        <v>24607391.875</v>
      </c>
      <c r="I128" s="93">
        <f>I129+I131+I133</f>
        <v>82770318.125</v>
      </c>
      <c r="J128" s="88"/>
      <c r="K128" s="88"/>
      <c r="L128" s="88"/>
      <c r="M128" s="88"/>
      <c r="N128" s="89"/>
    </row>
    <row r="129" spans="1:14" s="171" customFormat="1" ht="17.25" customHeight="1">
      <c r="A129" s="83" t="s">
        <v>18</v>
      </c>
      <c r="B129" s="84" t="s">
        <v>79</v>
      </c>
      <c r="C129" s="85"/>
      <c r="D129" s="88"/>
      <c r="E129" s="88">
        <f>E130</f>
        <v>54357875</v>
      </c>
      <c r="F129" s="85"/>
      <c r="G129" s="88"/>
      <c r="H129" s="88">
        <f>H130</f>
        <v>22997562.5</v>
      </c>
      <c r="I129" s="88">
        <f>E129+H129</f>
        <v>77355437.5</v>
      </c>
      <c r="J129" s="88"/>
      <c r="K129" s="88"/>
      <c r="L129" s="88"/>
      <c r="M129" s="88"/>
      <c r="N129" s="89"/>
    </row>
    <row r="130" spans="1:14" ht="31.5" customHeight="1">
      <c r="A130" s="90"/>
      <c r="B130" s="173" t="s">
        <v>108</v>
      </c>
      <c r="C130" s="92">
        <v>334.51</v>
      </c>
      <c r="D130" s="93">
        <v>300000</v>
      </c>
      <c r="E130" s="93">
        <f>C130*D130/12*6.5</f>
        <v>54357875</v>
      </c>
      <c r="F130" s="92">
        <v>334.51</v>
      </c>
      <c r="G130" s="93">
        <v>150000</v>
      </c>
      <c r="H130" s="93">
        <f>F130*G130/12*5.5</f>
        <v>22997562.5</v>
      </c>
      <c r="I130" s="93"/>
      <c r="J130" s="93"/>
      <c r="K130" s="93"/>
      <c r="L130" s="93"/>
      <c r="M130" s="93"/>
      <c r="N130" s="210" t="s">
        <v>98</v>
      </c>
    </row>
    <row r="131" spans="1:14" s="171" customFormat="1" ht="17.25" customHeight="1">
      <c r="A131" s="83" t="s">
        <v>18</v>
      </c>
      <c r="B131" s="84" t="s">
        <v>81</v>
      </c>
      <c r="C131" s="85"/>
      <c r="D131" s="191">
        <v>7.0000000000000007E-2</v>
      </c>
      <c r="E131" s="88">
        <f>E132</f>
        <v>3805051.2500000005</v>
      </c>
      <c r="F131" s="85"/>
      <c r="G131" s="191"/>
      <c r="H131" s="88">
        <f>H132</f>
        <v>1609829.3750000002</v>
      </c>
      <c r="I131" s="88">
        <f t="shared" ref="I131:I137" si="21">E131+H131</f>
        <v>5414880.6250000009</v>
      </c>
      <c r="J131" s="88"/>
      <c r="K131" s="88"/>
      <c r="L131" s="88"/>
      <c r="M131" s="88"/>
      <c r="N131" s="89"/>
    </row>
    <row r="132" spans="1:14" ht="31.5" customHeight="1">
      <c r="A132" s="90"/>
      <c r="B132" s="173" t="s">
        <v>108</v>
      </c>
      <c r="C132" s="92"/>
      <c r="D132" s="92"/>
      <c r="E132" s="93">
        <f>E130*D131</f>
        <v>3805051.2500000005</v>
      </c>
      <c r="F132" s="92"/>
      <c r="G132" s="176">
        <v>7.0000000000000007E-2</v>
      </c>
      <c r="H132" s="93">
        <f>H130*G132</f>
        <v>1609829.3750000002</v>
      </c>
      <c r="I132" s="93"/>
      <c r="J132" s="93"/>
      <c r="K132" s="93"/>
      <c r="L132" s="93"/>
      <c r="M132" s="93"/>
      <c r="N132" s="210" t="s">
        <v>101</v>
      </c>
    </row>
    <row r="133" spans="1:14" s="171" customFormat="1" ht="17.25" customHeight="1">
      <c r="A133" s="83" t="s">
        <v>18</v>
      </c>
      <c r="B133" s="84" t="s">
        <v>82</v>
      </c>
      <c r="C133" s="85"/>
      <c r="D133" s="211"/>
      <c r="E133" s="211">
        <f t="shared" ref="E133" si="22">C133*D133/12*6.5</f>
        <v>0</v>
      </c>
      <c r="F133" s="211"/>
      <c r="G133" s="211"/>
      <c r="H133" s="211">
        <f t="shared" ref="H133" si="23">F133*G133/12*6.5</f>
        <v>0</v>
      </c>
      <c r="I133" s="211">
        <f t="shared" si="21"/>
        <v>0</v>
      </c>
      <c r="J133" s="88"/>
      <c r="K133" s="88"/>
      <c r="L133" s="88"/>
      <c r="M133" s="88"/>
      <c r="N133" s="89"/>
    </row>
    <row r="134" spans="1:14" ht="17.25" customHeight="1">
      <c r="A134" s="83" t="s">
        <v>8</v>
      </c>
      <c r="B134" s="84" t="s">
        <v>83</v>
      </c>
      <c r="C134" s="85">
        <f>C136</f>
        <v>147.78</v>
      </c>
      <c r="D134" s="88"/>
      <c r="E134" s="93">
        <f>E135+E137+E139</f>
        <v>25695247.5</v>
      </c>
      <c r="F134" s="85">
        <f>F136</f>
        <v>147.78</v>
      </c>
      <c r="G134" s="88"/>
      <c r="H134" s="93">
        <f>H135+H137+H139</f>
        <v>10871066.25</v>
      </c>
      <c r="I134" s="93">
        <f t="shared" si="21"/>
        <v>36566313.75</v>
      </c>
      <c r="J134" s="88"/>
      <c r="K134" s="88"/>
      <c r="L134" s="88"/>
      <c r="M134" s="88"/>
      <c r="N134" s="89"/>
    </row>
    <row r="135" spans="1:14" s="171" customFormat="1" ht="17.25" customHeight="1">
      <c r="A135" s="83" t="s">
        <v>18</v>
      </c>
      <c r="B135" s="84" t="s">
        <v>79</v>
      </c>
      <c r="C135" s="85"/>
      <c r="D135" s="88"/>
      <c r="E135" s="88">
        <f>E136</f>
        <v>24014250</v>
      </c>
      <c r="F135" s="85"/>
      <c r="G135" s="88"/>
      <c r="H135" s="88">
        <f>H136</f>
        <v>10159875</v>
      </c>
      <c r="I135" s="88">
        <f t="shared" si="21"/>
        <v>34174125</v>
      </c>
      <c r="J135" s="88"/>
      <c r="K135" s="88"/>
      <c r="L135" s="88"/>
      <c r="M135" s="88"/>
      <c r="N135" s="783" t="s">
        <v>109</v>
      </c>
    </row>
    <row r="136" spans="1:14" ht="17.25" customHeight="1">
      <c r="A136" s="90"/>
      <c r="B136" s="173" t="s">
        <v>108</v>
      </c>
      <c r="C136" s="92">
        <v>147.78</v>
      </c>
      <c r="D136" s="93">
        <v>300000</v>
      </c>
      <c r="E136" s="93">
        <f>C136*D136/12*6.5</f>
        <v>24014250</v>
      </c>
      <c r="F136" s="92">
        <v>147.78</v>
      </c>
      <c r="G136" s="93">
        <v>150000</v>
      </c>
      <c r="H136" s="93">
        <f>F136*G136/12*5.5</f>
        <v>10159875</v>
      </c>
      <c r="I136" s="93"/>
      <c r="J136" s="93"/>
      <c r="K136" s="93"/>
      <c r="L136" s="93"/>
      <c r="M136" s="93"/>
      <c r="N136" s="785"/>
    </row>
    <row r="137" spans="1:14" s="171" customFormat="1" ht="17.25" customHeight="1">
      <c r="A137" s="83" t="s">
        <v>18</v>
      </c>
      <c r="B137" s="84" t="s">
        <v>81</v>
      </c>
      <c r="C137" s="85"/>
      <c r="D137" s="191">
        <v>7.0000000000000007E-2</v>
      </c>
      <c r="E137" s="88">
        <f>E138</f>
        <v>1680997.5000000002</v>
      </c>
      <c r="F137" s="85"/>
      <c r="G137" s="191"/>
      <c r="H137" s="88">
        <f>H138</f>
        <v>711191.25000000012</v>
      </c>
      <c r="I137" s="88">
        <f t="shared" si="21"/>
        <v>2392188.7500000005</v>
      </c>
      <c r="J137" s="88"/>
      <c r="K137" s="88"/>
      <c r="L137" s="88"/>
      <c r="M137" s="88"/>
      <c r="N137" s="89"/>
    </row>
    <row r="138" spans="1:14" ht="17.25" customHeight="1">
      <c r="A138" s="90"/>
      <c r="B138" s="173" t="s">
        <v>108</v>
      </c>
      <c r="C138" s="92"/>
      <c r="D138" s="176"/>
      <c r="E138" s="93">
        <f>E136*D137</f>
        <v>1680997.5000000002</v>
      </c>
      <c r="F138" s="92"/>
      <c r="G138" s="176">
        <v>7.0000000000000007E-2</v>
      </c>
      <c r="H138" s="93">
        <f>H136*G138</f>
        <v>711191.25000000012</v>
      </c>
      <c r="I138" s="93"/>
      <c r="J138" s="93"/>
      <c r="K138" s="93"/>
      <c r="L138" s="93"/>
      <c r="M138" s="93"/>
      <c r="N138" s="783" t="s">
        <v>105</v>
      </c>
    </row>
    <row r="139" spans="1:14" s="171" customFormat="1" ht="17.25" customHeight="1">
      <c r="A139" s="83" t="s">
        <v>18</v>
      </c>
      <c r="B139" s="84" t="s">
        <v>82</v>
      </c>
      <c r="C139" s="85"/>
      <c r="D139" s="211"/>
      <c r="E139" s="211">
        <v>0</v>
      </c>
      <c r="F139" s="211"/>
      <c r="G139" s="211"/>
      <c r="H139" s="211">
        <v>0</v>
      </c>
      <c r="I139" s="88"/>
      <c r="J139" s="88"/>
      <c r="K139" s="88"/>
      <c r="L139" s="88"/>
      <c r="M139" s="88"/>
      <c r="N139" s="785"/>
    </row>
    <row r="140" spans="1:14" ht="36.75" customHeight="1">
      <c r="A140" s="81">
        <v>2</v>
      </c>
      <c r="B140" s="82" t="s">
        <v>90</v>
      </c>
      <c r="C140" s="76">
        <f>C142</f>
        <v>13.99</v>
      </c>
      <c r="D140" s="76"/>
      <c r="E140" s="79">
        <f>E141+E143</f>
        <v>2432511.25</v>
      </c>
      <c r="F140" s="76">
        <f>F142</f>
        <v>13.99</v>
      </c>
      <c r="G140" s="76"/>
      <c r="H140" s="79">
        <f>H141+H143</f>
        <v>3430464.583333333</v>
      </c>
      <c r="I140" s="79">
        <f>I141+I143</f>
        <v>5862975.833333333</v>
      </c>
      <c r="J140" s="79"/>
      <c r="K140" s="79"/>
      <c r="L140" s="79"/>
      <c r="M140" s="79"/>
      <c r="N140" s="207"/>
    </row>
    <row r="141" spans="1:14" s="171" customFormat="1" ht="17.25" customHeight="1">
      <c r="A141" s="83" t="s">
        <v>18</v>
      </c>
      <c r="B141" s="84" t="s">
        <v>79</v>
      </c>
      <c r="C141" s="85"/>
      <c r="D141" s="88"/>
      <c r="E141" s="88">
        <f>E142</f>
        <v>2273375</v>
      </c>
      <c r="F141" s="85"/>
      <c r="G141" s="88"/>
      <c r="H141" s="88">
        <f>H142</f>
        <v>3206041.6666666665</v>
      </c>
      <c r="I141" s="88">
        <f>E141+H141</f>
        <v>5479416.666666666</v>
      </c>
      <c r="J141" s="88"/>
      <c r="K141" s="88"/>
      <c r="L141" s="88"/>
      <c r="M141" s="88"/>
      <c r="N141" s="792" t="s">
        <v>102</v>
      </c>
    </row>
    <row r="142" spans="1:14" ht="17.25" customHeight="1">
      <c r="A142" s="90"/>
      <c r="B142" s="173" t="s">
        <v>108</v>
      </c>
      <c r="C142" s="92">
        <v>13.99</v>
      </c>
      <c r="D142" s="93">
        <v>300000</v>
      </c>
      <c r="E142" s="93">
        <f>C142*D142/12*6.5</f>
        <v>2273375</v>
      </c>
      <c r="F142" s="92">
        <v>13.99</v>
      </c>
      <c r="G142" s="93">
        <v>500000</v>
      </c>
      <c r="H142" s="93">
        <f>F142*G142/12*5.5</f>
        <v>3206041.6666666665</v>
      </c>
      <c r="I142" s="93"/>
      <c r="J142" s="93"/>
      <c r="K142" s="93"/>
      <c r="L142" s="93"/>
      <c r="M142" s="93"/>
      <c r="N142" s="792"/>
    </row>
    <row r="143" spans="1:14" s="171" customFormat="1" ht="17.25" customHeight="1">
      <c r="A143" s="83" t="s">
        <v>18</v>
      </c>
      <c r="B143" s="84" t="s">
        <v>81</v>
      </c>
      <c r="C143" s="85"/>
      <c r="D143" s="85"/>
      <c r="E143" s="88">
        <f>E144</f>
        <v>159136.25000000003</v>
      </c>
      <c r="F143" s="85"/>
      <c r="G143" s="191"/>
      <c r="H143" s="88">
        <f>H144</f>
        <v>224422.91666666669</v>
      </c>
      <c r="I143" s="88">
        <f>E143+H143</f>
        <v>383559.16666666674</v>
      </c>
      <c r="J143" s="88"/>
      <c r="K143" s="88"/>
      <c r="L143" s="88"/>
      <c r="M143" s="88"/>
      <c r="N143" s="787" t="s">
        <v>105</v>
      </c>
    </row>
    <row r="144" spans="1:14" ht="17.25" customHeight="1">
      <c r="A144" s="136"/>
      <c r="B144" s="212" t="s">
        <v>108</v>
      </c>
      <c r="C144" s="193"/>
      <c r="D144" s="194">
        <v>7.0000000000000007E-2</v>
      </c>
      <c r="E144" s="140">
        <f>E142*D144</f>
        <v>159136.25000000003</v>
      </c>
      <c r="F144" s="193"/>
      <c r="G144" s="194">
        <v>7.0000000000000007E-2</v>
      </c>
      <c r="H144" s="140">
        <f>H142*G144</f>
        <v>224422.91666666669</v>
      </c>
      <c r="I144" s="140"/>
      <c r="J144" s="140"/>
      <c r="K144" s="140"/>
      <c r="L144" s="140"/>
      <c r="M144" s="140"/>
      <c r="N144" s="794"/>
    </row>
    <row r="145" spans="1:16" s="188" customFormat="1" ht="17.25" customHeight="1">
      <c r="A145" s="184" t="s">
        <v>48</v>
      </c>
      <c r="B145" s="185" t="s">
        <v>110</v>
      </c>
      <c r="C145" s="141">
        <f>C146+C174</f>
        <v>3647.0400000000004</v>
      </c>
      <c r="D145" s="142"/>
      <c r="E145" s="186">
        <f>E146+E174</f>
        <v>651361890</v>
      </c>
      <c r="F145" s="141">
        <f>F146+F174</f>
        <v>3647.0400000000004</v>
      </c>
      <c r="G145" s="142"/>
      <c r="H145" s="186">
        <f>H146+H174</f>
        <v>497640013.75</v>
      </c>
      <c r="I145" s="186">
        <f>I146+I174</f>
        <v>1137923000.4166665</v>
      </c>
      <c r="J145" s="186">
        <f>J146+J174</f>
        <v>1419000000</v>
      </c>
      <c r="K145" s="186">
        <f>K146+K174</f>
        <v>281076999.58333343</v>
      </c>
      <c r="L145" s="186">
        <v>281077000</v>
      </c>
      <c r="M145" s="146">
        <v>0</v>
      </c>
      <c r="N145" s="187"/>
      <c r="O145" s="188" t="s">
        <v>92</v>
      </c>
      <c r="P145" s="213">
        <f>C145-F145</f>
        <v>0</v>
      </c>
    </row>
    <row r="146" spans="1:16" ht="17.25" customHeight="1">
      <c r="A146" s="81" t="s">
        <v>1</v>
      </c>
      <c r="B146" s="82" t="s">
        <v>74</v>
      </c>
      <c r="C146" s="76">
        <f>C147+C164+C172</f>
        <v>170.38</v>
      </c>
      <c r="D146" s="77"/>
      <c r="E146" s="78">
        <f>E147+E172+E164</f>
        <v>56750050</v>
      </c>
      <c r="F146" s="76">
        <f>F147+F164+F172</f>
        <v>170.38</v>
      </c>
      <c r="G146" s="77"/>
      <c r="H146" s="78">
        <f>H147+H172+H164</f>
        <v>17306804.166666664</v>
      </c>
      <c r="I146" s="78">
        <f>I147+I172+I164-305</f>
        <v>62977950.833333328</v>
      </c>
      <c r="J146" s="79">
        <f>J147+J172</f>
        <v>57080000</v>
      </c>
      <c r="K146" s="79">
        <f>J146-I146</f>
        <v>-5897950.8333333284</v>
      </c>
      <c r="L146" s="79"/>
      <c r="M146" s="79"/>
      <c r="N146" s="80"/>
    </row>
    <row r="147" spans="1:16" ht="17.25" customHeight="1">
      <c r="A147" s="81">
        <v>1</v>
      </c>
      <c r="B147" s="82" t="s">
        <v>75</v>
      </c>
      <c r="C147" s="76">
        <f>C148+C154</f>
        <v>125</v>
      </c>
      <c r="D147" s="79"/>
      <c r="E147" s="78">
        <f>E148+E154</f>
        <v>22884045</v>
      </c>
      <c r="F147" s="76">
        <f>F148+F154</f>
        <v>125</v>
      </c>
      <c r="G147" s="79"/>
      <c r="H147" s="78">
        <f>H148+H154</f>
        <v>9195312.5</v>
      </c>
      <c r="I147" s="78">
        <f>I148+I165</f>
        <v>21000759.166666664</v>
      </c>
      <c r="J147" s="79">
        <v>19580000</v>
      </c>
      <c r="K147" s="79">
        <f t="shared" ref="K147" si="24">J147-I147</f>
        <v>-1420759.1666666642</v>
      </c>
      <c r="L147" s="79"/>
      <c r="M147" s="79"/>
      <c r="N147" s="80"/>
    </row>
    <row r="148" spans="1:16" ht="17.25" customHeight="1">
      <c r="A148" s="83" t="s">
        <v>7</v>
      </c>
      <c r="B148" s="84" t="s">
        <v>76</v>
      </c>
      <c r="C148" s="85">
        <f>C150</f>
        <v>37.4</v>
      </c>
      <c r="D148" s="86"/>
      <c r="E148" s="87">
        <f>E149+E151+E153</f>
        <v>4502025</v>
      </c>
      <c r="F148" s="85">
        <f>F150</f>
        <v>37.4</v>
      </c>
      <c r="G148" s="86"/>
      <c r="H148" s="87">
        <f>H149+H151+H153</f>
        <v>2751237.5</v>
      </c>
      <c r="I148" s="87">
        <f>E148+H148</f>
        <v>7253262.5</v>
      </c>
      <c r="J148" s="88"/>
      <c r="K148" s="88"/>
      <c r="L148" s="88"/>
      <c r="M148" s="88"/>
      <c r="N148" s="89"/>
    </row>
    <row r="149" spans="1:16" s="171" customFormat="1" ht="17.25" customHeight="1">
      <c r="A149" s="83" t="s">
        <v>18</v>
      </c>
      <c r="B149" s="84" t="s">
        <v>79</v>
      </c>
      <c r="C149" s="85"/>
      <c r="D149" s="88"/>
      <c r="E149" s="87">
        <f>E150</f>
        <v>4207500</v>
      </c>
      <c r="F149" s="85"/>
      <c r="G149" s="88"/>
      <c r="H149" s="87">
        <f>H150</f>
        <v>2571250</v>
      </c>
      <c r="I149" s="87">
        <f>E149+H149</f>
        <v>6778750</v>
      </c>
      <c r="J149" s="88"/>
      <c r="K149" s="88"/>
      <c r="L149" s="88"/>
      <c r="M149" s="88"/>
      <c r="N149" s="783" t="s">
        <v>98</v>
      </c>
    </row>
    <row r="150" spans="1:16" ht="17.25" customHeight="1">
      <c r="A150" s="90"/>
      <c r="B150" s="100" t="s">
        <v>111</v>
      </c>
      <c r="C150" s="92">
        <f>'Biểu 01b'!C74</f>
        <v>37.4</v>
      </c>
      <c r="D150" s="93">
        <v>300000</v>
      </c>
      <c r="E150" s="94">
        <f>C150*D150/12*4.5</f>
        <v>4207500</v>
      </c>
      <c r="F150" s="92">
        <v>37.4</v>
      </c>
      <c r="G150" s="93">
        <v>150000</v>
      </c>
      <c r="H150" s="94">
        <f>F150*G150/12*5.5</f>
        <v>2571250</v>
      </c>
      <c r="I150" s="94"/>
      <c r="J150" s="93"/>
      <c r="K150" s="93"/>
      <c r="L150" s="93"/>
      <c r="M150" s="93"/>
      <c r="N150" s="785"/>
    </row>
    <row r="151" spans="1:16" s="171" customFormat="1" ht="17.25" customHeight="1">
      <c r="A151" s="83" t="s">
        <v>18</v>
      </c>
      <c r="B151" s="84" t="s">
        <v>81</v>
      </c>
      <c r="C151" s="85"/>
      <c r="D151" s="191"/>
      <c r="E151" s="87">
        <f>E152</f>
        <v>294525</v>
      </c>
      <c r="F151" s="85"/>
      <c r="G151" s="191"/>
      <c r="H151" s="87">
        <f>H152</f>
        <v>179987.50000000003</v>
      </c>
      <c r="I151" s="87">
        <f t="shared" ref="I151:I153" si="25">E151+H151</f>
        <v>474512.5</v>
      </c>
      <c r="J151" s="88"/>
      <c r="K151" s="88"/>
      <c r="L151" s="88"/>
      <c r="M151" s="88"/>
      <c r="N151" s="95"/>
    </row>
    <row r="152" spans="1:16" ht="17.25" customHeight="1">
      <c r="A152" s="90"/>
      <c r="B152" s="100" t="s">
        <v>111</v>
      </c>
      <c r="C152" s="92">
        <v>37.4</v>
      </c>
      <c r="D152" s="176">
        <v>7.0000000000000007E-2</v>
      </c>
      <c r="E152" s="94">
        <f>E150*D152</f>
        <v>294525</v>
      </c>
      <c r="F152" s="92">
        <v>37.4</v>
      </c>
      <c r="G152" s="176">
        <v>7.0000000000000007E-2</v>
      </c>
      <c r="H152" s="94">
        <f>H150*G152</f>
        <v>179987.50000000003</v>
      </c>
      <c r="I152" s="94"/>
      <c r="J152" s="93"/>
      <c r="K152" s="93"/>
      <c r="L152" s="93"/>
      <c r="M152" s="93"/>
      <c r="N152" s="783" t="s">
        <v>101</v>
      </c>
    </row>
    <row r="153" spans="1:16" s="171" customFormat="1" ht="17.25" customHeight="1">
      <c r="A153" s="83" t="s">
        <v>18</v>
      </c>
      <c r="B153" s="84" t="s">
        <v>82</v>
      </c>
      <c r="C153" s="85"/>
      <c r="D153" s="96">
        <v>50000</v>
      </c>
      <c r="E153" s="126">
        <f>C153*D153</f>
        <v>0</v>
      </c>
      <c r="F153" s="85"/>
      <c r="G153" s="96">
        <v>50000</v>
      </c>
      <c r="H153" s="126">
        <f>F153*G153</f>
        <v>0</v>
      </c>
      <c r="I153" s="126">
        <f t="shared" si="25"/>
        <v>0</v>
      </c>
      <c r="J153" s="88"/>
      <c r="K153" s="88"/>
      <c r="L153" s="88"/>
      <c r="M153" s="88"/>
      <c r="N153" s="785"/>
    </row>
    <row r="154" spans="1:16" ht="17.25" customHeight="1">
      <c r="A154" s="83" t="s">
        <v>8</v>
      </c>
      <c r="B154" s="84" t="s">
        <v>83</v>
      </c>
      <c r="C154" s="85">
        <f>C155</f>
        <v>87.600000000000009</v>
      </c>
      <c r="D154" s="86"/>
      <c r="E154" s="87">
        <f>E155+E158+E161</f>
        <v>18382020</v>
      </c>
      <c r="F154" s="85">
        <f>C154</f>
        <v>87.600000000000009</v>
      </c>
      <c r="G154" s="86"/>
      <c r="H154" s="87">
        <f>H155+H158+H161</f>
        <v>6444075</v>
      </c>
      <c r="I154" s="87">
        <f>E154+H154</f>
        <v>24826095</v>
      </c>
      <c r="J154" s="88"/>
      <c r="K154" s="88"/>
      <c r="L154" s="88"/>
      <c r="M154" s="88"/>
      <c r="N154" s="89"/>
    </row>
    <row r="155" spans="1:16" s="171" customFormat="1" ht="17.25" customHeight="1">
      <c r="A155" s="83" t="s">
        <v>18</v>
      </c>
      <c r="B155" s="84" t="s">
        <v>79</v>
      </c>
      <c r="C155" s="85">
        <f>C156+C157</f>
        <v>87.600000000000009</v>
      </c>
      <c r="D155" s="88"/>
      <c r="E155" s="87">
        <f>E156+E157</f>
        <v>13086000</v>
      </c>
      <c r="F155" s="85">
        <f>F156+F157</f>
        <v>87.600000000000009</v>
      </c>
      <c r="G155" s="88"/>
      <c r="H155" s="87">
        <f>H156+H157</f>
        <v>6022500</v>
      </c>
      <c r="I155" s="87">
        <f>E155+H155</f>
        <v>19108500</v>
      </c>
      <c r="J155" s="88"/>
      <c r="K155" s="88"/>
      <c r="L155" s="88"/>
      <c r="M155" s="88"/>
      <c r="N155" s="95"/>
    </row>
    <row r="156" spans="1:16" ht="17.25" customHeight="1">
      <c r="A156" s="90"/>
      <c r="B156" s="100" t="s">
        <v>112</v>
      </c>
      <c r="C156" s="101">
        <v>64.62</v>
      </c>
      <c r="D156" s="93">
        <v>300000</v>
      </c>
      <c r="E156" s="94">
        <f>C156*300000/12*6.5</f>
        <v>10500750</v>
      </c>
      <c r="F156" s="101">
        <v>64.62</v>
      </c>
      <c r="G156" s="93">
        <v>150000</v>
      </c>
      <c r="H156" s="94">
        <f>F156*G156/12*5.5</f>
        <v>4442625</v>
      </c>
      <c r="I156" s="94"/>
      <c r="J156" s="93"/>
      <c r="K156" s="93"/>
      <c r="L156" s="93"/>
      <c r="M156" s="93"/>
      <c r="N156" s="783" t="s">
        <v>109</v>
      </c>
    </row>
    <row r="157" spans="1:16" ht="17.25" customHeight="1">
      <c r="A157" s="90"/>
      <c r="B157" s="100" t="s">
        <v>113</v>
      </c>
      <c r="C157" s="174">
        <v>22.98</v>
      </c>
      <c r="D157" s="93">
        <v>300000</v>
      </c>
      <c r="E157" s="94">
        <f>C157*300000/12*4.5</f>
        <v>2585250</v>
      </c>
      <c r="F157" s="174">
        <v>22.98</v>
      </c>
      <c r="G157" s="93">
        <v>150000</v>
      </c>
      <c r="H157" s="94">
        <f>F157*G157/12*5.5</f>
        <v>1579875</v>
      </c>
      <c r="I157" s="94"/>
      <c r="J157" s="93"/>
      <c r="K157" s="93"/>
      <c r="L157" s="93"/>
      <c r="M157" s="93"/>
      <c r="N157" s="785"/>
    </row>
    <row r="158" spans="1:16" s="171" customFormat="1" ht="17.25" customHeight="1">
      <c r="A158" s="83" t="s">
        <v>18</v>
      </c>
      <c r="B158" s="84" t="s">
        <v>81</v>
      </c>
      <c r="C158" s="85">
        <f>C155</f>
        <v>87.600000000000009</v>
      </c>
      <c r="D158" s="86"/>
      <c r="E158" s="87">
        <f>E159+E160</f>
        <v>916020.00000000012</v>
      </c>
      <c r="F158" s="85">
        <f>F155</f>
        <v>87.600000000000009</v>
      </c>
      <c r="G158" s="86"/>
      <c r="H158" s="87">
        <f>H159+H160</f>
        <v>421575.00000000006</v>
      </c>
      <c r="I158" s="87">
        <f t="shared" ref="I158:I161" si="26">E158+H158</f>
        <v>1337595.0000000002</v>
      </c>
      <c r="J158" s="88"/>
      <c r="K158" s="88"/>
      <c r="L158" s="88"/>
      <c r="M158" s="88"/>
      <c r="N158" s="89"/>
    </row>
    <row r="159" spans="1:16" ht="17.25" customHeight="1">
      <c r="A159" s="90"/>
      <c r="B159" s="100" t="s">
        <v>112</v>
      </c>
      <c r="C159" s="101">
        <v>64.62</v>
      </c>
      <c r="D159" s="176">
        <v>7.0000000000000007E-2</v>
      </c>
      <c r="E159" s="94">
        <f>E156*D159</f>
        <v>735052.50000000012</v>
      </c>
      <c r="F159" s="101">
        <v>64.62</v>
      </c>
      <c r="G159" s="176">
        <v>7.0000000000000007E-2</v>
      </c>
      <c r="H159" s="94">
        <f>H156*G159</f>
        <v>310983.75000000006</v>
      </c>
      <c r="I159" s="94"/>
      <c r="J159" s="93"/>
      <c r="K159" s="93"/>
      <c r="L159" s="93"/>
      <c r="M159" s="93"/>
      <c r="N159" s="783" t="s">
        <v>105</v>
      </c>
    </row>
    <row r="160" spans="1:16" ht="17.25" customHeight="1">
      <c r="A160" s="90"/>
      <c r="B160" s="100" t="s">
        <v>113</v>
      </c>
      <c r="C160" s="174">
        <v>22.98</v>
      </c>
      <c r="D160" s="176">
        <v>7.0000000000000007E-2</v>
      </c>
      <c r="E160" s="94">
        <f>E157*D160</f>
        <v>180967.50000000003</v>
      </c>
      <c r="F160" s="174">
        <v>22.98</v>
      </c>
      <c r="G160" s="176">
        <v>7.0000000000000007E-2</v>
      </c>
      <c r="H160" s="94">
        <f>H157*G160</f>
        <v>110591.25000000001</v>
      </c>
      <c r="I160" s="94"/>
      <c r="J160" s="93"/>
      <c r="K160" s="93"/>
      <c r="L160" s="93"/>
      <c r="M160" s="93"/>
      <c r="N160" s="785"/>
    </row>
    <row r="161" spans="1:14" s="171" customFormat="1" ht="17.25" customHeight="1">
      <c r="A161" s="83" t="s">
        <v>18</v>
      </c>
      <c r="B161" s="84" t="s">
        <v>82</v>
      </c>
      <c r="C161" s="85">
        <f>C155</f>
        <v>87.600000000000009</v>
      </c>
      <c r="D161" s="86"/>
      <c r="E161" s="87">
        <f>E162+E163</f>
        <v>4380000</v>
      </c>
      <c r="F161" s="85"/>
      <c r="G161" s="86"/>
      <c r="H161" s="126">
        <f>H162+H163</f>
        <v>0</v>
      </c>
      <c r="I161" s="87">
        <f t="shared" si="26"/>
        <v>4380000</v>
      </c>
      <c r="J161" s="88"/>
      <c r="K161" s="88"/>
      <c r="L161" s="88"/>
      <c r="M161" s="88"/>
      <c r="N161" s="95"/>
    </row>
    <row r="162" spans="1:14" ht="17.25" customHeight="1">
      <c r="A162" s="90"/>
      <c r="B162" s="100" t="s">
        <v>112</v>
      </c>
      <c r="C162" s="101">
        <v>64.62</v>
      </c>
      <c r="D162" s="98">
        <v>50000</v>
      </c>
      <c r="E162" s="94">
        <f>C162*D162</f>
        <v>3231000</v>
      </c>
      <c r="F162" s="101"/>
      <c r="G162" s="98">
        <v>50000</v>
      </c>
      <c r="H162" s="127">
        <f>F162*G162</f>
        <v>0</v>
      </c>
      <c r="I162" s="94"/>
      <c r="J162" s="93"/>
      <c r="K162" s="93"/>
      <c r="L162" s="93"/>
      <c r="M162" s="93"/>
      <c r="N162" s="99"/>
    </row>
    <row r="163" spans="1:14" ht="17.25" customHeight="1">
      <c r="A163" s="90"/>
      <c r="B163" s="100" t="s">
        <v>113</v>
      </c>
      <c r="C163" s="174">
        <v>22.98</v>
      </c>
      <c r="D163" s="98">
        <v>50000</v>
      </c>
      <c r="E163" s="94">
        <f>C163*D163</f>
        <v>1149000</v>
      </c>
      <c r="F163" s="174"/>
      <c r="G163" s="98">
        <v>50000</v>
      </c>
      <c r="H163" s="127">
        <f>F163*G163</f>
        <v>0</v>
      </c>
      <c r="I163" s="94"/>
      <c r="J163" s="93"/>
      <c r="K163" s="93"/>
      <c r="L163" s="93"/>
      <c r="M163" s="93"/>
      <c r="N163" s="99"/>
    </row>
    <row r="164" spans="1:14" ht="17.25" customHeight="1">
      <c r="A164" s="81">
        <v>2</v>
      </c>
      <c r="B164" s="82" t="s">
        <v>114</v>
      </c>
      <c r="C164" s="76">
        <f>C165</f>
        <v>33.08</v>
      </c>
      <c r="D164" s="79"/>
      <c r="E164" s="78">
        <f>E165</f>
        <v>5636005</v>
      </c>
      <c r="F164" s="76">
        <f>F165</f>
        <v>33.08</v>
      </c>
      <c r="G164" s="79"/>
      <c r="H164" s="78">
        <f>H165</f>
        <v>8111491.666666666</v>
      </c>
      <c r="I164" s="78">
        <f>I165</f>
        <v>13747496.666666666</v>
      </c>
      <c r="J164" s="79"/>
      <c r="K164" s="79"/>
      <c r="L164" s="79"/>
      <c r="M164" s="79"/>
      <c r="N164" s="80"/>
    </row>
    <row r="165" spans="1:14" ht="17.25" customHeight="1">
      <c r="A165" s="83" t="s">
        <v>9</v>
      </c>
      <c r="B165" s="84" t="s">
        <v>83</v>
      </c>
      <c r="C165" s="85">
        <f>C167</f>
        <v>33.08</v>
      </c>
      <c r="D165" s="86"/>
      <c r="E165" s="87">
        <f>E166+E168+E170</f>
        <v>5636005</v>
      </c>
      <c r="F165" s="85">
        <f>F167</f>
        <v>33.08</v>
      </c>
      <c r="G165" s="86"/>
      <c r="H165" s="87">
        <f>H166+H168+H170</f>
        <v>8111491.666666666</v>
      </c>
      <c r="I165" s="87">
        <f>I166+I168+I170</f>
        <v>13747496.666666666</v>
      </c>
      <c r="J165" s="88"/>
      <c r="K165" s="88"/>
      <c r="L165" s="88"/>
      <c r="M165" s="88"/>
      <c r="N165" s="89"/>
    </row>
    <row r="166" spans="1:14" s="171" customFormat="1" ht="17.25" customHeight="1">
      <c r="A166" s="83" t="s">
        <v>18</v>
      </c>
      <c r="B166" s="84" t="s">
        <v>79</v>
      </c>
      <c r="C166" s="85"/>
      <c r="D166" s="88"/>
      <c r="E166" s="87">
        <f>E167</f>
        <v>3721500</v>
      </c>
      <c r="F166" s="85"/>
      <c r="G166" s="88"/>
      <c r="H166" s="87">
        <f>H167</f>
        <v>7580833.333333333</v>
      </c>
      <c r="I166" s="87">
        <f>E166+H166</f>
        <v>11302333.333333332</v>
      </c>
      <c r="J166" s="88"/>
      <c r="K166" s="88"/>
      <c r="L166" s="88"/>
      <c r="M166" s="88"/>
      <c r="N166" s="95"/>
    </row>
    <row r="167" spans="1:14" ht="17.25" customHeight="1">
      <c r="A167" s="90"/>
      <c r="B167" s="100" t="s">
        <v>111</v>
      </c>
      <c r="C167" s="92">
        <v>33.08</v>
      </c>
      <c r="D167" s="93">
        <v>300000</v>
      </c>
      <c r="E167" s="94">
        <f>C167*D167/12*4.5</f>
        <v>3721500</v>
      </c>
      <c r="F167" s="92">
        <v>33.08</v>
      </c>
      <c r="G167" s="93">
        <v>500000</v>
      </c>
      <c r="H167" s="94">
        <f>F167*G167/12*5.5</f>
        <v>7580833.333333333</v>
      </c>
      <c r="I167" s="94"/>
      <c r="J167" s="93"/>
      <c r="K167" s="93"/>
      <c r="L167" s="93"/>
      <c r="M167" s="93"/>
      <c r="N167" s="792" t="s">
        <v>102</v>
      </c>
    </row>
    <row r="168" spans="1:14" s="171" customFormat="1" ht="17.25" customHeight="1">
      <c r="A168" s="83" t="s">
        <v>18</v>
      </c>
      <c r="B168" s="84" t="s">
        <v>81</v>
      </c>
      <c r="C168" s="85"/>
      <c r="D168" s="86"/>
      <c r="E168" s="87">
        <f>E169</f>
        <v>260505.00000000003</v>
      </c>
      <c r="F168" s="85"/>
      <c r="G168" s="86"/>
      <c r="H168" s="87">
        <f>H169</f>
        <v>530658.33333333337</v>
      </c>
      <c r="I168" s="87">
        <f t="shared" ref="I168:I170" si="27">E168+H168</f>
        <v>791163.33333333337</v>
      </c>
      <c r="J168" s="88"/>
      <c r="K168" s="88"/>
      <c r="L168" s="88"/>
      <c r="M168" s="88"/>
      <c r="N168" s="792"/>
    </row>
    <row r="169" spans="1:14" ht="17.25" customHeight="1">
      <c r="A169" s="90"/>
      <c r="B169" s="100" t="s">
        <v>111</v>
      </c>
      <c r="C169" s="92">
        <v>33.08</v>
      </c>
      <c r="D169" s="176">
        <v>7.0000000000000007E-2</v>
      </c>
      <c r="E169" s="94">
        <f>E167*D169</f>
        <v>260505.00000000003</v>
      </c>
      <c r="F169" s="92">
        <v>33.08</v>
      </c>
      <c r="G169" s="176">
        <v>7.0000000000000007E-2</v>
      </c>
      <c r="H169" s="94">
        <f>H167*G169</f>
        <v>530658.33333333337</v>
      </c>
      <c r="I169" s="94"/>
      <c r="J169" s="93"/>
      <c r="K169" s="93"/>
      <c r="L169" s="93"/>
      <c r="M169" s="93"/>
      <c r="N169" s="787" t="s">
        <v>105</v>
      </c>
    </row>
    <row r="170" spans="1:14" s="171" customFormat="1" ht="17.25" customHeight="1">
      <c r="A170" s="83" t="s">
        <v>18</v>
      </c>
      <c r="B170" s="84" t="s">
        <v>82</v>
      </c>
      <c r="C170" s="85"/>
      <c r="D170" s="86"/>
      <c r="E170" s="87">
        <f>E171</f>
        <v>1654000</v>
      </c>
      <c r="F170" s="85"/>
      <c r="G170" s="86"/>
      <c r="H170" s="87">
        <f>H171</f>
        <v>0</v>
      </c>
      <c r="I170" s="87">
        <f t="shared" si="27"/>
        <v>1654000</v>
      </c>
      <c r="J170" s="88"/>
      <c r="K170" s="88"/>
      <c r="L170" s="88"/>
      <c r="M170" s="88"/>
      <c r="N170" s="788"/>
    </row>
    <row r="171" spans="1:14" ht="17.25" customHeight="1">
      <c r="A171" s="90"/>
      <c r="B171" s="100" t="s">
        <v>111</v>
      </c>
      <c r="C171" s="92">
        <v>33.08</v>
      </c>
      <c r="D171" s="98">
        <v>50000</v>
      </c>
      <c r="E171" s="94">
        <f>C171*D171</f>
        <v>1654000</v>
      </c>
      <c r="F171" s="92"/>
      <c r="G171" s="98">
        <v>50000</v>
      </c>
      <c r="H171" s="94">
        <f>F171*G171</f>
        <v>0</v>
      </c>
      <c r="I171" s="94"/>
      <c r="J171" s="93"/>
      <c r="K171" s="93"/>
      <c r="L171" s="93"/>
      <c r="M171" s="93"/>
      <c r="N171" s="99"/>
    </row>
    <row r="172" spans="1:14" ht="17.25" customHeight="1">
      <c r="A172" s="81">
        <v>3</v>
      </c>
      <c r="B172" s="82" t="s">
        <v>96</v>
      </c>
      <c r="C172" s="76">
        <f>C173</f>
        <v>12.3</v>
      </c>
      <c r="D172" s="93"/>
      <c r="E172" s="78">
        <f>E173</f>
        <v>28230000</v>
      </c>
      <c r="F172" s="76">
        <f>C172</f>
        <v>12.3</v>
      </c>
      <c r="G172" s="77"/>
      <c r="H172" s="78">
        <f>F172*G172</f>
        <v>0</v>
      </c>
      <c r="I172" s="78">
        <f>I173</f>
        <v>28230000</v>
      </c>
      <c r="J172" s="79">
        <v>37500000</v>
      </c>
      <c r="K172" s="79">
        <f>J172-I172</f>
        <v>9270000</v>
      </c>
      <c r="L172" s="79"/>
      <c r="M172" s="79"/>
      <c r="N172" s="89"/>
    </row>
    <row r="173" spans="1:14" ht="17.25" customHeight="1">
      <c r="A173" s="81"/>
      <c r="B173" s="100" t="s">
        <v>113</v>
      </c>
      <c r="C173" s="174">
        <v>12.3</v>
      </c>
      <c r="D173" s="93">
        <v>5000000</v>
      </c>
      <c r="E173" s="94">
        <v>28230000</v>
      </c>
      <c r="F173" s="76"/>
      <c r="G173" s="77"/>
      <c r="H173" s="78"/>
      <c r="I173" s="94">
        <f t="shared" ref="I173" si="28">E173+H173</f>
        <v>28230000</v>
      </c>
      <c r="J173" s="79"/>
      <c r="K173" s="79"/>
      <c r="L173" s="79"/>
      <c r="M173" s="79"/>
      <c r="N173" s="89"/>
    </row>
    <row r="174" spans="1:14" ht="36.75" customHeight="1">
      <c r="A174" s="81" t="s">
        <v>5</v>
      </c>
      <c r="B174" s="82" t="s">
        <v>89</v>
      </c>
      <c r="C174" s="76">
        <f>C175+C202</f>
        <v>3476.6600000000003</v>
      </c>
      <c r="D174" s="77"/>
      <c r="E174" s="78">
        <f>E175+E202</f>
        <v>594611840</v>
      </c>
      <c r="F174" s="76">
        <f>F175+F202</f>
        <v>3476.6600000000003</v>
      </c>
      <c r="G174" s="77"/>
      <c r="H174" s="78">
        <f>H175+H202</f>
        <v>480333209.58333331</v>
      </c>
      <c r="I174" s="78">
        <f>I175+I202</f>
        <v>1074945049.5833333</v>
      </c>
      <c r="J174" s="79">
        <v>1361920000</v>
      </c>
      <c r="K174" s="79">
        <f>J174-I174</f>
        <v>286974950.41666675</v>
      </c>
      <c r="L174" s="79"/>
      <c r="M174" s="79"/>
      <c r="N174" s="80"/>
    </row>
    <row r="175" spans="1:14" ht="17.25" customHeight="1">
      <c r="A175" s="81">
        <v>1</v>
      </c>
      <c r="B175" s="82" t="s">
        <v>75</v>
      </c>
      <c r="C175" s="76">
        <f>C176+C186</f>
        <v>2168.2600000000002</v>
      </c>
      <c r="D175" s="77"/>
      <c r="E175" s="78">
        <f>E176+E186</f>
        <v>371232755</v>
      </c>
      <c r="F175" s="76">
        <f>F176+F186</f>
        <v>2168.2600000000002</v>
      </c>
      <c r="G175" s="77"/>
      <c r="H175" s="78">
        <f>H176+H186</f>
        <v>159502626.25</v>
      </c>
      <c r="I175" s="78">
        <f>E175+H175</f>
        <v>530735381.25</v>
      </c>
      <c r="J175" s="79"/>
      <c r="K175" s="88"/>
      <c r="L175" s="88"/>
      <c r="M175" s="88"/>
      <c r="N175" s="80"/>
    </row>
    <row r="176" spans="1:14" ht="17.25" customHeight="1">
      <c r="A176" s="83" t="s">
        <v>7</v>
      </c>
      <c r="B176" s="84" t="s">
        <v>76</v>
      </c>
      <c r="C176" s="85">
        <f>C177</f>
        <v>1042.68</v>
      </c>
      <c r="D176" s="86"/>
      <c r="E176" s="87">
        <f>E177+E181+E185</f>
        <v>181295985</v>
      </c>
      <c r="F176" s="85">
        <f>F177</f>
        <v>1042.68</v>
      </c>
      <c r="G176" s="86"/>
      <c r="H176" s="87">
        <f>H177+H181+H185</f>
        <v>76702147.5</v>
      </c>
      <c r="I176" s="78">
        <f t="shared" ref="I176" si="29">E176+H176</f>
        <v>257998132.5</v>
      </c>
      <c r="J176" s="88"/>
      <c r="K176" s="88"/>
      <c r="L176" s="88"/>
      <c r="M176" s="88"/>
      <c r="N176" s="95"/>
    </row>
    <row r="177" spans="1:14" s="171" customFormat="1" ht="17.25" customHeight="1">
      <c r="A177" s="83" t="s">
        <v>18</v>
      </c>
      <c r="B177" s="84" t="s">
        <v>79</v>
      </c>
      <c r="C177" s="85">
        <f>SUM(C178:C180)</f>
        <v>1042.68</v>
      </c>
      <c r="D177" s="86"/>
      <c r="E177" s="88">
        <f>SUM(E178:E180)</f>
        <v>169435500</v>
      </c>
      <c r="F177" s="85">
        <f>SUM(F178:F180)</f>
        <v>1042.68</v>
      </c>
      <c r="G177" s="86"/>
      <c r="H177" s="88">
        <f>SUM(H178:H180)</f>
        <v>71684250</v>
      </c>
      <c r="I177" s="87"/>
      <c r="J177" s="88"/>
      <c r="K177" s="88"/>
      <c r="L177" s="88"/>
      <c r="M177" s="88"/>
      <c r="N177" s="95"/>
    </row>
    <row r="178" spans="1:14" ht="17.25" customHeight="1">
      <c r="A178" s="90"/>
      <c r="B178" s="100" t="s">
        <v>115</v>
      </c>
      <c r="C178" s="174">
        <v>272.18</v>
      </c>
      <c r="D178" s="93">
        <v>300000</v>
      </c>
      <c r="E178" s="94">
        <f>C178*D178/12*6.5</f>
        <v>44229250</v>
      </c>
      <c r="F178" s="174">
        <v>272.18</v>
      </c>
      <c r="G178" s="93">
        <v>150000</v>
      </c>
      <c r="H178" s="94">
        <f>F178*G178/12*5.5</f>
        <v>18712375</v>
      </c>
      <c r="I178" s="94"/>
      <c r="J178" s="93"/>
      <c r="K178" s="93"/>
      <c r="L178" s="93"/>
      <c r="M178" s="93"/>
      <c r="N178" s="787" t="s">
        <v>98</v>
      </c>
    </row>
    <row r="179" spans="1:14" ht="17.25" customHeight="1">
      <c r="A179" s="90"/>
      <c r="B179" s="100" t="s">
        <v>112</v>
      </c>
      <c r="C179" s="174">
        <v>398.51</v>
      </c>
      <c r="D179" s="93">
        <v>300000</v>
      </c>
      <c r="E179" s="94">
        <f t="shared" ref="E179:E180" si="30">C179*D179/12*6.5</f>
        <v>64757875</v>
      </c>
      <c r="F179" s="174">
        <v>398.51</v>
      </c>
      <c r="G179" s="93">
        <v>150000</v>
      </c>
      <c r="H179" s="94">
        <f>F179*G179/12*5.5</f>
        <v>27397562.5</v>
      </c>
      <c r="I179" s="94"/>
      <c r="J179" s="93"/>
      <c r="K179" s="93"/>
      <c r="L179" s="93"/>
      <c r="M179" s="93"/>
      <c r="N179" s="793"/>
    </row>
    <row r="180" spans="1:14" ht="17.25" customHeight="1">
      <c r="A180" s="90"/>
      <c r="B180" s="100" t="s">
        <v>113</v>
      </c>
      <c r="C180" s="174">
        <v>371.99</v>
      </c>
      <c r="D180" s="93">
        <v>300000</v>
      </c>
      <c r="E180" s="94">
        <f t="shared" si="30"/>
        <v>60448375</v>
      </c>
      <c r="F180" s="174">
        <v>371.99</v>
      </c>
      <c r="G180" s="93">
        <v>150000</v>
      </c>
      <c r="H180" s="94">
        <f>F180*G180/12*5.5</f>
        <v>25574312.5</v>
      </c>
      <c r="I180" s="94"/>
      <c r="J180" s="93"/>
      <c r="K180" s="93"/>
      <c r="L180" s="93"/>
      <c r="M180" s="93"/>
      <c r="N180" s="788"/>
    </row>
    <row r="181" spans="1:14" s="171" customFormat="1" ht="17.25" customHeight="1">
      <c r="A181" s="83" t="s">
        <v>18</v>
      </c>
      <c r="B181" s="84" t="s">
        <v>81</v>
      </c>
      <c r="C181" s="85">
        <f>SUM(C182:C184)</f>
        <v>1042.68</v>
      </c>
      <c r="D181" s="86"/>
      <c r="E181" s="88">
        <f>SUM(E182:E184)</f>
        <v>11860485</v>
      </c>
      <c r="F181" s="85">
        <f>SUM(F182:F184)</f>
        <v>1042.68</v>
      </c>
      <c r="G181" s="86"/>
      <c r="H181" s="88">
        <f>SUM(H182:H184)</f>
        <v>5017897.5000000009</v>
      </c>
      <c r="I181" s="87"/>
      <c r="J181" s="88"/>
      <c r="K181" s="88"/>
      <c r="L181" s="88"/>
      <c r="M181" s="88"/>
      <c r="N181" s="95"/>
    </row>
    <row r="182" spans="1:14" ht="17.25" customHeight="1">
      <c r="A182" s="90"/>
      <c r="B182" s="100" t="s">
        <v>115</v>
      </c>
      <c r="C182" s="174">
        <v>272.18</v>
      </c>
      <c r="D182" s="176">
        <v>7.0000000000000007E-2</v>
      </c>
      <c r="E182" s="94">
        <f>E178*D182</f>
        <v>3096047.5000000005</v>
      </c>
      <c r="F182" s="174">
        <v>272.18</v>
      </c>
      <c r="G182" s="176">
        <v>7.0000000000000007E-2</v>
      </c>
      <c r="H182" s="94">
        <f>H178*G182</f>
        <v>1309866.2500000002</v>
      </c>
      <c r="I182" s="94"/>
      <c r="J182" s="93"/>
      <c r="K182" s="93"/>
      <c r="L182" s="93"/>
      <c r="M182" s="93"/>
      <c r="N182" s="787" t="s">
        <v>101</v>
      </c>
    </row>
    <row r="183" spans="1:14" ht="17.25" customHeight="1">
      <c r="A183" s="90"/>
      <c r="B183" s="100" t="s">
        <v>112</v>
      </c>
      <c r="C183" s="174">
        <v>398.51</v>
      </c>
      <c r="D183" s="176">
        <v>7.0000000000000007E-2</v>
      </c>
      <c r="E183" s="94">
        <f t="shared" ref="E183:E184" si="31">E179*D183</f>
        <v>4533051.25</v>
      </c>
      <c r="F183" s="174">
        <v>398.51</v>
      </c>
      <c r="G183" s="176">
        <v>7.0000000000000007E-2</v>
      </c>
      <c r="H183" s="94">
        <f t="shared" ref="H183:H184" si="32">H179*G183</f>
        <v>1917829.3750000002</v>
      </c>
      <c r="I183" s="94"/>
      <c r="J183" s="93"/>
      <c r="K183" s="93"/>
      <c r="L183" s="93"/>
      <c r="M183" s="93"/>
      <c r="N183" s="793"/>
    </row>
    <row r="184" spans="1:14" ht="17.25" customHeight="1">
      <c r="A184" s="90"/>
      <c r="B184" s="100" t="s">
        <v>113</v>
      </c>
      <c r="C184" s="174">
        <v>371.99</v>
      </c>
      <c r="D184" s="176">
        <v>7.0000000000000007E-2</v>
      </c>
      <c r="E184" s="94">
        <f t="shared" si="31"/>
        <v>4231386.25</v>
      </c>
      <c r="F184" s="174">
        <v>371.99</v>
      </c>
      <c r="G184" s="176">
        <v>7.0000000000000007E-2</v>
      </c>
      <c r="H184" s="94">
        <f t="shared" si="32"/>
        <v>1790201.8750000002</v>
      </c>
      <c r="I184" s="94"/>
      <c r="J184" s="93"/>
      <c r="K184" s="93"/>
      <c r="L184" s="93"/>
      <c r="M184" s="93"/>
      <c r="N184" s="788"/>
    </row>
    <row r="185" spans="1:14" s="171" customFormat="1" ht="17.25" customHeight="1">
      <c r="A185" s="83" t="s">
        <v>18</v>
      </c>
      <c r="B185" s="84" t="s">
        <v>82</v>
      </c>
      <c r="C185" s="85"/>
      <c r="D185" s="86"/>
      <c r="E185" s="88">
        <v>0</v>
      </c>
      <c r="F185" s="85"/>
      <c r="G185" s="86"/>
      <c r="H185" s="87"/>
      <c r="I185" s="87"/>
      <c r="J185" s="88"/>
      <c r="K185" s="88"/>
      <c r="L185" s="88"/>
      <c r="M185" s="88"/>
      <c r="N185" s="95"/>
    </row>
    <row r="186" spans="1:14" ht="17.25" customHeight="1">
      <c r="A186" s="83" t="s">
        <v>8</v>
      </c>
      <c r="B186" s="84" t="s">
        <v>83</v>
      </c>
      <c r="C186" s="85">
        <f>C187</f>
        <v>1125.58</v>
      </c>
      <c r="D186" s="86"/>
      <c r="E186" s="87">
        <f>E187+E194+E201</f>
        <v>189936770</v>
      </c>
      <c r="F186" s="85">
        <f>C186</f>
        <v>1125.58</v>
      </c>
      <c r="G186" s="86"/>
      <c r="H186" s="78">
        <f>H187+H194</f>
        <v>82800478.75</v>
      </c>
      <c r="I186" s="78">
        <f t="shared" ref="I186" si="33">E186+H186</f>
        <v>272737248.75</v>
      </c>
      <c r="J186" s="88"/>
      <c r="K186" s="88"/>
      <c r="L186" s="88"/>
      <c r="M186" s="88"/>
      <c r="N186" s="95"/>
    </row>
    <row r="187" spans="1:14" s="171" customFormat="1" ht="17.25" customHeight="1">
      <c r="A187" s="83" t="s">
        <v>18</v>
      </c>
      <c r="B187" s="84" t="s">
        <v>79</v>
      </c>
      <c r="C187" s="85">
        <f>SUM(C188:C193)</f>
        <v>1125.58</v>
      </c>
      <c r="D187" s="88"/>
      <c r="E187" s="88">
        <f>SUM(E188:E193)</f>
        <v>177511000</v>
      </c>
      <c r="F187" s="85">
        <f>SUM(F188:F193)</f>
        <v>1125.58</v>
      </c>
      <c r="G187" s="88"/>
      <c r="H187" s="88">
        <f>SUM(H188:H193)</f>
        <v>77383625</v>
      </c>
      <c r="I187" s="87"/>
      <c r="J187" s="88"/>
      <c r="K187" s="88"/>
      <c r="L187" s="88"/>
      <c r="M187" s="88"/>
      <c r="N187" s="95"/>
    </row>
    <row r="188" spans="1:14" ht="17.25" customHeight="1">
      <c r="A188" s="90"/>
      <c r="B188" s="100" t="s">
        <v>116</v>
      </c>
      <c r="C188" s="174">
        <v>96.64</v>
      </c>
      <c r="D188" s="93">
        <v>300000</v>
      </c>
      <c r="E188" s="94">
        <f>C188*D188/12*6.5</f>
        <v>15704000</v>
      </c>
      <c r="F188" s="174">
        <v>96.64</v>
      </c>
      <c r="G188" s="93">
        <v>150000</v>
      </c>
      <c r="H188" s="94">
        <f>F188*G188/12*5.5</f>
        <v>6644000</v>
      </c>
      <c r="I188" s="94"/>
      <c r="J188" s="93"/>
      <c r="K188" s="93"/>
      <c r="L188" s="93"/>
      <c r="M188" s="93"/>
      <c r="N188" s="783" t="s">
        <v>109</v>
      </c>
    </row>
    <row r="189" spans="1:14" ht="17.25" customHeight="1">
      <c r="A189" s="90"/>
      <c r="B189" s="100" t="s">
        <v>115</v>
      </c>
      <c r="C189" s="174">
        <v>241.87</v>
      </c>
      <c r="D189" s="93">
        <v>300000</v>
      </c>
      <c r="E189" s="94">
        <f t="shared" ref="E189:E192" si="34">C189*D189/12*6.5</f>
        <v>39303875</v>
      </c>
      <c r="F189" s="174">
        <v>241.87</v>
      </c>
      <c r="G189" s="93">
        <v>150000</v>
      </c>
      <c r="H189" s="94">
        <f t="shared" ref="H189:H193" si="35">F189*G189/12*5.5</f>
        <v>16628562.5</v>
      </c>
      <c r="I189" s="94"/>
      <c r="J189" s="93"/>
      <c r="K189" s="93"/>
      <c r="L189" s="93"/>
      <c r="M189" s="93"/>
      <c r="N189" s="784"/>
    </row>
    <row r="190" spans="1:14" ht="17.25" customHeight="1">
      <c r="A190" s="90"/>
      <c r="B190" s="100" t="s">
        <v>111</v>
      </c>
      <c r="C190" s="174">
        <v>32.659999999999997</v>
      </c>
      <c r="D190" s="93">
        <v>300000</v>
      </c>
      <c r="E190" s="94">
        <f t="shared" si="34"/>
        <v>5307249.9999999991</v>
      </c>
      <c r="F190" s="174">
        <v>32.659999999999997</v>
      </c>
      <c r="G190" s="93">
        <v>150000</v>
      </c>
      <c r="H190" s="94">
        <f t="shared" si="35"/>
        <v>2245374.9999999995</v>
      </c>
      <c r="I190" s="94"/>
      <c r="J190" s="93"/>
      <c r="K190" s="93"/>
      <c r="L190" s="93"/>
      <c r="M190" s="93"/>
      <c r="N190" s="784"/>
    </row>
    <row r="191" spans="1:14" ht="17.25" customHeight="1">
      <c r="A191" s="90"/>
      <c r="B191" s="100" t="s">
        <v>112</v>
      </c>
      <c r="C191" s="174">
        <v>221.46</v>
      </c>
      <c r="D191" s="93">
        <v>300000</v>
      </c>
      <c r="E191" s="94">
        <f t="shared" si="34"/>
        <v>35987250</v>
      </c>
      <c r="F191" s="174">
        <v>221.46</v>
      </c>
      <c r="G191" s="93">
        <v>150000</v>
      </c>
      <c r="H191" s="94">
        <f t="shared" si="35"/>
        <v>15225375</v>
      </c>
      <c r="I191" s="94"/>
      <c r="J191" s="93"/>
      <c r="K191" s="93"/>
      <c r="L191" s="93"/>
      <c r="M191" s="93"/>
      <c r="N191" s="784"/>
    </row>
    <row r="192" spans="1:14" ht="17.25" customHeight="1">
      <c r="A192" s="90"/>
      <c r="B192" s="100" t="s">
        <v>113</v>
      </c>
      <c r="C192" s="174">
        <v>317.12</v>
      </c>
      <c r="D192" s="93">
        <v>300000</v>
      </c>
      <c r="E192" s="94">
        <f t="shared" si="34"/>
        <v>51532000</v>
      </c>
      <c r="F192" s="174">
        <v>317.12</v>
      </c>
      <c r="G192" s="93">
        <v>150000</v>
      </c>
      <c r="H192" s="94">
        <f t="shared" si="35"/>
        <v>21802000</v>
      </c>
      <c r="I192" s="94"/>
      <c r="J192" s="93"/>
      <c r="K192" s="93"/>
      <c r="L192" s="93"/>
      <c r="M192" s="93"/>
      <c r="N192" s="785"/>
    </row>
    <row r="193" spans="1:14" ht="17.25" customHeight="1">
      <c r="A193" s="90"/>
      <c r="B193" s="100" t="s">
        <v>117</v>
      </c>
      <c r="C193" s="101">
        <v>215.83</v>
      </c>
      <c r="D193" s="93">
        <v>300000</v>
      </c>
      <c r="E193" s="94">
        <f>C193*D193/12*5.5</f>
        <v>29676625.000000004</v>
      </c>
      <c r="F193" s="101">
        <v>215.83</v>
      </c>
      <c r="G193" s="93">
        <v>150000</v>
      </c>
      <c r="H193" s="94">
        <f t="shared" si="35"/>
        <v>14838312.500000002</v>
      </c>
      <c r="I193" s="94"/>
      <c r="J193" s="93"/>
      <c r="K193" s="93"/>
      <c r="L193" s="93"/>
      <c r="M193" s="93"/>
      <c r="N193" s="99"/>
    </row>
    <row r="194" spans="1:14" s="171" customFormat="1" ht="17.25" customHeight="1">
      <c r="A194" s="83" t="s">
        <v>18</v>
      </c>
      <c r="B194" s="84" t="s">
        <v>81</v>
      </c>
      <c r="C194" s="85">
        <f>SUM(C195:C200)</f>
        <v>1125.58</v>
      </c>
      <c r="D194" s="86"/>
      <c r="E194" s="88">
        <f>SUM(E195:E200)</f>
        <v>12425770</v>
      </c>
      <c r="F194" s="85">
        <f>SUM(F195:F200)</f>
        <v>1125.58</v>
      </c>
      <c r="G194" s="86"/>
      <c r="H194" s="88">
        <f>SUM(H195:H200)</f>
        <v>5416853.75</v>
      </c>
      <c r="I194" s="87"/>
      <c r="J194" s="88"/>
      <c r="K194" s="88"/>
      <c r="L194" s="88"/>
      <c r="M194" s="88"/>
      <c r="N194" s="95"/>
    </row>
    <row r="195" spans="1:14" ht="17.25" customHeight="1">
      <c r="A195" s="90"/>
      <c r="B195" s="100" t="s">
        <v>116</v>
      </c>
      <c r="C195" s="174">
        <v>96.64</v>
      </c>
      <c r="D195" s="176">
        <v>7.0000000000000007E-2</v>
      </c>
      <c r="E195" s="94">
        <f>E188*D195</f>
        <v>1099280</v>
      </c>
      <c r="F195" s="174">
        <v>96.64</v>
      </c>
      <c r="G195" s="176">
        <v>7.0000000000000007E-2</v>
      </c>
      <c r="H195" s="94">
        <f>H188*G195</f>
        <v>465080.00000000006</v>
      </c>
      <c r="I195" s="94"/>
      <c r="J195" s="93"/>
      <c r="K195" s="93"/>
      <c r="L195" s="93"/>
      <c r="M195" s="93"/>
      <c r="N195" s="783" t="s">
        <v>105</v>
      </c>
    </row>
    <row r="196" spans="1:14" ht="17.25" customHeight="1">
      <c r="A196" s="90"/>
      <c r="B196" s="100" t="s">
        <v>115</v>
      </c>
      <c r="C196" s="174">
        <v>241.87</v>
      </c>
      <c r="D196" s="176">
        <v>7.0000000000000007E-2</v>
      </c>
      <c r="E196" s="94">
        <f t="shared" ref="E196:E200" si="36">E189*D196</f>
        <v>2751271.2500000005</v>
      </c>
      <c r="F196" s="174">
        <v>241.87</v>
      </c>
      <c r="G196" s="176">
        <v>7.0000000000000007E-2</v>
      </c>
      <c r="H196" s="94">
        <f t="shared" ref="H196:H200" si="37">H189*G196</f>
        <v>1163999.375</v>
      </c>
      <c r="I196" s="94"/>
      <c r="J196" s="93"/>
      <c r="K196" s="93"/>
      <c r="L196" s="93"/>
      <c r="M196" s="93"/>
      <c r="N196" s="784"/>
    </row>
    <row r="197" spans="1:14" ht="17.25" customHeight="1">
      <c r="A197" s="90"/>
      <c r="B197" s="100" t="s">
        <v>111</v>
      </c>
      <c r="C197" s="174">
        <v>32.659999999999997</v>
      </c>
      <c r="D197" s="176">
        <v>7.0000000000000007E-2</v>
      </c>
      <c r="E197" s="94">
        <f t="shared" si="36"/>
        <v>371507.49999999994</v>
      </c>
      <c r="F197" s="174">
        <v>32.659999999999997</v>
      </c>
      <c r="G197" s="176">
        <v>7.0000000000000007E-2</v>
      </c>
      <c r="H197" s="94">
        <f t="shared" si="37"/>
        <v>157176.24999999997</v>
      </c>
      <c r="I197" s="94"/>
      <c r="J197" s="93"/>
      <c r="K197" s="93"/>
      <c r="L197" s="93"/>
      <c r="M197" s="93"/>
      <c r="N197" s="784"/>
    </row>
    <row r="198" spans="1:14" ht="17.25" customHeight="1">
      <c r="A198" s="90"/>
      <c r="B198" s="100" t="s">
        <v>112</v>
      </c>
      <c r="C198" s="174">
        <v>221.46</v>
      </c>
      <c r="D198" s="176">
        <v>7.0000000000000007E-2</v>
      </c>
      <c r="E198" s="94">
        <f t="shared" si="36"/>
        <v>2519107.5000000005</v>
      </c>
      <c r="F198" s="174">
        <v>221.46</v>
      </c>
      <c r="G198" s="176">
        <v>7.0000000000000007E-2</v>
      </c>
      <c r="H198" s="94">
        <f t="shared" si="37"/>
        <v>1065776.25</v>
      </c>
      <c r="I198" s="94"/>
      <c r="J198" s="93"/>
      <c r="K198" s="93"/>
      <c r="L198" s="93"/>
      <c r="M198" s="93"/>
      <c r="N198" s="784"/>
    </row>
    <row r="199" spans="1:14" ht="17.25" customHeight="1">
      <c r="A199" s="90"/>
      <c r="B199" s="100" t="s">
        <v>113</v>
      </c>
      <c r="C199" s="174">
        <v>317.12</v>
      </c>
      <c r="D199" s="176">
        <v>7.0000000000000007E-2</v>
      </c>
      <c r="E199" s="94">
        <f t="shared" si="36"/>
        <v>3607240.0000000005</v>
      </c>
      <c r="F199" s="174">
        <v>317.12</v>
      </c>
      <c r="G199" s="176">
        <v>7.0000000000000007E-2</v>
      </c>
      <c r="H199" s="94">
        <f t="shared" si="37"/>
        <v>1526140.0000000002</v>
      </c>
      <c r="I199" s="94"/>
      <c r="J199" s="93"/>
      <c r="K199" s="93"/>
      <c r="L199" s="93"/>
      <c r="M199" s="93"/>
      <c r="N199" s="784"/>
    </row>
    <row r="200" spans="1:14" ht="17.25" customHeight="1">
      <c r="A200" s="90"/>
      <c r="B200" s="100" t="s">
        <v>117</v>
      </c>
      <c r="C200" s="101">
        <v>215.83</v>
      </c>
      <c r="D200" s="176">
        <v>7.0000000000000007E-2</v>
      </c>
      <c r="E200" s="94">
        <f t="shared" si="36"/>
        <v>2077363.7500000005</v>
      </c>
      <c r="F200" s="101">
        <v>215.83</v>
      </c>
      <c r="G200" s="176">
        <v>7.0000000000000007E-2</v>
      </c>
      <c r="H200" s="94">
        <f t="shared" si="37"/>
        <v>1038681.8750000002</v>
      </c>
      <c r="I200" s="94"/>
      <c r="J200" s="93"/>
      <c r="K200" s="93"/>
      <c r="L200" s="93"/>
      <c r="M200" s="93"/>
      <c r="N200" s="785"/>
    </row>
    <row r="201" spans="1:14" s="171" customFormat="1" ht="17.25" customHeight="1">
      <c r="A201" s="83" t="s">
        <v>18</v>
      </c>
      <c r="B201" s="84" t="s">
        <v>82</v>
      </c>
      <c r="C201" s="85"/>
      <c r="D201" s="86"/>
      <c r="E201" s="87"/>
      <c r="F201" s="85"/>
      <c r="G201" s="86"/>
      <c r="H201" s="87"/>
      <c r="I201" s="87"/>
      <c r="J201" s="88"/>
      <c r="K201" s="88"/>
      <c r="L201" s="88"/>
      <c r="M201" s="88"/>
      <c r="N201" s="95"/>
    </row>
    <row r="202" spans="1:14" ht="36.75" customHeight="1">
      <c r="A202" s="81">
        <v>2</v>
      </c>
      <c r="B202" s="82" t="s">
        <v>90</v>
      </c>
      <c r="C202" s="102">
        <f>C203</f>
        <v>1308.4000000000001</v>
      </c>
      <c r="D202" s="77"/>
      <c r="E202" s="78">
        <f>E203+E210</f>
        <v>223379085</v>
      </c>
      <c r="F202" s="76">
        <f>F203</f>
        <v>1308.4000000000001</v>
      </c>
      <c r="G202" s="77"/>
      <c r="H202" s="78">
        <f>H203+H210</f>
        <v>320830583.33333331</v>
      </c>
      <c r="I202" s="78">
        <f>E202+H202</f>
        <v>544209668.33333325</v>
      </c>
      <c r="J202" s="79"/>
      <c r="K202" s="88"/>
      <c r="L202" s="88"/>
      <c r="M202" s="88"/>
      <c r="N202" s="80"/>
    </row>
    <row r="203" spans="1:14" s="171" customFormat="1" ht="17.25" customHeight="1">
      <c r="A203" s="83" t="s">
        <v>18</v>
      </c>
      <c r="B203" s="84" t="s">
        <v>79</v>
      </c>
      <c r="C203" s="103">
        <f>SUM(C204:C209)</f>
        <v>1308.4000000000001</v>
      </c>
      <c r="D203" s="88">
        <v>300000</v>
      </c>
      <c r="E203" s="87">
        <f>(1154.42 *(D203/12*6.5))+(153.98*(D203/12*5.5))</f>
        <v>208765500</v>
      </c>
      <c r="F203" s="103">
        <f>SUM(F204:F209)</f>
        <v>1308.4000000000001</v>
      </c>
      <c r="G203" s="88"/>
      <c r="H203" s="87">
        <f>SUM(H204:H209)</f>
        <v>299841666.66666663</v>
      </c>
      <c r="I203" s="87"/>
      <c r="J203" s="88"/>
      <c r="K203" s="88"/>
      <c r="L203" s="88"/>
      <c r="M203" s="88"/>
      <c r="N203" s="95"/>
    </row>
    <row r="204" spans="1:14" ht="17.25" customHeight="1">
      <c r="A204" s="90"/>
      <c r="B204" s="100" t="s">
        <v>116</v>
      </c>
      <c r="C204" s="174">
        <f>25.06</f>
        <v>25.06</v>
      </c>
      <c r="D204" s="93">
        <v>300000</v>
      </c>
      <c r="E204" s="94">
        <f>C204*D204/12*6.5</f>
        <v>4072250</v>
      </c>
      <c r="F204" s="174">
        <f>25.06</f>
        <v>25.06</v>
      </c>
      <c r="G204" s="93">
        <v>500000</v>
      </c>
      <c r="H204" s="94">
        <f>F204*G204/12*5.5</f>
        <v>5742916.666666666</v>
      </c>
      <c r="I204" s="94"/>
      <c r="J204" s="93"/>
      <c r="K204" s="93"/>
      <c r="L204" s="93"/>
      <c r="M204" s="93"/>
      <c r="N204" s="787" t="s">
        <v>102</v>
      </c>
    </row>
    <row r="205" spans="1:14" ht="17.25" customHeight="1">
      <c r="A205" s="90"/>
      <c r="B205" s="100" t="s">
        <v>115</v>
      </c>
      <c r="C205" s="174">
        <f>4.46</f>
        <v>4.46</v>
      </c>
      <c r="D205" s="93">
        <v>300000</v>
      </c>
      <c r="E205" s="94">
        <f t="shared" ref="E205:E208" si="38">C205*D205/12*6.5</f>
        <v>724750</v>
      </c>
      <c r="F205" s="174">
        <f>4.46</f>
        <v>4.46</v>
      </c>
      <c r="G205" s="93">
        <v>500000</v>
      </c>
      <c r="H205" s="94">
        <f t="shared" ref="H205:H209" si="39">F205*G205/12*5.5</f>
        <v>1022083.3333333334</v>
      </c>
      <c r="I205" s="94"/>
      <c r="J205" s="93"/>
      <c r="K205" s="93"/>
      <c r="L205" s="93"/>
      <c r="M205" s="93"/>
      <c r="N205" s="793"/>
    </row>
    <row r="206" spans="1:14" ht="17.25" customHeight="1">
      <c r="A206" s="90"/>
      <c r="B206" s="100" t="s">
        <v>111</v>
      </c>
      <c r="C206" s="174">
        <f>297.55</f>
        <v>297.55</v>
      </c>
      <c r="D206" s="93">
        <v>300000</v>
      </c>
      <c r="E206" s="94">
        <f t="shared" si="38"/>
        <v>48351875</v>
      </c>
      <c r="F206" s="174">
        <f>297.55</f>
        <v>297.55</v>
      </c>
      <c r="G206" s="93">
        <v>500000</v>
      </c>
      <c r="H206" s="94">
        <f t="shared" si="39"/>
        <v>68188541.666666657</v>
      </c>
      <c r="I206" s="94"/>
      <c r="J206" s="93"/>
      <c r="K206" s="93"/>
      <c r="L206" s="93"/>
      <c r="M206" s="93"/>
      <c r="N206" s="793"/>
    </row>
    <row r="207" spans="1:14" ht="17.25" customHeight="1">
      <c r="A207" s="90"/>
      <c r="B207" s="100" t="s">
        <v>112</v>
      </c>
      <c r="C207" s="174">
        <v>536.64</v>
      </c>
      <c r="D207" s="93">
        <v>300000</v>
      </c>
      <c r="E207" s="94">
        <f t="shared" si="38"/>
        <v>87204000</v>
      </c>
      <c r="F207" s="174">
        <v>536.64</v>
      </c>
      <c r="G207" s="93">
        <v>500000</v>
      </c>
      <c r="H207" s="94">
        <f t="shared" si="39"/>
        <v>122980000</v>
      </c>
      <c r="I207" s="94"/>
      <c r="J207" s="93"/>
      <c r="K207" s="93"/>
      <c r="L207" s="93"/>
      <c r="M207" s="93"/>
      <c r="N207" s="793"/>
    </row>
    <row r="208" spans="1:14" ht="17.25" customHeight="1">
      <c r="A208" s="90"/>
      <c r="B208" s="100" t="s">
        <v>113</v>
      </c>
      <c r="C208" s="174">
        <v>290.70999999999998</v>
      </c>
      <c r="D208" s="93">
        <v>300000</v>
      </c>
      <c r="E208" s="94">
        <f t="shared" si="38"/>
        <v>47240375</v>
      </c>
      <c r="F208" s="174">
        <v>290.70999999999998</v>
      </c>
      <c r="G208" s="93">
        <v>500000</v>
      </c>
      <c r="H208" s="94">
        <f t="shared" si="39"/>
        <v>66621041.666666664</v>
      </c>
      <c r="I208" s="94"/>
      <c r="J208" s="93"/>
      <c r="K208" s="93"/>
      <c r="L208" s="93"/>
      <c r="M208" s="93"/>
      <c r="N208" s="788"/>
    </row>
    <row r="209" spans="1:15" ht="17.25" customHeight="1">
      <c r="A209" s="90"/>
      <c r="B209" s="100" t="s">
        <v>117</v>
      </c>
      <c r="C209" s="101">
        <v>153.97999999999999</v>
      </c>
      <c r="D209" s="93">
        <v>300000</v>
      </c>
      <c r="E209" s="94">
        <f>C209*D209/12*5.5</f>
        <v>21172250</v>
      </c>
      <c r="F209" s="101">
        <v>153.97999999999999</v>
      </c>
      <c r="G209" s="93">
        <v>500000</v>
      </c>
      <c r="H209" s="94">
        <f t="shared" si="39"/>
        <v>35287083.333333328</v>
      </c>
      <c r="I209" s="94"/>
      <c r="J209" s="93"/>
      <c r="K209" s="93"/>
      <c r="L209" s="93"/>
      <c r="M209" s="93"/>
      <c r="N209" s="99"/>
    </row>
    <row r="210" spans="1:15" s="171" customFormat="1" ht="17.25" customHeight="1">
      <c r="A210" s="83" t="s">
        <v>18</v>
      </c>
      <c r="B210" s="84" t="s">
        <v>81</v>
      </c>
      <c r="C210" s="103">
        <f>SUM(C211:C216)</f>
        <v>1308.4000000000001</v>
      </c>
      <c r="D210" s="86"/>
      <c r="E210" s="87">
        <f>E203*7%</f>
        <v>14613585.000000002</v>
      </c>
      <c r="F210" s="103">
        <f>SUM(F211:F216)</f>
        <v>1308.4000000000001</v>
      </c>
      <c r="G210" s="86"/>
      <c r="H210" s="87">
        <f>SUM(H211:H216)</f>
        <v>20988916.666666664</v>
      </c>
      <c r="I210" s="87"/>
      <c r="J210" s="88"/>
      <c r="K210" s="88"/>
      <c r="L210" s="88"/>
      <c r="M210" s="88"/>
      <c r="N210" s="95"/>
    </row>
    <row r="211" spans="1:15" ht="17.25" customHeight="1">
      <c r="A211" s="90"/>
      <c r="B211" s="100" t="s">
        <v>116</v>
      </c>
      <c r="C211" s="174">
        <f>25.06</f>
        <v>25.06</v>
      </c>
      <c r="D211" s="176">
        <v>7.0000000000000007E-2</v>
      </c>
      <c r="E211" s="94">
        <f>E204*D211</f>
        <v>285057.5</v>
      </c>
      <c r="F211" s="174">
        <f>25.06</f>
        <v>25.06</v>
      </c>
      <c r="G211" s="176">
        <v>7.0000000000000007E-2</v>
      </c>
      <c r="H211" s="94">
        <f>H204*G211</f>
        <v>402004.16666666669</v>
      </c>
      <c r="I211" s="94"/>
      <c r="J211" s="93"/>
      <c r="K211" s="93"/>
      <c r="L211" s="93"/>
      <c r="M211" s="93"/>
      <c r="N211" s="787" t="s">
        <v>105</v>
      </c>
    </row>
    <row r="212" spans="1:15" ht="17.25" customHeight="1">
      <c r="A212" s="90"/>
      <c r="B212" s="100" t="s">
        <v>115</v>
      </c>
      <c r="C212" s="174">
        <f>4.46</f>
        <v>4.46</v>
      </c>
      <c r="D212" s="176">
        <v>7.0000000000000007E-2</v>
      </c>
      <c r="E212" s="94">
        <f t="shared" ref="E212:E216" si="40">E205*D212</f>
        <v>50732.500000000007</v>
      </c>
      <c r="F212" s="174">
        <f>4.46</f>
        <v>4.46</v>
      </c>
      <c r="G212" s="176">
        <v>7.0000000000000007E-2</v>
      </c>
      <c r="H212" s="94">
        <f t="shared" ref="H212:H216" si="41">H205*G212</f>
        <v>71545.833333333343</v>
      </c>
      <c r="I212" s="94"/>
      <c r="J212" s="93"/>
      <c r="K212" s="93"/>
      <c r="L212" s="93"/>
      <c r="M212" s="93"/>
      <c r="N212" s="793"/>
    </row>
    <row r="213" spans="1:15" ht="17.25" customHeight="1">
      <c r="A213" s="90"/>
      <c r="B213" s="100" t="s">
        <v>111</v>
      </c>
      <c r="C213" s="174">
        <f>297.55</f>
        <v>297.55</v>
      </c>
      <c r="D213" s="176">
        <v>7.0000000000000007E-2</v>
      </c>
      <c r="E213" s="94">
        <f t="shared" si="40"/>
        <v>3384631.2500000005</v>
      </c>
      <c r="F213" s="174">
        <f>297.55</f>
        <v>297.55</v>
      </c>
      <c r="G213" s="176">
        <v>7.0000000000000007E-2</v>
      </c>
      <c r="H213" s="94">
        <f t="shared" si="41"/>
        <v>4773197.916666666</v>
      </c>
      <c r="I213" s="94"/>
      <c r="J213" s="93"/>
      <c r="K213" s="93"/>
      <c r="L213" s="93"/>
      <c r="M213" s="93"/>
      <c r="N213" s="793"/>
    </row>
    <row r="214" spans="1:15" ht="17.25" customHeight="1">
      <c r="A214" s="90"/>
      <c r="B214" s="100" t="s">
        <v>112</v>
      </c>
      <c r="C214" s="174">
        <v>536.64</v>
      </c>
      <c r="D214" s="176">
        <v>7.0000000000000007E-2</v>
      </c>
      <c r="E214" s="94">
        <f t="shared" si="40"/>
        <v>6104280.0000000009</v>
      </c>
      <c r="F214" s="174">
        <v>536.64</v>
      </c>
      <c r="G214" s="176">
        <v>7.0000000000000007E-2</v>
      </c>
      <c r="H214" s="94">
        <f t="shared" si="41"/>
        <v>8608600</v>
      </c>
      <c r="I214" s="94"/>
      <c r="J214" s="93"/>
      <c r="K214" s="93"/>
      <c r="L214" s="93"/>
      <c r="M214" s="93"/>
      <c r="N214" s="793"/>
    </row>
    <row r="215" spans="1:15" ht="17.25" customHeight="1">
      <c r="A215" s="90"/>
      <c r="B215" s="100" t="s">
        <v>113</v>
      </c>
      <c r="C215" s="174">
        <v>290.70999999999998</v>
      </c>
      <c r="D215" s="176">
        <v>7.0000000000000007E-2</v>
      </c>
      <c r="E215" s="94">
        <f t="shared" si="40"/>
        <v>3306826.2500000005</v>
      </c>
      <c r="F215" s="174">
        <v>290.70999999999998</v>
      </c>
      <c r="G215" s="176">
        <v>7.0000000000000007E-2</v>
      </c>
      <c r="H215" s="94">
        <f t="shared" si="41"/>
        <v>4663472.916666667</v>
      </c>
      <c r="I215" s="94"/>
      <c r="J215" s="93"/>
      <c r="K215" s="93"/>
      <c r="L215" s="93"/>
      <c r="M215" s="93"/>
      <c r="N215" s="793"/>
    </row>
    <row r="216" spans="1:15" ht="17.25" customHeight="1">
      <c r="A216" s="136"/>
      <c r="B216" s="137" t="s">
        <v>117</v>
      </c>
      <c r="C216" s="138">
        <v>153.97999999999999</v>
      </c>
      <c r="D216" s="194">
        <v>7.0000000000000007E-2</v>
      </c>
      <c r="E216" s="139">
        <f t="shared" si="40"/>
        <v>1482057.5000000002</v>
      </c>
      <c r="F216" s="138">
        <v>153.97999999999999</v>
      </c>
      <c r="G216" s="194">
        <v>7.0000000000000007E-2</v>
      </c>
      <c r="H216" s="139">
        <f t="shared" si="41"/>
        <v>2470095.833333333</v>
      </c>
      <c r="I216" s="139"/>
      <c r="J216" s="140"/>
      <c r="K216" s="140"/>
      <c r="L216" s="140"/>
      <c r="M216" s="140"/>
      <c r="N216" s="794"/>
    </row>
    <row r="217" spans="1:15" s="188" customFormat="1" ht="17.25" customHeight="1">
      <c r="A217" s="184" t="s">
        <v>49</v>
      </c>
      <c r="B217" s="185" t="s">
        <v>47</v>
      </c>
      <c r="C217" s="141">
        <f>C218+C229</f>
        <v>1812.01</v>
      </c>
      <c r="D217" s="142"/>
      <c r="E217" s="186">
        <f>E218+E229</f>
        <v>367453988.75</v>
      </c>
      <c r="F217" s="141">
        <f>F218+F229</f>
        <v>1812.01</v>
      </c>
      <c r="G217" s="214"/>
      <c r="H217" s="186">
        <f>H218+H229</f>
        <v>247641780.83333331</v>
      </c>
      <c r="I217" s="186">
        <f>I218+I229</f>
        <v>615095999.58333325</v>
      </c>
      <c r="J217" s="215">
        <v>747000000</v>
      </c>
      <c r="K217" s="186">
        <f>K218+K229</f>
        <v>131904000.41666675</v>
      </c>
      <c r="L217" s="186">
        <v>131904000</v>
      </c>
      <c r="M217" s="146">
        <v>0</v>
      </c>
      <c r="N217" s="216"/>
      <c r="O217" s="188" t="s">
        <v>92</v>
      </c>
    </row>
    <row r="218" spans="1:15" ht="17.25" customHeight="1">
      <c r="A218" s="81" t="s">
        <v>1</v>
      </c>
      <c r="B218" s="82" t="s">
        <v>74</v>
      </c>
      <c r="C218" s="76">
        <f>C219+C228</f>
        <v>30</v>
      </c>
      <c r="D218" s="77"/>
      <c r="E218" s="79">
        <f>E219+E228</f>
        <v>57607000</v>
      </c>
      <c r="F218" s="76">
        <f>C218</f>
        <v>30</v>
      </c>
      <c r="G218" s="77"/>
      <c r="H218" s="217">
        <f>H219+H228</f>
        <v>0</v>
      </c>
      <c r="I218" s="79">
        <f>I219+I228</f>
        <v>57607000</v>
      </c>
      <c r="J218" s="79">
        <f>J219+J228</f>
        <v>175000000</v>
      </c>
      <c r="K218" s="79">
        <f>K219+K228</f>
        <v>117393000</v>
      </c>
      <c r="L218" s="79"/>
      <c r="M218" s="79"/>
      <c r="N218" s="80"/>
    </row>
    <row r="219" spans="1:15" ht="17.25" customHeight="1">
      <c r="A219" s="81">
        <v>1</v>
      </c>
      <c r="B219" s="82" t="s">
        <v>75</v>
      </c>
      <c r="C219" s="76"/>
      <c r="D219" s="79"/>
      <c r="E219" s="217">
        <f>E220+'Biểu 01b'!E100</f>
        <v>0</v>
      </c>
      <c r="F219" s="76"/>
      <c r="G219" s="79"/>
      <c r="H219" s="217">
        <f>H220+H224</f>
        <v>0</v>
      </c>
      <c r="I219" s="217">
        <f>I220+I224</f>
        <v>0</v>
      </c>
      <c r="J219" s="79"/>
      <c r="K219" s="79"/>
      <c r="L219" s="79"/>
      <c r="M219" s="79"/>
      <c r="N219" s="80"/>
    </row>
    <row r="220" spans="1:15" ht="17.25" customHeight="1">
      <c r="A220" s="83" t="s">
        <v>7</v>
      </c>
      <c r="B220" s="84" t="s">
        <v>76</v>
      </c>
      <c r="C220" s="85"/>
      <c r="D220" s="86"/>
      <c r="E220" s="211">
        <f>E221+E222+E223</f>
        <v>0</v>
      </c>
      <c r="F220" s="85"/>
      <c r="G220" s="86"/>
      <c r="H220" s="211">
        <f>H221+H222+H223</f>
        <v>0</v>
      </c>
      <c r="I220" s="211">
        <f t="shared" ref="I220:I231" si="42">E220+H220</f>
        <v>0</v>
      </c>
      <c r="J220" s="88"/>
      <c r="K220" s="88"/>
      <c r="L220" s="88"/>
      <c r="M220" s="88"/>
      <c r="N220" s="89"/>
    </row>
    <row r="221" spans="1:15" ht="15.75" hidden="1" customHeight="1">
      <c r="A221" s="90"/>
      <c r="B221" s="173" t="s">
        <v>79</v>
      </c>
      <c r="C221" s="92"/>
      <c r="D221" s="93">
        <v>300</v>
      </c>
      <c r="E221" s="218">
        <f>C220*D221*6.5</f>
        <v>0</v>
      </c>
      <c r="F221" s="92"/>
      <c r="G221" s="93">
        <v>500</v>
      </c>
      <c r="H221" s="218">
        <f>F220*G221*5.5</f>
        <v>0</v>
      </c>
      <c r="I221" s="218">
        <f t="shared" si="42"/>
        <v>0</v>
      </c>
      <c r="J221" s="93"/>
      <c r="K221" s="93"/>
      <c r="L221" s="93"/>
      <c r="M221" s="93"/>
      <c r="N221" s="99"/>
    </row>
    <row r="222" spans="1:15" ht="15.75" hidden="1" customHeight="1">
      <c r="A222" s="90"/>
      <c r="B222" s="173" t="s">
        <v>81</v>
      </c>
      <c r="C222" s="92"/>
      <c r="D222" s="175"/>
      <c r="E222" s="218"/>
      <c r="F222" s="92"/>
      <c r="G222" s="175"/>
      <c r="H222" s="218"/>
      <c r="I222" s="218">
        <f t="shared" si="42"/>
        <v>0</v>
      </c>
      <c r="J222" s="93"/>
      <c r="K222" s="93"/>
      <c r="L222" s="93"/>
      <c r="M222" s="93"/>
      <c r="N222" s="99"/>
    </row>
    <row r="223" spans="1:15" ht="15.75" hidden="1" customHeight="1">
      <c r="A223" s="90"/>
      <c r="B223" s="173" t="s">
        <v>82</v>
      </c>
      <c r="C223" s="92"/>
      <c r="D223" s="175"/>
      <c r="E223" s="218"/>
      <c r="F223" s="92"/>
      <c r="G223" s="175"/>
      <c r="H223" s="218"/>
      <c r="I223" s="218">
        <f t="shared" si="42"/>
        <v>0</v>
      </c>
      <c r="J223" s="93"/>
      <c r="K223" s="93"/>
      <c r="L223" s="93"/>
      <c r="M223" s="93"/>
      <c r="N223" s="99"/>
    </row>
    <row r="224" spans="1:15" ht="17.25" customHeight="1">
      <c r="A224" s="83" t="s">
        <v>8</v>
      </c>
      <c r="B224" s="84" t="s">
        <v>83</v>
      </c>
      <c r="C224" s="85"/>
      <c r="D224" s="86"/>
      <c r="E224" s="211">
        <f>E225+E226+E227</f>
        <v>0</v>
      </c>
      <c r="F224" s="85"/>
      <c r="G224" s="86"/>
      <c r="H224" s="211">
        <f>H225+H226+H227</f>
        <v>0</v>
      </c>
      <c r="I224" s="211">
        <f t="shared" si="42"/>
        <v>0</v>
      </c>
      <c r="J224" s="88"/>
      <c r="K224" s="88"/>
      <c r="L224" s="88"/>
      <c r="M224" s="88"/>
      <c r="N224" s="89"/>
    </row>
    <row r="225" spans="1:14" ht="15.75" hidden="1" customHeight="1">
      <c r="A225" s="90"/>
      <c r="B225" s="173" t="s">
        <v>79</v>
      </c>
      <c r="C225" s="92"/>
      <c r="D225" s="93">
        <v>300</v>
      </c>
      <c r="E225" s="93">
        <f>C224*D225*6.5</f>
        <v>0</v>
      </c>
      <c r="F225" s="92"/>
      <c r="G225" s="93">
        <v>500</v>
      </c>
      <c r="H225" s="93">
        <f>F224*G225*5.5</f>
        <v>0</v>
      </c>
      <c r="I225" s="93">
        <f t="shared" si="42"/>
        <v>0</v>
      </c>
      <c r="J225" s="93"/>
      <c r="K225" s="93"/>
      <c r="L225" s="93"/>
      <c r="M225" s="93"/>
      <c r="N225" s="99"/>
    </row>
    <row r="226" spans="1:14" ht="15.75" hidden="1" customHeight="1">
      <c r="A226" s="90"/>
      <c r="B226" s="173" t="s">
        <v>81</v>
      </c>
      <c r="C226" s="92"/>
      <c r="D226" s="175"/>
      <c r="E226" s="93"/>
      <c r="F226" s="92"/>
      <c r="G226" s="175"/>
      <c r="H226" s="93"/>
      <c r="I226" s="93">
        <f t="shared" si="42"/>
        <v>0</v>
      </c>
      <c r="J226" s="93"/>
      <c r="K226" s="93"/>
      <c r="L226" s="93"/>
      <c r="M226" s="93"/>
      <c r="N226" s="99"/>
    </row>
    <row r="227" spans="1:14" ht="15.75" hidden="1" customHeight="1">
      <c r="A227" s="90"/>
      <c r="B227" s="173" t="s">
        <v>82</v>
      </c>
      <c r="C227" s="92"/>
      <c r="D227" s="175"/>
      <c r="E227" s="93"/>
      <c r="F227" s="92"/>
      <c r="G227" s="175"/>
      <c r="H227" s="93"/>
      <c r="I227" s="93">
        <f t="shared" si="42"/>
        <v>0</v>
      </c>
      <c r="J227" s="93"/>
      <c r="K227" s="93"/>
      <c r="L227" s="93"/>
      <c r="M227" s="93"/>
      <c r="N227" s="99"/>
    </row>
    <row r="228" spans="1:14" ht="17.25" customHeight="1">
      <c r="A228" s="81">
        <v>2</v>
      </c>
      <c r="B228" s="82" t="s">
        <v>96</v>
      </c>
      <c r="C228" s="76">
        <v>30</v>
      </c>
      <c r="D228" s="93"/>
      <c r="E228" s="78">
        <v>57607000</v>
      </c>
      <c r="F228" s="76">
        <f>C228</f>
        <v>30</v>
      </c>
      <c r="G228" s="77"/>
      <c r="H228" s="217">
        <f>F228*G228</f>
        <v>0</v>
      </c>
      <c r="I228" s="79">
        <f t="shared" si="42"/>
        <v>57607000</v>
      </c>
      <c r="J228" s="78">
        <v>175000000</v>
      </c>
      <c r="K228" s="79">
        <f>J228-I228</f>
        <v>117393000</v>
      </c>
      <c r="L228" s="79"/>
      <c r="M228" s="79"/>
      <c r="N228" s="89"/>
    </row>
    <row r="229" spans="1:14" ht="36.75" customHeight="1">
      <c r="A229" s="81" t="s">
        <v>5</v>
      </c>
      <c r="B229" s="82" t="s">
        <v>89</v>
      </c>
      <c r="C229" s="76">
        <f>C230+C253</f>
        <v>1782.01</v>
      </c>
      <c r="D229" s="77"/>
      <c r="E229" s="79">
        <f>E231+E243+E253</f>
        <v>309846988.75</v>
      </c>
      <c r="F229" s="76">
        <f>F230+F253</f>
        <v>1782.01</v>
      </c>
      <c r="G229" s="77"/>
      <c r="H229" s="79">
        <f>H231+H243+H253</f>
        <v>247641780.83333331</v>
      </c>
      <c r="I229" s="79">
        <f>E229+H229+230</f>
        <v>557488999.58333325</v>
      </c>
      <c r="J229" s="78">
        <v>572000000</v>
      </c>
      <c r="K229" s="79">
        <f>J229-I229</f>
        <v>14511000.416666746</v>
      </c>
      <c r="L229" s="79"/>
      <c r="M229" s="79"/>
      <c r="N229" s="80"/>
    </row>
    <row r="230" spans="1:14" ht="17.25" customHeight="1">
      <c r="A230" s="81">
        <v>1</v>
      </c>
      <c r="B230" s="82" t="s">
        <v>75</v>
      </c>
      <c r="C230" s="76">
        <f>C231+C243</f>
        <v>1102.98</v>
      </c>
      <c r="D230" s="77"/>
      <c r="E230" s="79">
        <f>E231+E243</f>
        <v>191780647.5</v>
      </c>
      <c r="F230" s="76">
        <f>F231+F243</f>
        <v>1102.98</v>
      </c>
      <c r="G230" s="77"/>
      <c r="H230" s="79">
        <f>H231+H243</f>
        <v>81137966.25</v>
      </c>
      <c r="I230" s="79">
        <f t="shared" si="42"/>
        <v>272918613.75</v>
      </c>
      <c r="J230" s="79"/>
      <c r="K230" s="79"/>
      <c r="L230" s="79"/>
      <c r="M230" s="79"/>
      <c r="N230" s="80"/>
    </row>
    <row r="231" spans="1:14" ht="17.25" customHeight="1">
      <c r="A231" s="83" t="s">
        <v>7</v>
      </c>
      <c r="B231" s="84" t="s">
        <v>76</v>
      </c>
      <c r="C231" s="85">
        <f>C232</f>
        <v>876.43000000000006</v>
      </c>
      <c r="D231" s="86"/>
      <c r="E231" s="88">
        <f>E232+E237</f>
        <v>152389266.25</v>
      </c>
      <c r="F231" s="85">
        <f>F232</f>
        <v>876.43000000000006</v>
      </c>
      <c r="G231" s="86"/>
      <c r="H231" s="88">
        <f>H232+H237</f>
        <v>64472381.875</v>
      </c>
      <c r="I231" s="88">
        <f t="shared" si="42"/>
        <v>216861648.125</v>
      </c>
      <c r="J231" s="88"/>
      <c r="K231" s="88"/>
      <c r="L231" s="88"/>
      <c r="M231" s="88"/>
      <c r="N231" s="95"/>
    </row>
    <row r="232" spans="1:14" s="171" customFormat="1" ht="17.25" customHeight="1">
      <c r="A232" s="83" t="s">
        <v>18</v>
      </c>
      <c r="B232" s="84" t="s">
        <v>79</v>
      </c>
      <c r="C232" s="85">
        <f>SUM(C233:C236)</f>
        <v>876.43000000000006</v>
      </c>
      <c r="D232" s="86"/>
      <c r="E232" s="88">
        <f>SUM(E233:E236)</f>
        <v>142419875</v>
      </c>
      <c r="F232" s="85">
        <f>SUM(F233:F236)</f>
        <v>876.43000000000006</v>
      </c>
      <c r="G232" s="86"/>
      <c r="H232" s="88">
        <f>SUM(H233:H236)</f>
        <v>60254562.5</v>
      </c>
      <c r="I232" s="88"/>
      <c r="J232" s="88"/>
      <c r="K232" s="88"/>
      <c r="L232" s="88"/>
      <c r="M232" s="88"/>
      <c r="N232" s="95"/>
    </row>
    <row r="233" spans="1:14" ht="17.25" customHeight="1">
      <c r="A233" s="90"/>
      <c r="B233" s="173" t="s">
        <v>118</v>
      </c>
      <c r="C233" s="92">
        <v>335.42</v>
      </c>
      <c r="D233" s="98">
        <v>300000</v>
      </c>
      <c r="E233" s="94">
        <f>C233*D233/12*6.5</f>
        <v>54505750</v>
      </c>
      <c r="F233" s="92">
        <v>335.42</v>
      </c>
      <c r="G233" s="93">
        <v>150000</v>
      </c>
      <c r="H233" s="94">
        <f>F233*G233/12*5.5</f>
        <v>23060125</v>
      </c>
      <c r="I233" s="93"/>
      <c r="J233" s="93"/>
      <c r="K233" s="93"/>
      <c r="L233" s="93"/>
      <c r="M233" s="93"/>
      <c r="N233" s="787" t="s">
        <v>98</v>
      </c>
    </row>
    <row r="234" spans="1:14" ht="17.25" customHeight="1">
      <c r="A234" s="90"/>
      <c r="B234" s="173" t="s">
        <v>119</v>
      </c>
      <c r="C234" s="92">
        <v>104.92</v>
      </c>
      <c r="D234" s="98">
        <v>300000</v>
      </c>
      <c r="E234" s="94">
        <f t="shared" ref="E234:E236" si="43">C234*D234/12*6.5</f>
        <v>17049500</v>
      </c>
      <c r="F234" s="92">
        <v>104.92</v>
      </c>
      <c r="G234" s="93">
        <v>150000</v>
      </c>
      <c r="H234" s="94">
        <f t="shared" ref="H234:H236" si="44">F234*G234/12*5.5</f>
        <v>7213250</v>
      </c>
      <c r="I234" s="93"/>
      <c r="J234" s="93"/>
      <c r="K234" s="93"/>
      <c r="L234" s="93"/>
      <c r="M234" s="93"/>
      <c r="N234" s="793"/>
    </row>
    <row r="235" spans="1:14" ht="17.25" customHeight="1">
      <c r="A235" s="90"/>
      <c r="B235" s="173" t="s">
        <v>120</v>
      </c>
      <c r="C235" s="92">
        <v>369.56</v>
      </c>
      <c r="D235" s="98">
        <v>300000</v>
      </c>
      <c r="E235" s="94">
        <f t="shared" si="43"/>
        <v>60053500</v>
      </c>
      <c r="F235" s="92">
        <v>369.56</v>
      </c>
      <c r="G235" s="93">
        <v>150000</v>
      </c>
      <c r="H235" s="94">
        <f t="shared" si="44"/>
        <v>25407250</v>
      </c>
      <c r="I235" s="93"/>
      <c r="J235" s="93"/>
      <c r="K235" s="93"/>
      <c r="L235" s="93"/>
      <c r="M235" s="93"/>
      <c r="N235" s="793"/>
    </row>
    <row r="236" spans="1:14" ht="17.25" customHeight="1">
      <c r="A236" s="90"/>
      <c r="B236" s="173" t="s">
        <v>121</v>
      </c>
      <c r="C236" s="92">
        <v>66.53</v>
      </c>
      <c r="D236" s="98">
        <v>300000</v>
      </c>
      <c r="E236" s="94">
        <f t="shared" si="43"/>
        <v>10811125</v>
      </c>
      <c r="F236" s="92">
        <v>66.53</v>
      </c>
      <c r="G236" s="93">
        <v>150000</v>
      </c>
      <c r="H236" s="94">
        <f t="shared" si="44"/>
        <v>4573937.5</v>
      </c>
      <c r="I236" s="93"/>
      <c r="J236" s="93"/>
      <c r="K236" s="93"/>
      <c r="L236" s="93"/>
      <c r="M236" s="93"/>
      <c r="N236" s="788"/>
    </row>
    <row r="237" spans="1:14" s="171" customFormat="1" ht="17.25" customHeight="1">
      <c r="A237" s="83" t="s">
        <v>18</v>
      </c>
      <c r="B237" s="84" t="s">
        <v>81</v>
      </c>
      <c r="C237" s="85">
        <f>SUM(C238:C241)</f>
        <v>876.43000000000006</v>
      </c>
      <c r="D237" s="191"/>
      <c r="E237" s="88">
        <f>SUM(E238:E241)</f>
        <v>9969391.25</v>
      </c>
      <c r="F237" s="85">
        <f>SUM(F238:F241)</f>
        <v>876.43000000000006</v>
      </c>
      <c r="G237" s="191"/>
      <c r="H237" s="88">
        <f>SUM(H238:H241)</f>
        <v>4217819.3750000009</v>
      </c>
      <c r="I237" s="88"/>
      <c r="J237" s="88"/>
      <c r="K237" s="88"/>
      <c r="L237" s="88"/>
      <c r="M237" s="88"/>
      <c r="N237" s="95"/>
    </row>
    <row r="238" spans="1:14" ht="17.25" customHeight="1">
      <c r="A238" s="90"/>
      <c r="B238" s="173" t="s">
        <v>118</v>
      </c>
      <c r="C238" s="92">
        <v>335.42</v>
      </c>
      <c r="D238" s="176">
        <v>7.0000000000000007E-2</v>
      </c>
      <c r="E238" s="93">
        <f>E233*D238</f>
        <v>3815402.5000000005</v>
      </c>
      <c r="F238" s="92">
        <v>335.42</v>
      </c>
      <c r="G238" s="176">
        <v>7.0000000000000007E-2</v>
      </c>
      <c r="H238" s="93">
        <f>H233*G238</f>
        <v>1614208.7500000002</v>
      </c>
      <c r="I238" s="93"/>
      <c r="J238" s="93"/>
      <c r="K238" s="93"/>
      <c r="L238" s="93"/>
      <c r="M238" s="93"/>
      <c r="N238" s="787" t="s">
        <v>101</v>
      </c>
    </row>
    <row r="239" spans="1:14" ht="17.25" customHeight="1">
      <c r="A239" s="90"/>
      <c r="B239" s="173" t="s">
        <v>119</v>
      </c>
      <c r="C239" s="92">
        <v>104.92</v>
      </c>
      <c r="D239" s="176">
        <v>7.0000000000000007E-2</v>
      </c>
      <c r="E239" s="93">
        <f t="shared" ref="E239:E241" si="45">E234*D239</f>
        <v>1193465</v>
      </c>
      <c r="F239" s="92">
        <v>104.92</v>
      </c>
      <c r="G239" s="176">
        <v>7.0000000000000007E-2</v>
      </c>
      <c r="H239" s="93">
        <f t="shared" ref="H239:H241" si="46">H234*G239</f>
        <v>504927.50000000006</v>
      </c>
      <c r="I239" s="93"/>
      <c r="J239" s="93"/>
      <c r="K239" s="93"/>
      <c r="L239" s="93"/>
      <c r="M239" s="93"/>
      <c r="N239" s="793"/>
    </row>
    <row r="240" spans="1:14" ht="17.25" customHeight="1">
      <c r="A240" s="90"/>
      <c r="B240" s="173" t="s">
        <v>120</v>
      </c>
      <c r="C240" s="92">
        <v>369.56</v>
      </c>
      <c r="D240" s="176">
        <v>7.0000000000000007E-2</v>
      </c>
      <c r="E240" s="93">
        <f t="shared" si="45"/>
        <v>4203745</v>
      </c>
      <c r="F240" s="92">
        <v>369.56</v>
      </c>
      <c r="G240" s="176">
        <v>7.0000000000000007E-2</v>
      </c>
      <c r="H240" s="93">
        <f t="shared" si="46"/>
        <v>1778507.5000000002</v>
      </c>
      <c r="I240" s="93"/>
      <c r="J240" s="93"/>
      <c r="K240" s="93"/>
      <c r="L240" s="93"/>
      <c r="M240" s="93"/>
      <c r="N240" s="793"/>
    </row>
    <row r="241" spans="1:14" ht="17.25" customHeight="1">
      <c r="A241" s="90"/>
      <c r="B241" s="173" t="s">
        <v>121</v>
      </c>
      <c r="C241" s="92">
        <v>66.53</v>
      </c>
      <c r="D241" s="176">
        <v>7.0000000000000007E-2</v>
      </c>
      <c r="E241" s="93">
        <f t="shared" si="45"/>
        <v>756778.75000000012</v>
      </c>
      <c r="F241" s="92">
        <v>66.53</v>
      </c>
      <c r="G241" s="176">
        <v>7.0000000000000007E-2</v>
      </c>
      <c r="H241" s="93">
        <f t="shared" si="46"/>
        <v>320175.62500000006</v>
      </c>
      <c r="I241" s="93"/>
      <c r="J241" s="93"/>
      <c r="K241" s="93"/>
      <c r="L241" s="93"/>
      <c r="M241" s="93"/>
      <c r="N241" s="788"/>
    </row>
    <row r="242" spans="1:14" ht="17.25" customHeight="1">
      <c r="A242" s="90"/>
      <c r="B242" s="173" t="s">
        <v>82</v>
      </c>
      <c r="C242" s="92"/>
      <c r="D242" s="175"/>
      <c r="E242" s="93"/>
      <c r="F242" s="92"/>
      <c r="G242" s="175"/>
      <c r="H242" s="93"/>
      <c r="I242" s="93"/>
      <c r="J242" s="93"/>
      <c r="K242" s="93"/>
      <c r="L242" s="93"/>
      <c r="M242" s="93"/>
      <c r="N242" s="99"/>
    </row>
    <row r="243" spans="1:14" ht="17.25" customHeight="1">
      <c r="A243" s="83" t="s">
        <v>8</v>
      </c>
      <c r="B243" s="84" t="s">
        <v>83</v>
      </c>
      <c r="C243" s="85">
        <v>226.55</v>
      </c>
      <c r="D243" s="86"/>
      <c r="E243" s="88">
        <f>E244+E248</f>
        <v>39391381.25</v>
      </c>
      <c r="F243" s="85">
        <f>F244</f>
        <v>226.55</v>
      </c>
      <c r="G243" s="86"/>
      <c r="H243" s="88">
        <f>H244+H248</f>
        <v>16665584.375</v>
      </c>
      <c r="I243" s="88">
        <f>E243+H243</f>
        <v>56056965.625</v>
      </c>
      <c r="J243" s="88"/>
      <c r="K243" s="88"/>
      <c r="L243" s="88"/>
      <c r="M243" s="88"/>
      <c r="N243" s="95"/>
    </row>
    <row r="244" spans="1:14" s="171" customFormat="1" ht="17.25" customHeight="1">
      <c r="A244" s="83" t="s">
        <v>18</v>
      </c>
      <c r="B244" s="84" t="s">
        <v>79</v>
      </c>
      <c r="C244" s="85">
        <f>SUM(C245:C247)</f>
        <v>226.55</v>
      </c>
      <c r="D244" s="86"/>
      <c r="E244" s="88">
        <f>SUM(E245:E247)</f>
        <v>36814375</v>
      </c>
      <c r="F244" s="85">
        <f>SUM(F245:F247)</f>
        <v>226.55</v>
      </c>
      <c r="G244" s="86"/>
      <c r="H244" s="88">
        <f>SUM(H245:H247)</f>
        <v>15575312.5</v>
      </c>
      <c r="I244" s="88"/>
      <c r="J244" s="88"/>
      <c r="K244" s="88"/>
      <c r="L244" s="88"/>
      <c r="M244" s="88"/>
      <c r="N244" s="95"/>
    </row>
    <row r="245" spans="1:14" ht="17.25" customHeight="1">
      <c r="A245" s="90"/>
      <c r="B245" s="173" t="s">
        <v>118</v>
      </c>
      <c r="C245" s="92">
        <v>131.97</v>
      </c>
      <c r="D245" s="98">
        <v>300000</v>
      </c>
      <c r="E245" s="94">
        <f>C245*D245/12*6.5</f>
        <v>21445125</v>
      </c>
      <c r="F245" s="92">
        <v>131.97</v>
      </c>
      <c r="G245" s="93">
        <v>150000</v>
      </c>
      <c r="H245" s="94">
        <f>F245*G245/12*5.5</f>
        <v>9072937.5</v>
      </c>
      <c r="I245" s="93"/>
      <c r="J245" s="93"/>
      <c r="K245" s="93"/>
      <c r="L245" s="93"/>
      <c r="M245" s="93"/>
      <c r="N245" s="783" t="s">
        <v>109</v>
      </c>
    </row>
    <row r="246" spans="1:14" ht="17.25" customHeight="1">
      <c r="A246" s="90"/>
      <c r="B246" s="173" t="s">
        <v>119</v>
      </c>
      <c r="C246" s="92">
        <v>59.93</v>
      </c>
      <c r="D246" s="98">
        <v>300000</v>
      </c>
      <c r="E246" s="94">
        <f t="shared" ref="E246:E247" si="47">C246*D246/12*6.5</f>
        <v>9738625</v>
      </c>
      <c r="F246" s="92">
        <v>59.93</v>
      </c>
      <c r="G246" s="93">
        <v>150000</v>
      </c>
      <c r="H246" s="94">
        <f t="shared" ref="H246:H247" si="48">F246*G246/12*5.5</f>
        <v>4120187.5</v>
      </c>
      <c r="I246" s="93"/>
      <c r="J246" s="93"/>
      <c r="K246" s="93"/>
      <c r="L246" s="93"/>
      <c r="M246" s="93"/>
      <c r="N246" s="784"/>
    </row>
    <row r="247" spans="1:14" ht="17.25" customHeight="1">
      <c r="A247" s="90"/>
      <c r="B247" s="173" t="s">
        <v>121</v>
      </c>
      <c r="C247" s="92">
        <v>34.65</v>
      </c>
      <c r="D247" s="98">
        <v>300000</v>
      </c>
      <c r="E247" s="94">
        <f t="shared" si="47"/>
        <v>5630625</v>
      </c>
      <c r="F247" s="92">
        <v>34.65</v>
      </c>
      <c r="G247" s="93">
        <v>150000</v>
      </c>
      <c r="H247" s="94">
        <f t="shared" si="48"/>
        <v>2382187.5</v>
      </c>
      <c r="I247" s="93"/>
      <c r="J247" s="93"/>
      <c r="K247" s="93"/>
      <c r="L247" s="93"/>
      <c r="M247" s="93"/>
      <c r="N247" s="784"/>
    </row>
    <row r="248" spans="1:14" s="171" customFormat="1" ht="17.25" customHeight="1">
      <c r="A248" s="83" t="s">
        <v>18</v>
      </c>
      <c r="B248" s="84" t="s">
        <v>81</v>
      </c>
      <c r="C248" s="85">
        <f>SUM(C249:C251)</f>
        <v>226.55</v>
      </c>
      <c r="D248" s="191"/>
      <c r="E248" s="88">
        <f>SUM(E249:E251)</f>
        <v>2577006.2500000005</v>
      </c>
      <c r="F248" s="85">
        <f>SUM(F249:F251)</f>
        <v>226.55</v>
      </c>
      <c r="G248" s="93"/>
      <c r="H248" s="88">
        <f>SUM(H249:H251)</f>
        <v>1090271.8750000002</v>
      </c>
      <c r="I248" s="88"/>
      <c r="J248" s="88"/>
      <c r="K248" s="88"/>
      <c r="L248" s="88"/>
      <c r="M248" s="88"/>
      <c r="N248" s="219"/>
    </row>
    <row r="249" spans="1:14" ht="17.25" customHeight="1">
      <c r="A249" s="90"/>
      <c r="B249" s="173" t="s">
        <v>118</v>
      </c>
      <c r="C249" s="92">
        <v>131.97</v>
      </c>
      <c r="D249" s="176">
        <v>7.0000000000000007E-2</v>
      </c>
      <c r="E249" s="93">
        <f>E245*D249</f>
        <v>1501158.7500000002</v>
      </c>
      <c r="F249" s="92">
        <v>131.97</v>
      </c>
      <c r="G249" s="176">
        <v>7.0000000000000007E-2</v>
      </c>
      <c r="H249" s="93">
        <f>H245*G249</f>
        <v>635105.62500000012</v>
      </c>
      <c r="I249" s="93"/>
      <c r="J249" s="93"/>
      <c r="K249" s="93"/>
      <c r="L249" s="93"/>
      <c r="M249" s="93"/>
      <c r="N249" s="784" t="s">
        <v>105</v>
      </c>
    </row>
    <row r="250" spans="1:14" ht="17.25" customHeight="1">
      <c r="A250" s="90"/>
      <c r="B250" s="173" t="s">
        <v>119</v>
      </c>
      <c r="C250" s="92">
        <v>59.93</v>
      </c>
      <c r="D250" s="176">
        <v>7.0000000000000007E-2</v>
      </c>
      <c r="E250" s="93">
        <f>E246*D250</f>
        <v>681703.75000000012</v>
      </c>
      <c r="F250" s="92">
        <v>59.93</v>
      </c>
      <c r="G250" s="176">
        <v>7.0000000000000007E-2</v>
      </c>
      <c r="H250" s="93">
        <f>H246*G250</f>
        <v>288413.125</v>
      </c>
      <c r="I250" s="93"/>
      <c r="J250" s="93"/>
      <c r="K250" s="93"/>
      <c r="L250" s="93"/>
      <c r="M250" s="93"/>
      <c r="N250" s="784"/>
    </row>
    <row r="251" spans="1:14" ht="17.25" customHeight="1">
      <c r="A251" s="90"/>
      <c r="B251" s="173" t="s">
        <v>121</v>
      </c>
      <c r="C251" s="92">
        <v>34.65</v>
      </c>
      <c r="D251" s="176">
        <v>7.0000000000000007E-2</v>
      </c>
      <c r="E251" s="93">
        <f>E247*D251</f>
        <v>394143.75000000006</v>
      </c>
      <c r="F251" s="92">
        <v>34.65</v>
      </c>
      <c r="G251" s="176">
        <v>7.0000000000000007E-2</v>
      </c>
      <c r="H251" s="93">
        <f>H247*G251</f>
        <v>166753.12500000003</v>
      </c>
      <c r="I251" s="93"/>
      <c r="J251" s="93"/>
      <c r="K251" s="93"/>
      <c r="L251" s="93"/>
      <c r="M251" s="93"/>
      <c r="N251" s="785"/>
    </row>
    <row r="252" spans="1:14" ht="17.25" customHeight="1">
      <c r="A252" s="90"/>
      <c r="B252" s="173" t="s">
        <v>82</v>
      </c>
      <c r="C252" s="92"/>
      <c r="D252" s="175"/>
      <c r="E252" s="93"/>
      <c r="F252" s="92"/>
      <c r="G252" s="175"/>
      <c r="H252" s="93"/>
      <c r="I252" s="93"/>
      <c r="J252" s="93"/>
      <c r="K252" s="93"/>
      <c r="L252" s="93"/>
      <c r="M252" s="93"/>
      <c r="N252" s="99"/>
    </row>
    <row r="253" spans="1:14" ht="36.75" customHeight="1">
      <c r="A253" s="81">
        <v>2</v>
      </c>
      <c r="B253" s="82" t="s">
        <v>90</v>
      </c>
      <c r="C253" s="76">
        <f>C254</f>
        <v>679.03</v>
      </c>
      <c r="D253" s="77"/>
      <c r="E253" s="79">
        <f>E254+E259</f>
        <v>118066341.25</v>
      </c>
      <c r="F253" s="76">
        <f>F254</f>
        <v>679.03</v>
      </c>
      <c r="G253" s="77"/>
      <c r="H253" s="79">
        <f>H254+H259</f>
        <v>166503814.58333331</v>
      </c>
      <c r="I253" s="79">
        <f>E253+H253</f>
        <v>284570155.83333331</v>
      </c>
      <c r="J253" s="79"/>
      <c r="K253" s="79"/>
      <c r="L253" s="79"/>
      <c r="M253" s="79"/>
      <c r="N253" s="80"/>
    </row>
    <row r="254" spans="1:14" s="171" customFormat="1" ht="17.25" customHeight="1">
      <c r="A254" s="83" t="s">
        <v>18</v>
      </c>
      <c r="B254" s="84" t="s">
        <v>79</v>
      </c>
      <c r="C254" s="85">
        <f>SUM(C255:C258)</f>
        <v>679.03</v>
      </c>
      <c r="D254" s="86"/>
      <c r="E254" s="88">
        <f>SUM(E255:E258)</f>
        <v>110342375</v>
      </c>
      <c r="F254" s="85">
        <f>SUM(F255:F258)</f>
        <v>679.03</v>
      </c>
      <c r="G254" s="86"/>
      <c r="H254" s="88">
        <f>SUM(H255:H258)</f>
        <v>155611041.66666666</v>
      </c>
      <c r="I254" s="88"/>
      <c r="J254" s="88"/>
      <c r="K254" s="88"/>
      <c r="L254" s="88"/>
      <c r="M254" s="88"/>
      <c r="N254" s="95"/>
    </row>
    <row r="255" spans="1:14" ht="17.25" customHeight="1">
      <c r="A255" s="90"/>
      <c r="B255" s="173" t="s">
        <v>118</v>
      </c>
      <c r="C255" s="92">
        <v>9.8699999999999992</v>
      </c>
      <c r="D255" s="98">
        <v>300000</v>
      </c>
      <c r="E255" s="94">
        <f>C255*D255/12*6.5</f>
        <v>1603874.9999999998</v>
      </c>
      <c r="F255" s="92">
        <v>9.8699999999999992</v>
      </c>
      <c r="G255" s="93">
        <v>500000</v>
      </c>
      <c r="H255" s="94">
        <f>F255*G255/12*5.5</f>
        <v>2261875</v>
      </c>
      <c r="I255" s="93"/>
      <c r="J255" s="93"/>
      <c r="K255" s="93"/>
      <c r="L255" s="93"/>
      <c r="M255" s="93"/>
      <c r="N255" s="783" t="s">
        <v>102</v>
      </c>
    </row>
    <row r="256" spans="1:14" ht="17.25" customHeight="1">
      <c r="A256" s="90"/>
      <c r="B256" s="173" t="s">
        <v>119</v>
      </c>
      <c r="C256" s="92">
        <v>93.82</v>
      </c>
      <c r="D256" s="98">
        <v>300000</v>
      </c>
      <c r="E256" s="94">
        <f t="shared" ref="E256:E258" si="49">C256*D256/12*6.5</f>
        <v>15245749.999999996</v>
      </c>
      <c r="F256" s="92">
        <v>93.82</v>
      </c>
      <c r="G256" s="93">
        <v>500000</v>
      </c>
      <c r="H256" s="94">
        <f t="shared" ref="H256:H258" si="50">F256*G256/12*5.5</f>
        <v>21500416.666666664</v>
      </c>
      <c r="I256" s="93"/>
      <c r="J256" s="93"/>
      <c r="K256" s="93"/>
      <c r="L256" s="93"/>
      <c r="M256" s="93"/>
      <c r="N256" s="784"/>
    </row>
    <row r="257" spans="1:15" ht="17.25" customHeight="1">
      <c r="A257" s="90"/>
      <c r="B257" s="173" t="s">
        <v>120</v>
      </c>
      <c r="C257" s="92">
        <v>370</v>
      </c>
      <c r="D257" s="98">
        <v>300000</v>
      </c>
      <c r="E257" s="94">
        <f t="shared" si="49"/>
        <v>60125000</v>
      </c>
      <c r="F257" s="92">
        <v>370</v>
      </c>
      <c r="G257" s="93">
        <v>500000</v>
      </c>
      <c r="H257" s="94">
        <f t="shared" si="50"/>
        <v>84791666.666666657</v>
      </c>
      <c r="I257" s="93"/>
      <c r="J257" s="93"/>
      <c r="K257" s="93"/>
      <c r="L257" s="93"/>
      <c r="M257" s="93"/>
      <c r="N257" s="784"/>
    </row>
    <row r="258" spans="1:15" ht="17.25" customHeight="1">
      <c r="A258" s="90"/>
      <c r="B258" s="173" t="s">
        <v>121</v>
      </c>
      <c r="C258" s="92">
        <v>205.34</v>
      </c>
      <c r="D258" s="98">
        <v>300000</v>
      </c>
      <c r="E258" s="94">
        <f t="shared" si="49"/>
        <v>33367750</v>
      </c>
      <c r="F258" s="92">
        <v>205.34</v>
      </c>
      <c r="G258" s="93">
        <v>500000</v>
      </c>
      <c r="H258" s="94">
        <f t="shared" si="50"/>
        <v>47057083.333333336</v>
      </c>
      <c r="I258" s="93"/>
      <c r="J258" s="93"/>
      <c r="K258" s="93"/>
      <c r="L258" s="93"/>
      <c r="M258" s="93"/>
      <c r="N258" s="785"/>
    </row>
    <row r="259" spans="1:15" s="171" customFormat="1" ht="17.25" customHeight="1">
      <c r="A259" s="83" t="s">
        <v>18</v>
      </c>
      <c r="B259" s="84" t="s">
        <v>81</v>
      </c>
      <c r="C259" s="85">
        <f>SUM(C260:C263)</f>
        <v>679.03</v>
      </c>
      <c r="D259" s="191"/>
      <c r="E259" s="88">
        <f>SUM(E260:E263)</f>
        <v>7723966.25</v>
      </c>
      <c r="F259" s="85">
        <f>SUM(F260:F263)</f>
        <v>679.03</v>
      </c>
      <c r="G259" s="191"/>
      <c r="H259" s="88">
        <f>SUM(H260:H263)</f>
        <v>10892772.916666668</v>
      </c>
      <c r="I259" s="88"/>
      <c r="J259" s="88"/>
      <c r="K259" s="88"/>
      <c r="L259" s="88"/>
      <c r="M259" s="88"/>
      <c r="N259" s="95"/>
    </row>
    <row r="260" spans="1:15" ht="17.25" customHeight="1">
      <c r="A260" s="90"/>
      <c r="B260" s="173" t="s">
        <v>118</v>
      </c>
      <c r="C260" s="92">
        <v>9.8699999999999992</v>
      </c>
      <c r="D260" s="176">
        <v>7.0000000000000007E-2</v>
      </c>
      <c r="E260" s="93">
        <f>E255*D260</f>
        <v>112271.25</v>
      </c>
      <c r="F260" s="92">
        <v>9.8699999999999992</v>
      </c>
      <c r="G260" s="176">
        <v>7.0000000000000007E-2</v>
      </c>
      <c r="H260" s="93">
        <f>H255*G260</f>
        <v>158331.25000000003</v>
      </c>
      <c r="I260" s="93"/>
      <c r="J260" s="93"/>
      <c r="K260" s="93"/>
      <c r="L260" s="93"/>
      <c r="M260" s="93"/>
      <c r="N260" s="783" t="s">
        <v>105</v>
      </c>
    </row>
    <row r="261" spans="1:15" ht="17.25" customHeight="1">
      <c r="A261" s="90"/>
      <c r="B261" s="173" t="s">
        <v>119</v>
      </c>
      <c r="C261" s="92">
        <v>93.82</v>
      </c>
      <c r="D261" s="176">
        <v>7.0000000000000007E-2</v>
      </c>
      <c r="E261" s="93">
        <f t="shared" ref="E261:E263" si="51">E256*D261</f>
        <v>1067202.4999999998</v>
      </c>
      <c r="F261" s="92">
        <v>93.82</v>
      </c>
      <c r="G261" s="176">
        <v>7.0000000000000007E-2</v>
      </c>
      <c r="H261" s="93">
        <f t="shared" ref="H261:H263" si="52">H256*G261</f>
        <v>1505029.1666666667</v>
      </c>
      <c r="I261" s="93"/>
      <c r="J261" s="93"/>
      <c r="K261" s="93"/>
      <c r="L261" s="93"/>
      <c r="M261" s="93"/>
      <c r="N261" s="784"/>
    </row>
    <row r="262" spans="1:15" ht="17.25" customHeight="1">
      <c r="A262" s="90"/>
      <c r="B262" s="173" t="s">
        <v>120</v>
      </c>
      <c r="C262" s="92">
        <v>370</v>
      </c>
      <c r="D262" s="176">
        <v>7.0000000000000007E-2</v>
      </c>
      <c r="E262" s="93">
        <f t="shared" si="51"/>
        <v>4208750</v>
      </c>
      <c r="F262" s="92">
        <v>370</v>
      </c>
      <c r="G262" s="176">
        <v>7.0000000000000007E-2</v>
      </c>
      <c r="H262" s="93">
        <f t="shared" si="52"/>
        <v>5935416.666666667</v>
      </c>
      <c r="I262" s="93"/>
      <c r="J262" s="93"/>
      <c r="K262" s="93"/>
      <c r="L262" s="93"/>
      <c r="M262" s="93"/>
      <c r="N262" s="784"/>
    </row>
    <row r="263" spans="1:15" ht="17.25" customHeight="1">
      <c r="A263" s="136"/>
      <c r="B263" s="212" t="s">
        <v>121</v>
      </c>
      <c r="C263" s="193">
        <v>205.34</v>
      </c>
      <c r="D263" s="194">
        <v>7.0000000000000007E-2</v>
      </c>
      <c r="E263" s="140">
        <f t="shared" si="51"/>
        <v>2335742.5</v>
      </c>
      <c r="F263" s="193">
        <v>205.34</v>
      </c>
      <c r="G263" s="194">
        <v>7.0000000000000007E-2</v>
      </c>
      <c r="H263" s="140">
        <f t="shared" si="52"/>
        <v>3293995.833333334</v>
      </c>
      <c r="I263" s="140"/>
      <c r="J263" s="140"/>
      <c r="K263" s="140"/>
      <c r="L263" s="140"/>
      <c r="M263" s="140"/>
      <c r="N263" s="786"/>
    </row>
    <row r="264" spans="1:15" s="188" customFormat="1" ht="17.25" customHeight="1">
      <c r="A264" s="184" t="s">
        <v>50</v>
      </c>
      <c r="B264" s="185" t="s">
        <v>122</v>
      </c>
      <c r="C264" s="141">
        <f>C265+C289</f>
        <v>1778.12</v>
      </c>
      <c r="D264" s="142"/>
      <c r="E264" s="143">
        <f>E265+E289</f>
        <v>378083782.91666663</v>
      </c>
      <c r="F264" s="144">
        <f t="shared" ref="F264" si="53">F265+F289</f>
        <v>1778.12</v>
      </c>
      <c r="G264" s="145"/>
      <c r="H264" s="143">
        <f>H265+H289</f>
        <v>358485732.91666675</v>
      </c>
      <c r="I264" s="143">
        <f>I265+I289</f>
        <v>736569999.83333325</v>
      </c>
      <c r="J264" s="143">
        <v>716000000</v>
      </c>
      <c r="K264" s="143">
        <f>K265+K289</f>
        <v>-20569999.833333313</v>
      </c>
      <c r="L264" s="146">
        <v>0</v>
      </c>
      <c r="M264" s="143">
        <v>20570000</v>
      </c>
      <c r="N264" s="220"/>
      <c r="O264" s="188" t="s">
        <v>92</v>
      </c>
    </row>
    <row r="265" spans="1:15" ht="17.25" customHeight="1">
      <c r="A265" s="81" t="s">
        <v>1</v>
      </c>
      <c r="B265" s="82" t="s">
        <v>74</v>
      </c>
      <c r="C265" s="76">
        <f>C266+C281</f>
        <v>163.54</v>
      </c>
      <c r="D265" s="77"/>
      <c r="E265" s="78">
        <f>E266+E281</f>
        <v>100414134.16666666</v>
      </c>
      <c r="F265" s="102">
        <f>C265</f>
        <v>163.54</v>
      </c>
      <c r="G265" s="129"/>
      <c r="H265" s="78">
        <f>H266+H281</f>
        <v>179973736.25000003</v>
      </c>
      <c r="I265" s="78">
        <f>I266+I281</f>
        <v>280388354.41666669</v>
      </c>
      <c r="J265" s="78">
        <v>197780000</v>
      </c>
      <c r="K265" s="78">
        <f>J265-I265</f>
        <v>-82608354.416666687</v>
      </c>
      <c r="L265" s="78"/>
      <c r="M265" s="78"/>
      <c r="N265" s="80"/>
    </row>
    <row r="266" spans="1:15" ht="17.25" customHeight="1">
      <c r="A266" s="81">
        <v>1</v>
      </c>
      <c r="B266" s="82" t="s">
        <v>75</v>
      </c>
      <c r="C266" s="76">
        <f>C267+C275</f>
        <v>135.13999999999999</v>
      </c>
      <c r="D266" s="79"/>
      <c r="E266" s="78">
        <f>E267+E275</f>
        <v>23497467.5</v>
      </c>
      <c r="F266" s="76">
        <f>F267+F275</f>
        <v>135.13999999999999</v>
      </c>
      <c r="G266" s="79"/>
      <c r="H266" s="78">
        <f>H267+H275</f>
        <v>16807069.583333332</v>
      </c>
      <c r="I266" s="78">
        <f>I267+I275+484</f>
        <v>40305021.083333328</v>
      </c>
      <c r="J266" s="78"/>
      <c r="K266" s="78"/>
      <c r="L266" s="78"/>
      <c r="M266" s="78"/>
      <c r="N266" s="80"/>
    </row>
    <row r="267" spans="1:15" ht="17.25" customHeight="1">
      <c r="A267" s="83" t="s">
        <v>7</v>
      </c>
      <c r="B267" s="84" t="s">
        <v>76</v>
      </c>
      <c r="C267" s="85">
        <f>C268</f>
        <v>120.14</v>
      </c>
      <c r="D267" s="86"/>
      <c r="E267" s="87">
        <f>E268+E271+E274</f>
        <v>20889342.5</v>
      </c>
      <c r="F267" s="85">
        <f>F268</f>
        <v>120.14</v>
      </c>
      <c r="G267" s="86"/>
      <c r="H267" s="87">
        <f>H268+H271+H274</f>
        <v>13128944.583333332</v>
      </c>
      <c r="I267" s="87">
        <f>I268+I271+I274</f>
        <v>34018287.083333328</v>
      </c>
      <c r="J267" s="87"/>
      <c r="K267" s="87"/>
      <c r="L267" s="87"/>
      <c r="M267" s="87"/>
      <c r="N267" s="89"/>
    </row>
    <row r="268" spans="1:15" s="171" customFormat="1" ht="17.25" customHeight="1">
      <c r="A268" s="83" t="s">
        <v>18</v>
      </c>
      <c r="B268" s="84" t="s">
        <v>79</v>
      </c>
      <c r="C268" s="85">
        <f>C269+C270</f>
        <v>120.14</v>
      </c>
      <c r="D268" s="88"/>
      <c r="E268" s="87">
        <f>E269+E270</f>
        <v>19522750</v>
      </c>
      <c r="F268" s="85">
        <f>F269+F270</f>
        <v>120.14</v>
      </c>
      <c r="G268" s="88"/>
      <c r="H268" s="87">
        <f>H269+H270</f>
        <v>12270041.666666666</v>
      </c>
      <c r="I268" s="87">
        <f>E268+H268</f>
        <v>31792791.666666664</v>
      </c>
      <c r="J268" s="87"/>
      <c r="K268" s="87"/>
      <c r="L268" s="87"/>
      <c r="M268" s="87"/>
      <c r="N268" s="95"/>
    </row>
    <row r="269" spans="1:15" ht="32.25" customHeight="1">
      <c r="A269" s="90"/>
      <c r="B269" s="104" t="s">
        <v>123</v>
      </c>
      <c r="C269" s="92">
        <v>95.14</v>
      </c>
      <c r="D269" s="93">
        <v>300000</v>
      </c>
      <c r="E269" s="94">
        <f>C269*D269/12*6.5</f>
        <v>15460250</v>
      </c>
      <c r="F269" s="92">
        <v>95.14</v>
      </c>
      <c r="G269" s="93">
        <v>150000</v>
      </c>
      <c r="H269" s="94">
        <f>F269*G269/12*5.5</f>
        <v>6540875</v>
      </c>
      <c r="I269" s="94"/>
      <c r="J269" s="94"/>
      <c r="K269" s="94"/>
      <c r="L269" s="94"/>
      <c r="M269" s="94"/>
      <c r="N269" s="173" t="s">
        <v>98</v>
      </c>
    </row>
    <row r="270" spans="1:15" ht="30" customHeight="1">
      <c r="A270" s="90"/>
      <c r="B270" s="173" t="s">
        <v>124</v>
      </c>
      <c r="C270" s="92">
        <v>25</v>
      </c>
      <c r="D270" s="93">
        <v>300000</v>
      </c>
      <c r="E270" s="94">
        <f>C270*D270/12*6.5</f>
        <v>4062500</v>
      </c>
      <c r="F270" s="92">
        <v>25</v>
      </c>
      <c r="G270" s="93">
        <v>500000</v>
      </c>
      <c r="H270" s="94">
        <f>F270*G270/12*5.5</f>
        <v>5729166.666666666</v>
      </c>
      <c r="I270" s="94"/>
      <c r="J270" s="94"/>
      <c r="K270" s="94"/>
      <c r="L270" s="94"/>
      <c r="M270" s="94"/>
      <c r="N270" s="173" t="s">
        <v>125</v>
      </c>
    </row>
    <row r="271" spans="1:15" s="171" customFormat="1" ht="17.25" customHeight="1">
      <c r="A271" s="83" t="s">
        <v>18</v>
      </c>
      <c r="B271" s="84" t="s">
        <v>81</v>
      </c>
      <c r="C271" s="85">
        <f>C272+C273</f>
        <v>120.14</v>
      </c>
      <c r="D271" s="86"/>
      <c r="E271" s="87">
        <f>E272+E273</f>
        <v>1366592.5</v>
      </c>
      <c r="F271" s="85">
        <f>F272+F273</f>
        <v>120.14</v>
      </c>
      <c r="G271" s="86"/>
      <c r="H271" s="87">
        <f>H272+H273</f>
        <v>858902.91666666674</v>
      </c>
      <c r="I271" s="87">
        <f>E271+H271</f>
        <v>2225495.416666667</v>
      </c>
      <c r="J271" s="87"/>
      <c r="K271" s="87"/>
      <c r="L271" s="87"/>
      <c r="M271" s="87"/>
      <c r="N271" s="221"/>
    </row>
    <row r="272" spans="1:15" ht="17.25" customHeight="1">
      <c r="A272" s="90"/>
      <c r="B272" s="104" t="s">
        <v>123</v>
      </c>
      <c r="C272" s="92">
        <v>95.14</v>
      </c>
      <c r="D272" s="176">
        <v>7.0000000000000007E-2</v>
      </c>
      <c r="E272" s="94">
        <f>E269*D272</f>
        <v>1082217.5</v>
      </c>
      <c r="F272" s="92">
        <v>95.14</v>
      </c>
      <c r="G272" s="176">
        <v>7.0000000000000007E-2</v>
      </c>
      <c r="H272" s="94">
        <f>H269*G272</f>
        <v>457861.25000000006</v>
      </c>
      <c r="I272" s="94"/>
      <c r="J272" s="94"/>
      <c r="K272" s="94"/>
      <c r="L272" s="94"/>
      <c r="M272" s="94"/>
      <c r="N272" s="787" t="s">
        <v>101</v>
      </c>
    </row>
    <row r="273" spans="1:14" ht="17.25" customHeight="1">
      <c r="A273" s="90"/>
      <c r="B273" s="173" t="s">
        <v>124</v>
      </c>
      <c r="C273" s="92">
        <v>25</v>
      </c>
      <c r="D273" s="176">
        <v>7.0000000000000007E-2</v>
      </c>
      <c r="E273" s="94">
        <f>E270*D273</f>
        <v>284375</v>
      </c>
      <c r="F273" s="92">
        <v>25</v>
      </c>
      <c r="G273" s="176">
        <v>7.0000000000000007E-2</v>
      </c>
      <c r="H273" s="94">
        <f>H270*G273</f>
        <v>401041.66666666669</v>
      </c>
      <c r="I273" s="127"/>
      <c r="J273" s="94"/>
      <c r="K273" s="94"/>
      <c r="L273" s="94"/>
      <c r="M273" s="94"/>
      <c r="N273" s="788"/>
    </row>
    <row r="274" spans="1:14" ht="17.25" customHeight="1">
      <c r="A274" s="90"/>
      <c r="B274" s="173" t="s">
        <v>82</v>
      </c>
      <c r="C274" s="92"/>
      <c r="D274" s="175"/>
      <c r="E274" s="94"/>
      <c r="F274" s="92"/>
      <c r="G274" s="175"/>
      <c r="H274" s="94"/>
      <c r="I274" s="127">
        <f t="shared" ref="I274" si="54">E274+H274</f>
        <v>0</v>
      </c>
      <c r="J274" s="94"/>
      <c r="K274" s="94"/>
      <c r="L274" s="94"/>
      <c r="M274" s="94"/>
      <c r="N274" s="222"/>
    </row>
    <row r="275" spans="1:14" ht="17.25" customHeight="1">
      <c r="A275" s="83" t="s">
        <v>8</v>
      </c>
      <c r="B275" s="84" t="s">
        <v>83</v>
      </c>
      <c r="C275" s="85">
        <f>C276</f>
        <v>15</v>
      </c>
      <c r="D275" s="86"/>
      <c r="E275" s="87">
        <f>E276+E278+E280</f>
        <v>2608125</v>
      </c>
      <c r="F275" s="85">
        <f>F276</f>
        <v>15</v>
      </c>
      <c r="G275" s="86"/>
      <c r="H275" s="87">
        <f>H276+H278+H280</f>
        <v>3678125</v>
      </c>
      <c r="I275" s="87">
        <f>E275+H275</f>
        <v>6286250</v>
      </c>
      <c r="J275" s="87"/>
      <c r="K275" s="87"/>
      <c r="L275" s="87"/>
      <c r="M275" s="87"/>
      <c r="N275" s="221"/>
    </row>
    <row r="276" spans="1:14" s="171" customFormat="1" ht="17.25" customHeight="1">
      <c r="A276" s="83" t="s">
        <v>18</v>
      </c>
      <c r="B276" s="84" t="s">
        <v>79</v>
      </c>
      <c r="C276" s="85">
        <f>C277</f>
        <v>15</v>
      </c>
      <c r="D276" s="88"/>
      <c r="E276" s="87">
        <f>E277</f>
        <v>2437500</v>
      </c>
      <c r="F276" s="85">
        <f>F277</f>
        <v>15</v>
      </c>
      <c r="G276" s="88"/>
      <c r="H276" s="87">
        <f>H277</f>
        <v>3437500</v>
      </c>
      <c r="I276" s="87">
        <f>E276+H276</f>
        <v>5875000</v>
      </c>
      <c r="J276" s="87"/>
      <c r="K276" s="87"/>
      <c r="L276" s="87"/>
      <c r="M276" s="87"/>
      <c r="N276" s="789" t="s">
        <v>102</v>
      </c>
    </row>
    <row r="277" spans="1:14" ht="17.25" customHeight="1">
      <c r="A277" s="90"/>
      <c r="B277" s="173" t="s">
        <v>126</v>
      </c>
      <c r="C277" s="92">
        <v>15</v>
      </c>
      <c r="D277" s="93">
        <v>300000</v>
      </c>
      <c r="E277" s="94">
        <f>C277*D277/12*6.5</f>
        <v>2437500</v>
      </c>
      <c r="F277" s="92">
        <v>15</v>
      </c>
      <c r="G277" s="93">
        <v>500000</v>
      </c>
      <c r="H277" s="94">
        <f>F277*G277/12*5.5</f>
        <v>3437500</v>
      </c>
      <c r="I277" s="94"/>
      <c r="J277" s="94"/>
      <c r="K277" s="94"/>
      <c r="L277" s="94"/>
      <c r="M277" s="94"/>
      <c r="N277" s="790"/>
    </row>
    <row r="278" spans="1:14" s="171" customFormat="1" ht="17.25" customHeight="1">
      <c r="A278" s="83" t="s">
        <v>18</v>
      </c>
      <c r="B278" s="84" t="s">
        <v>81</v>
      </c>
      <c r="C278" s="85">
        <f>C279</f>
        <v>15</v>
      </c>
      <c r="D278" s="86"/>
      <c r="E278" s="87">
        <f>E279</f>
        <v>170625.00000000003</v>
      </c>
      <c r="F278" s="85">
        <f>F279</f>
        <v>15</v>
      </c>
      <c r="G278" s="86"/>
      <c r="H278" s="87">
        <f>H279</f>
        <v>240625.00000000003</v>
      </c>
      <c r="I278" s="87">
        <f t="shared" ref="I278:I281" si="55">E278+H278</f>
        <v>411250.00000000006</v>
      </c>
      <c r="J278" s="87"/>
      <c r="K278" s="87"/>
      <c r="L278" s="87"/>
      <c r="M278" s="87"/>
      <c r="N278" s="221"/>
    </row>
    <row r="279" spans="1:14" ht="17.25" customHeight="1">
      <c r="A279" s="90"/>
      <c r="B279" s="173" t="s">
        <v>126</v>
      </c>
      <c r="C279" s="92">
        <v>15</v>
      </c>
      <c r="D279" s="176">
        <v>7.0000000000000007E-2</v>
      </c>
      <c r="E279" s="94">
        <f>E277*D279</f>
        <v>170625.00000000003</v>
      </c>
      <c r="F279" s="92">
        <v>15</v>
      </c>
      <c r="G279" s="176">
        <v>7.0000000000000007E-2</v>
      </c>
      <c r="H279" s="94">
        <f>H277*G279</f>
        <v>240625.00000000003</v>
      </c>
      <c r="I279" s="94"/>
      <c r="J279" s="94"/>
      <c r="K279" s="94"/>
      <c r="L279" s="94"/>
      <c r="M279" s="94"/>
      <c r="N279" s="789" t="s">
        <v>105</v>
      </c>
    </row>
    <row r="280" spans="1:14" ht="17.25" customHeight="1">
      <c r="A280" s="90"/>
      <c r="B280" s="173" t="s">
        <v>82</v>
      </c>
      <c r="C280" s="92"/>
      <c r="D280" s="175"/>
      <c r="E280" s="94"/>
      <c r="F280" s="174"/>
      <c r="G280" s="223"/>
      <c r="H280" s="94"/>
      <c r="I280" s="127">
        <f t="shared" si="55"/>
        <v>0</v>
      </c>
      <c r="J280" s="94"/>
      <c r="K280" s="94"/>
      <c r="L280" s="94"/>
      <c r="M280" s="94"/>
      <c r="N280" s="790"/>
    </row>
    <row r="281" spans="1:14" ht="17.25" customHeight="1">
      <c r="A281" s="81">
        <v>2</v>
      </c>
      <c r="B281" s="82" t="s">
        <v>96</v>
      </c>
      <c r="C281" s="76">
        <f>SUM(C282:C288)</f>
        <v>28.4</v>
      </c>
      <c r="D281" s="93"/>
      <c r="E281" s="79">
        <f>SUM(E282:E288)</f>
        <v>76916666.666666657</v>
      </c>
      <c r="F281" s="76">
        <f>SUM(F282:F288)</f>
        <v>28.4</v>
      </c>
      <c r="G281" s="93"/>
      <c r="H281" s="79">
        <f>SUM(H282:H288)</f>
        <v>163166666.66666669</v>
      </c>
      <c r="I281" s="78">
        <f t="shared" si="55"/>
        <v>240083333.33333334</v>
      </c>
      <c r="J281" s="78"/>
      <c r="K281" s="87"/>
      <c r="L281" s="87"/>
      <c r="M281" s="87"/>
      <c r="N281" s="221"/>
    </row>
    <row r="282" spans="1:14" ht="17.25" customHeight="1">
      <c r="A282" s="81"/>
      <c r="B282" s="104" t="s">
        <v>126</v>
      </c>
      <c r="C282" s="105">
        <v>5</v>
      </c>
      <c r="D282" s="93">
        <v>5000000</v>
      </c>
      <c r="E282" s="94">
        <f>C282*D282/12*6.5</f>
        <v>13541666.666666666</v>
      </c>
      <c r="F282" s="105">
        <v>5</v>
      </c>
      <c r="G282" s="93">
        <v>15000000</v>
      </c>
      <c r="H282" s="94">
        <f>F282*G282/12*5.5</f>
        <v>34375000</v>
      </c>
      <c r="I282" s="78"/>
      <c r="J282" s="78"/>
      <c r="K282" s="87"/>
      <c r="L282" s="87"/>
      <c r="M282" s="87"/>
      <c r="N282" s="789" t="s">
        <v>127</v>
      </c>
    </row>
    <row r="283" spans="1:14" ht="17.25" customHeight="1">
      <c r="A283" s="81"/>
      <c r="B283" s="104" t="s">
        <v>128</v>
      </c>
      <c r="C283" s="105">
        <v>5</v>
      </c>
      <c r="D283" s="93">
        <v>5000000</v>
      </c>
      <c r="E283" s="94">
        <f t="shared" ref="E283:E288" si="56">C283*D283/12*6.5</f>
        <v>13541666.666666666</v>
      </c>
      <c r="F283" s="105">
        <v>5</v>
      </c>
      <c r="G283" s="93">
        <v>15000000</v>
      </c>
      <c r="H283" s="94">
        <f>F283*G283/12*5.5</f>
        <v>34375000</v>
      </c>
      <c r="I283" s="78"/>
      <c r="J283" s="78"/>
      <c r="K283" s="87"/>
      <c r="L283" s="87"/>
      <c r="M283" s="87"/>
      <c r="N283" s="791"/>
    </row>
    <row r="284" spans="1:14" ht="17.25" customHeight="1">
      <c r="A284" s="81"/>
      <c r="B284" s="104" t="s">
        <v>129</v>
      </c>
      <c r="C284" s="105">
        <v>5</v>
      </c>
      <c r="D284" s="93">
        <v>5000000</v>
      </c>
      <c r="E284" s="94">
        <f t="shared" si="56"/>
        <v>13541666.666666666</v>
      </c>
      <c r="F284" s="105">
        <v>5</v>
      </c>
      <c r="G284" s="93">
        <v>15000000</v>
      </c>
      <c r="H284" s="94">
        <f t="shared" ref="H284:H288" si="57">F284*G284/12*5.5</f>
        <v>34375000</v>
      </c>
      <c r="I284" s="78"/>
      <c r="J284" s="78"/>
      <c r="K284" s="87"/>
      <c r="L284" s="87"/>
      <c r="M284" s="87"/>
      <c r="N284" s="790"/>
    </row>
    <row r="285" spans="1:14" ht="17.25" customHeight="1">
      <c r="A285" s="81"/>
      <c r="B285" s="104" t="s">
        <v>130</v>
      </c>
      <c r="C285" s="105">
        <v>7</v>
      </c>
      <c r="D285" s="93">
        <v>5000000</v>
      </c>
      <c r="E285" s="94">
        <f t="shared" si="56"/>
        <v>18958333.333333332</v>
      </c>
      <c r="F285" s="105">
        <v>7</v>
      </c>
      <c r="G285" s="93">
        <v>5000000</v>
      </c>
      <c r="H285" s="94">
        <f t="shared" si="57"/>
        <v>16041666.666666666</v>
      </c>
      <c r="I285" s="78"/>
      <c r="J285" s="78"/>
      <c r="K285" s="87"/>
      <c r="L285" s="87"/>
      <c r="M285" s="87"/>
      <c r="N285" s="789" t="s">
        <v>127</v>
      </c>
    </row>
    <row r="286" spans="1:14" ht="17.25" customHeight="1">
      <c r="A286" s="81"/>
      <c r="B286" s="106" t="s">
        <v>131</v>
      </c>
      <c r="C286" s="105">
        <v>2.2000000000000002</v>
      </c>
      <c r="D286" s="93">
        <v>5000000</v>
      </c>
      <c r="E286" s="94">
        <f t="shared" si="56"/>
        <v>5958333.333333333</v>
      </c>
      <c r="F286" s="105">
        <v>2.2000000000000002</v>
      </c>
      <c r="G286" s="93">
        <v>15000000</v>
      </c>
      <c r="H286" s="94">
        <f t="shared" si="57"/>
        <v>15125000.000000002</v>
      </c>
      <c r="I286" s="78"/>
      <c r="J286" s="78"/>
      <c r="K286" s="87"/>
      <c r="L286" s="87"/>
      <c r="M286" s="87"/>
      <c r="N286" s="791"/>
    </row>
    <row r="287" spans="1:14" ht="17.25" customHeight="1">
      <c r="A287" s="81"/>
      <c r="B287" s="106" t="s">
        <v>132</v>
      </c>
      <c r="C287" s="105">
        <v>2</v>
      </c>
      <c r="D287" s="93">
        <v>5000000</v>
      </c>
      <c r="E287" s="94">
        <f t="shared" si="56"/>
        <v>5416666.666666667</v>
      </c>
      <c r="F287" s="105">
        <v>2</v>
      </c>
      <c r="G287" s="93">
        <v>15000000</v>
      </c>
      <c r="H287" s="94">
        <f t="shared" si="57"/>
        <v>13750000</v>
      </c>
      <c r="I287" s="78"/>
      <c r="J287" s="78"/>
      <c r="K287" s="87"/>
      <c r="L287" s="87"/>
      <c r="M287" s="87"/>
      <c r="N287" s="791"/>
    </row>
    <row r="288" spans="1:14" ht="17.25" customHeight="1">
      <c r="A288" s="81"/>
      <c r="B288" s="106" t="s">
        <v>133</v>
      </c>
      <c r="C288" s="105">
        <v>2.2000000000000002</v>
      </c>
      <c r="D288" s="93">
        <v>5000000</v>
      </c>
      <c r="E288" s="94">
        <f t="shared" si="56"/>
        <v>5958333.333333333</v>
      </c>
      <c r="F288" s="105">
        <v>2.2000000000000002</v>
      </c>
      <c r="G288" s="93">
        <v>15000000</v>
      </c>
      <c r="H288" s="94">
        <f t="shared" si="57"/>
        <v>15125000.000000002</v>
      </c>
      <c r="I288" s="78"/>
      <c r="J288" s="78"/>
      <c r="K288" s="87"/>
      <c r="L288" s="87"/>
      <c r="M288" s="87"/>
      <c r="N288" s="790"/>
    </row>
    <row r="289" spans="1:14" ht="36.75" customHeight="1">
      <c r="A289" s="81" t="s">
        <v>5</v>
      </c>
      <c r="B289" s="82" t="s">
        <v>89</v>
      </c>
      <c r="C289" s="76">
        <f>C290+C307</f>
        <v>1614.58</v>
      </c>
      <c r="D289" s="224"/>
      <c r="E289" s="79">
        <f>E290+E307</f>
        <v>277669648.75</v>
      </c>
      <c r="F289" s="102">
        <f>C289</f>
        <v>1614.58</v>
      </c>
      <c r="G289" s="129"/>
      <c r="H289" s="78">
        <f>H290+H307</f>
        <v>178511996.66666669</v>
      </c>
      <c r="I289" s="78">
        <f t="shared" ref="I289" si="58">I290+I307</f>
        <v>456181645.41666663</v>
      </c>
      <c r="J289" s="78">
        <v>518220000</v>
      </c>
      <c r="K289" s="87">
        <f>J289-I289</f>
        <v>62038354.583333373</v>
      </c>
      <c r="L289" s="87"/>
      <c r="M289" s="87"/>
      <c r="N289" s="225"/>
    </row>
    <row r="290" spans="1:14" ht="17.25" customHeight="1">
      <c r="A290" s="81">
        <v>1</v>
      </c>
      <c r="B290" s="82" t="s">
        <v>75</v>
      </c>
      <c r="C290" s="76">
        <f>C291+C301</f>
        <v>1274.3699999999999</v>
      </c>
      <c r="D290" s="77"/>
      <c r="E290" s="78">
        <f>E291+E301</f>
        <v>218515635</v>
      </c>
      <c r="F290" s="102">
        <f>C290</f>
        <v>1274.3699999999999</v>
      </c>
      <c r="G290" s="129"/>
      <c r="H290" s="78">
        <f>H291+H301</f>
        <v>95089669.583333343</v>
      </c>
      <c r="I290" s="78">
        <f>I291+I301</f>
        <v>313605304.58333331</v>
      </c>
      <c r="J290" s="78"/>
      <c r="K290" s="87"/>
      <c r="L290" s="87"/>
      <c r="M290" s="87"/>
      <c r="N290" s="225"/>
    </row>
    <row r="291" spans="1:14" ht="17.25" customHeight="1">
      <c r="A291" s="83" t="s">
        <v>7</v>
      </c>
      <c r="B291" s="84" t="s">
        <v>76</v>
      </c>
      <c r="C291" s="85">
        <f>C292</f>
        <v>1004.88</v>
      </c>
      <c r="D291" s="86"/>
      <c r="E291" s="87">
        <f>E292+E296+E300</f>
        <v>174723510</v>
      </c>
      <c r="F291" s="85">
        <f>F292</f>
        <v>1004.88</v>
      </c>
      <c r="G291" s="86"/>
      <c r="H291" s="87">
        <f>H292+H296+H300</f>
        <v>76562232.083333343</v>
      </c>
      <c r="I291" s="87">
        <f>I292+I296+I300</f>
        <v>251285742.08333334</v>
      </c>
      <c r="J291" s="87"/>
      <c r="K291" s="87"/>
      <c r="L291" s="87"/>
      <c r="M291" s="87"/>
      <c r="N291" s="221"/>
    </row>
    <row r="292" spans="1:14" s="171" customFormat="1" ht="17.25" customHeight="1">
      <c r="A292" s="83" t="s">
        <v>18</v>
      </c>
      <c r="B292" s="84" t="s">
        <v>79</v>
      </c>
      <c r="C292" s="85">
        <f>SUM(C293:C295)</f>
        <v>1004.88</v>
      </c>
      <c r="D292" s="86"/>
      <c r="E292" s="88">
        <f>SUM(E293:E295)</f>
        <v>163293000</v>
      </c>
      <c r="F292" s="85">
        <f>SUM(F293:F295)</f>
        <v>1004.88</v>
      </c>
      <c r="G292" s="86"/>
      <c r="H292" s="88">
        <f>SUM(H293:H295)</f>
        <v>75198979.166666672</v>
      </c>
      <c r="I292" s="87">
        <f t="shared" ref="I292:I296" si="59">E292+H292</f>
        <v>238491979.16666669</v>
      </c>
      <c r="J292" s="87"/>
      <c r="K292" s="87"/>
      <c r="L292" s="87"/>
      <c r="M292" s="87"/>
      <c r="N292" s="221"/>
    </row>
    <row r="293" spans="1:14" ht="30" customHeight="1">
      <c r="A293" s="90"/>
      <c r="B293" s="173" t="s">
        <v>126</v>
      </c>
      <c r="C293" s="92">
        <v>38.11</v>
      </c>
      <c r="D293" s="93">
        <v>300000</v>
      </c>
      <c r="E293" s="94">
        <f>C293*D293/12*6.5</f>
        <v>6192875</v>
      </c>
      <c r="F293" s="92">
        <v>38.11</v>
      </c>
      <c r="G293" s="93">
        <v>500000</v>
      </c>
      <c r="H293" s="94">
        <f>F293*G293/12*5.5</f>
        <v>8733541.6666666679</v>
      </c>
      <c r="I293" s="94"/>
      <c r="J293" s="94"/>
      <c r="K293" s="87"/>
      <c r="L293" s="87"/>
      <c r="M293" s="87"/>
      <c r="N293" s="173" t="s">
        <v>125</v>
      </c>
    </row>
    <row r="294" spans="1:14" ht="17.25" customHeight="1">
      <c r="A294" s="90"/>
      <c r="B294" s="104" t="s">
        <v>129</v>
      </c>
      <c r="C294" s="92">
        <v>156.24</v>
      </c>
      <c r="D294" s="93">
        <v>300000</v>
      </c>
      <c r="E294" s="94">
        <f t="shared" ref="E294:E295" si="60">C294*D294/12*6.5</f>
        <v>25389000</v>
      </c>
      <c r="F294" s="92">
        <v>156.24</v>
      </c>
      <c r="G294" s="93">
        <v>150000</v>
      </c>
      <c r="H294" s="94">
        <f>F294*G294/12*5.5</f>
        <v>10741500</v>
      </c>
      <c r="I294" s="94"/>
      <c r="J294" s="94"/>
      <c r="K294" s="87"/>
      <c r="L294" s="87"/>
      <c r="M294" s="87"/>
      <c r="N294" s="787" t="s">
        <v>98</v>
      </c>
    </row>
    <row r="295" spans="1:14" ht="17.25" customHeight="1">
      <c r="A295" s="90"/>
      <c r="B295" s="104" t="s">
        <v>130</v>
      </c>
      <c r="C295" s="92">
        <v>810.53</v>
      </c>
      <c r="D295" s="93">
        <v>300000</v>
      </c>
      <c r="E295" s="94">
        <f t="shared" si="60"/>
        <v>131711125</v>
      </c>
      <c r="F295" s="92">
        <v>810.53</v>
      </c>
      <c r="G295" s="93">
        <v>150000</v>
      </c>
      <c r="H295" s="94">
        <f>F295*G295/12*5.5</f>
        <v>55723937.5</v>
      </c>
      <c r="I295" s="94"/>
      <c r="J295" s="94"/>
      <c r="K295" s="87"/>
      <c r="L295" s="87"/>
      <c r="M295" s="87"/>
      <c r="N295" s="788"/>
    </row>
    <row r="296" spans="1:14" s="171" customFormat="1" ht="17.25" customHeight="1">
      <c r="A296" s="83" t="s">
        <v>18</v>
      </c>
      <c r="B296" s="84" t="s">
        <v>81</v>
      </c>
      <c r="C296" s="85">
        <f>SUM(C297:C299)</f>
        <v>1004.88</v>
      </c>
      <c r="D296" s="86"/>
      <c r="E296" s="88">
        <f>SUM(E297:E299)</f>
        <v>11430510</v>
      </c>
      <c r="F296" s="85">
        <f>SUM(F297:F299)</f>
        <v>1004.88</v>
      </c>
      <c r="G296" s="86"/>
      <c r="H296" s="88">
        <f>SUM(H297:H299)</f>
        <v>1363252.916666667</v>
      </c>
      <c r="I296" s="87">
        <f t="shared" si="59"/>
        <v>12793762.916666668</v>
      </c>
      <c r="J296" s="87"/>
      <c r="K296" s="87"/>
      <c r="L296" s="87"/>
      <c r="M296" s="87"/>
      <c r="N296" s="221"/>
    </row>
    <row r="297" spans="1:14" ht="17.25" customHeight="1">
      <c r="A297" s="90"/>
      <c r="B297" s="173" t="s">
        <v>126</v>
      </c>
      <c r="C297" s="92">
        <v>38.11</v>
      </c>
      <c r="D297" s="176">
        <v>7.0000000000000007E-2</v>
      </c>
      <c r="E297" s="94">
        <f>E293*D297</f>
        <v>433501.25000000006</v>
      </c>
      <c r="F297" s="92">
        <v>38.11</v>
      </c>
      <c r="G297" s="176">
        <v>7.0000000000000007E-2</v>
      </c>
      <c r="H297" s="94">
        <f>H293*G297</f>
        <v>611347.91666666686</v>
      </c>
      <c r="I297" s="94"/>
      <c r="J297" s="94"/>
      <c r="K297" s="87"/>
      <c r="L297" s="87"/>
      <c r="M297" s="87"/>
      <c r="N297" s="787" t="s">
        <v>101</v>
      </c>
    </row>
    <row r="298" spans="1:14" ht="17.25" customHeight="1">
      <c r="A298" s="90"/>
      <c r="B298" s="104" t="s">
        <v>129</v>
      </c>
      <c r="C298" s="92">
        <v>156.24</v>
      </c>
      <c r="D298" s="176">
        <v>7.0000000000000007E-2</v>
      </c>
      <c r="E298" s="94">
        <f t="shared" ref="E298:E299" si="61">E294*D298</f>
        <v>1777230.0000000002</v>
      </c>
      <c r="F298" s="92">
        <v>156.24</v>
      </c>
      <c r="G298" s="176">
        <v>7.0000000000000007E-2</v>
      </c>
      <c r="H298" s="94">
        <f t="shared" ref="H298:H299" si="62">H294*G298</f>
        <v>751905.00000000012</v>
      </c>
      <c r="I298" s="94"/>
      <c r="J298" s="94"/>
      <c r="K298" s="87"/>
      <c r="L298" s="87"/>
      <c r="M298" s="87"/>
      <c r="N298" s="788"/>
    </row>
    <row r="299" spans="1:14" ht="17.25" customHeight="1">
      <c r="A299" s="90"/>
      <c r="B299" s="104" t="s">
        <v>130</v>
      </c>
      <c r="C299" s="92">
        <v>810.53</v>
      </c>
      <c r="D299" s="176">
        <v>7.0000000000000007E-2</v>
      </c>
      <c r="E299" s="94">
        <f t="shared" si="61"/>
        <v>9219778.75</v>
      </c>
      <c r="F299" s="92">
        <v>810.53</v>
      </c>
      <c r="G299" s="176"/>
      <c r="H299" s="94">
        <f t="shared" si="62"/>
        <v>0</v>
      </c>
      <c r="I299" s="94"/>
      <c r="J299" s="94"/>
      <c r="K299" s="87"/>
      <c r="L299" s="87"/>
      <c r="M299" s="87"/>
      <c r="N299" s="222"/>
    </row>
    <row r="300" spans="1:14" ht="17.25" customHeight="1">
      <c r="A300" s="90"/>
      <c r="B300" s="173" t="s">
        <v>82</v>
      </c>
      <c r="C300" s="92"/>
      <c r="D300" s="175"/>
      <c r="E300" s="94"/>
      <c r="F300" s="174"/>
      <c r="G300" s="223"/>
      <c r="H300" s="94"/>
      <c r="I300" s="94"/>
      <c r="J300" s="94"/>
      <c r="K300" s="87"/>
      <c r="L300" s="87"/>
      <c r="M300" s="87"/>
      <c r="N300" s="222"/>
    </row>
    <row r="301" spans="1:14" ht="17.25" customHeight="1">
      <c r="A301" s="83" t="s">
        <v>8</v>
      </c>
      <c r="B301" s="84" t="s">
        <v>83</v>
      </c>
      <c r="C301" s="85">
        <f>C302</f>
        <v>269.48999999999995</v>
      </c>
      <c r="D301" s="86"/>
      <c r="E301" s="87">
        <f>E302+E304+E306</f>
        <v>43792124.999999993</v>
      </c>
      <c r="F301" s="85">
        <f>F302</f>
        <v>269.48999999999995</v>
      </c>
      <c r="G301" s="86"/>
      <c r="H301" s="87">
        <f>H302+H304+H306</f>
        <v>18527437.499999996</v>
      </c>
      <c r="I301" s="87">
        <f>E301+H301</f>
        <v>62319562.499999985</v>
      </c>
      <c r="J301" s="87"/>
      <c r="K301" s="87"/>
      <c r="L301" s="87"/>
      <c r="M301" s="87"/>
      <c r="N301" s="221"/>
    </row>
    <row r="302" spans="1:14" s="171" customFormat="1" ht="17.25" customHeight="1">
      <c r="A302" s="83" t="s">
        <v>18</v>
      </c>
      <c r="B302" s="84" t="s">
        <v>79</v>
      </c>
      <c r="C302" s="85">
        <f>C303</f>
        <v>269.48999999999995</v>
      </c>
      <c r="D302" s="86"/>
      <c r="E302" s="87">
        <f>E303</f>
        <v>43792124.999999993</v>
      </c>
      <c r="F302" s="85">
        <f>F303</f>
        <v>269.48999999999995</v>
      </c>
      <c r="G302" s="86"/>
      <c r="H302" s="87">
        <f>H303</f>
        <v>18527437.499999996</v>
      </c>
      <c r="I302" s="87">
        <f t="shared" ref="I302:I304" si="63">E302+H302</f>
        <v>62319562.499999985</v>
      </c>
      <c r="J302" s="87"/>
      <c r="K302" s="87"/>
      <c r="L302" s="87"/>
      <c r="M302" s="87"/>
      <c r="N302" s="789" t="s">
        <v>109</v>
      </c>
    </row>
    <row r="303" spans="1:14" ht="17.25" customHeight="1">
      <c r="A303" s="90"/>
      <c r="B303" s="104" t="s">
        <v>130</v>
      </c>
      <c r="C303" s="92">
        <v>269.48999999999995</v>
      </c>
      <c r="D303" s="98">
        <v>300000</v>
      </c>
      <c r="E303" s="94">
        <f>C303*D303/12*6.5</f>
        <v>43792124.999999993</v>
      </c>
      <c r="F303" s="92">
        <v>269.48999999999995</v>
      </c>
      <c r="G303" s="93">
        <v>150000</v>
      </c>
      <c r="H303" s="94">
        <f>F303*G303/12*5.5</f>
        <v>18527437.499999996</v>
      </c>
      <c r="I303" s="94"/>
      <c r="J303" s="94"/>
      <c r="K303" s="87"/>
      <c r="L303" s="87"/>
      <c r="M303" s="87"/>
      <c r="N303" s="790"/>
    </row>
    <row r="304" spans="1:14" s="171" customFormat="1" ht="17.25" customHeight="1">
      <c r="A304" s="83" t="s">
        <v>18</v>
      </c>
      <c r="B304" s="84" t="s">
        <v>81</v>
      </c>
      <c r="C304" s="85"/>
      <c r="D304" s="86"/>
      <c r="E304" s="126">
        <f>E305</f>
        <v>0</v>
      </c>
      <c r="F304" s="85"/>
      <c r="G304" s="86"/>
      <c r="H304" s="126">
        <f>H305</f>
        <v>0</v>
      </c>
      <c r="I304" s="126">
        <f t="shared" si="63"/>
        <v>0</v>
      </c>
      <c r="J304" s="87"/>
      <c r="K304" s="87"/>
      <c r="L304" s="87"/>
      <c r="M304" s="87"/>
      <c r="N304" s="221"/>
    </row>
    <row r="305" spans="1:14" ht="17.25" customHeight="1">
      <c r="A305" s="90"/>
      <c r="B305" s="104" t="s">
        <v>130</v>
      </c>
      <c r="C305" s="92">
        <v>269.48999999999995</v>
      </c>
      <c r="D305" s="176"/>
      <c r="E305" s="127">
        <f>E303*D305</f>
        <v>0</v>
      </c>
      <c r="F305" s="92">
        <v>269.48999999999995</v>
      </c>
      <c r="G305" s="176"/>
      <c r="H305" s="127">
        <f>H303*G305</f>
        <v>0</v>
      </c>
      <c r="I305" s="127"/>
      <c r="J305" s="94"/>
      <c r="K305" s="87"/>
      <c r="L305" s="87"/>
      <c r="M305" s="87"/>
      <c r="N305" s="222"/>
    </row>
    <row r="306" spans="1:14" ht="17.25" customHeight="1">
      <c r="A306" s="90" t="s">
        <v>18</v>
      </c>
      <c r="B306" s="173" t="s">
        <v>82</v>
      </c>
      <c r="C306" s="92"/>
      <c r="D306" s="175"/>
      <c r="E306" s="94"/>
      <c r="F306" s="174"/>
      <c r="G306" s="223"/>
      <c r="H306" s="127"/>
      <c r="I306" s="127"/>
      <c r="J306" s="94"/>
      <c r="K306" s="87"/>
      <c r="L306" s="87"/>
      <c r="M306" s="87"/>
      <c r="N306" s="222"/>
    </row>
    <row r="307" spans="1:14" ht="36.75" customHeight="1">
      <c r="A307" s="81">
        <v>2</v>
      </c>
      <c r="B307" s="82" t="s">
        <v>90</v>
      </c>
      <c r="C307" s="76">
        <f>C308</f>
        <v>340.21000000000004</v>
      </c>
      <c r="D307" s="77"/>
      <c r="E307" s="78">
        <f>E308+E313</f>
        <v>59154013.75</v>
      </c>
      <c r="F307" s="76">
        <f>F308</f>
        <v>340.21000000000004</v>
      </c>
      <c r="G307" s="77"/>
      <c r="H307" s="78">
        <f>H308+H313</f>
        <v>83422327.083333328</v>
      </c>
      <c r="I307" s="78">
        <f>E307+H307</f>
        <v>142576340.83333331</v>
      </c>
      <c r="J307" s="78"/>
      <c r="K307" s="87"/>
      <c r="L307" s="87"/>
      <c r="M307" s="87"/>
      <c r="N307" s="225"/>
    </row>
    <row r="308" spans="1:14" s="171" customFormat="1" ht="17.25" customHeight="1">
      <c r="A308" s="83" t="s">
        <v>18</v>
      </c>
      <c r="B308" s="84" t="s">
        <v>79</v>
      </c>
      <c r="C308" s="85">
        <f>SUM(C309:C312)</f>
        <v>340.21000000000004</v>
      </c>
      <c r="D308" s="86"/>
      <c r="E308" s="88">
        <f>SUM(E309:E312)</f>
        <v>55284125</v>
      </c>
      <c r="F308" s="85">
        <f>SUM(F309:F312)</f>
        <v>340.21000000000004</v>
      </c>
      <c r="G308" s="86"/>
      <c r="H308" s="88">
        <f>SUM(H309:H312)</f>
        <v>77964791.666666657</v>
      </c>
      <c r="I308" s="87"/>
      <c r="J308" s="87"/>
      <c r="K308" s="87"/>
      <c r="L308" s="87"/>
      <c r="M308" s="87"/>
      <c r="N308" s="221"/>
    </row>
    <row r="309" spans="1:14" ht="17.25" customHeight="1">
      <c r="A309" s="90"/>
      <c r="B309" s="173" t="s">
        <v>126</v>
      </c>
      <c r="C309" s="92">
        <v>30.3</v>
      </c>
      <c r="D309" s="98">
        <v>300000</v>
      </c>
      <c r="E309" s="94">
        <f>C309*D309/12*6.5</f>
        <v>4923750</v>
      </c>
      <c r="F309" s="92">
        <v>30.3</v>
      </c>
      <c r="G309" s="93">
        <v>500000</v>
      </c>
      <c r="H309" s="94">
        <f>F309*G309/12*5.5</f>
        <v>6943750</v>
      </c>
      <c r="I309" s="94"/>
      <c r="J309" s="94"/>
      <c r="K309" s="87"/>
      <c r="L309" s="87"/>
      <c r="M309" s="87"/>
      <c r="N309" s="789" t="s">
        <v>102</v>
      </c>
    </row>
    <row r="310" spans="1:14" ht="17.25" customHeight="1">
      <c r="A310" s="90"/>
      <c r="B310" s="173" t="s">
        <v>128</v>
      </c>
      <c r="C310" s="92">
        <v>93.67</v>
      </c>
      <c r="D310" s="98">
        <v>300000</v>
      </c>
      <c r="E310" s="94">
        <f t="shared" ref="E310:E312" si="64">C310*D310/12*6.5</f>
        <v>15221375</v>
      </c>
      <c r="F310" s="92">
        <v>93.67</v>
      </c>
      <c r="G310" s="93">
        <v>500000</v>
      </c>
      <c r="H310" s="94">
        <f>F310*G310/12*5.5</f>
        <v>21466041.666666664</v>
      </c>
      <c r="I310" s="94"/>
      <c r="J310" s="94"/>
      <c r="K310" s="87"/>
      <c r="L310" s="87"/>
      <c r="M310" s="87"/>
      <c r="N310" s="791"/>
    </row>
    <row r="311" spans="1:14" ht="17.25" customHeight="1">
      <c r="A311" s="90"/>
      <c r="B311" s="173" t="s">
        <v>129</v>
      </c>
      <c r="C311" s="92">
        <v>96.7</v>
      </c>
      <c r="D311" s="98">
        <v>300000</v>
      </c>
      <c r="E311" s="94">
        <f t="shared" si="64"/>
        <v>15713750</v>
      </c>
      <c r="F311" s="92">
        <v>96.7</v>
      </c>
      <c r="G311" s="93">
        <v>500000</v>
      </c>
      <c r="H311" s="94">
        <f>F311*G311/12*5.5</f>
        <v>22160416.666666664</v>
      </c>
      <c r="I311" s="94"/>
      <c r="J311" s="94"/>
      <c r="K311" s="87"/>
      <c r="L311" s="87"/>
      <c r="M311" s="87"/>
      <c r="N311" s="791"/>
    </row>
    <row r="312" spans="1:14" ht="17.25" customHeight="1">
      <c r="A312" s="90"/>
      <c r="B312" s="173" t="s">
        <v>130</v>
      </c>
      <c r="C312" s="92">
        <v>119.54</v>
      </c>
      <c r="D312" s="98">
        <v>300000</v>
      </c>
      <c r="E312" s="94">
        <f t="shared" si="64"/>
        <v>19425250</v>
      </c>
      <c r="F312" s="92">
        <v>119.54</v>
      </c>
      <c r="G312" s="93">
        <v>500000</v>
      </c>
      <c r="H312" s="94">
        <f>F312*G312/12*5.5</f>
        <v>27394583.333333332</v>
      </c>
      <c r="I312" s="94"/>
      <c r="J312" s="94"/>
      <c r="K312" s="87"/>
      <c r="L312" s="87"/>
      <c r="M312" s="87"/>
      <c r="N312" s="790"/>
    </row>
    <row r="313" spans="1:14" s="171" customFormat="1" ht="17.25" customHeight="1">
      <c r="A313" s="83" t="s">
        <v>18</v>
      </c>
      <c r="B313" s="84" t="s">
        <v>81</v>
      </c>
      <c r="C313" s="85">
        <f>SUM(C314:C317)</f>
        <v>340.21000000000004</v>
      </c>
      <c r="D313" s="86"/>
      <c r="E313" s="88">
        <f>SUM(E314:E317)</f>
        <v>3869888.75</v>
      </c>
      <c r="F313" s="85">
        <f>SUM(F314:F317)</f>
        <v>340.21000000000004</v>
      </c>
      <c r="G313" s="86"/>
      <c r="H313" s="88">
        <f>SUM(H314:H317)</f>
        <v>5457535.416666667</v>
      </c>
      <c r="I313" s="87"/>
      <c r="J313" s="87"/>
      <c r="K313" s="87"/>
      <c r="L313" s="87"/>
      <c r="M313" s="87"/>
      <c r="N313" s="221"/>
    </row>
    <row r="314" spans="1:14" ht="17.25" customHeight="1">
      <c r="A314" s="90"/>
      <c r="B314" s="173" t="s">
        <v>126</v>
      </c>
      <c r="C314" s="92">
        <v>30.3</v>
      </c>
      <c r="D314" s="176">
        <v>7.0000000000000007E-2</v>
      </c>
      <c r="E314" s="93">
        <f>E309*D314</f>
        <v>344662.50000000006</v>
      </c>
      <c r="F314" s="92">
        <v>30.3</v>
      </c>
      <c r="G314" s="176">
        <v>7.0000000000000007E-2</v>
      </c>
      <c r="H314" s="93">
        <f>H309*G314</f>
        <v>486062.50000000006</v>
      </c>
      <c r="I314" s="93"/>
      <c r="J314" s="93"/>
      <c r="K314" s="93"/>
      <c r="L314" s="93"/>
      <c r="M314" s="93"/>
      <c r="N314" s="781" t="s">
        <v>105</v>
      </c>
    </row>
    <row r="315" spans="1:14" ht="17.25" customHeight="1">
      <c r="A315" s="90"/>
      <c r="B315" s="173" t="s">
        <v>128</v>
      </c>
      <c r="C315" s="92">
        <v>93.67</v>
      </c>
      <c r="D315" s="176">
        <v>7.0000000000000007E-2</v>
      </c>
      <c r="E315" s="93">
        <f t="shared" ref="E315:E317" si="65">E310*D315</f>
        <v>1065496.25</v>
      </c>
      <c r="F315" s="92">
        <v>93.67</v>
      </c>
      <c r="G315" s="176">
        <v>7.0000000000000007E-2</v>
      </c>
      <c r="H315" s="93">
        <f t="shared" ref="H315:H317" si="66">H310*G315</f>
        <v>1502622.9166666667</v>
      </c>
      <c r="I315" s="93"/>
      <c r="J315" s="93"/>
      <c r="K315" s="93"/>
      <c r="L315" s="93"/>
      <c r="M315" s="93"/>
      <c r="N315" s="781"/>
    </row>
    <row r="316" spans="1:14" ht="17.25" customHeight="1">
      <c r="A316" s="90"/>
      <c r="B316" s="173" t="s">
        <v>129</v>
      </c>
      <c r="C316" s="92">
        <v>96.7</v>
      </c>
      <c r="D316" s="176">
        <v>7.0000000000000007E-2</v>
      </c>
      <c r="E316" s="93">
        <f t="shared" si="65"/>
        <v>1099962.5</v>
      </c>
      <c r="F316" s="92">
        <v>96.7</v>
      </c>
      <c r="G316" s="176">
        <v>7.0000000000000007E-2</v>
      </c>
      <c r="H316" s="93">
        <f t="shared" si="66"/>
        <v>1551229.1666666667</v>
      </c>
      <c r="I316" s="93"/>
      <c r="J316" s="93"/>
      <c r="K316" s="93"/>
      <c r="L316" s="93"/>
      <c r="M316" s="93"/>
      <c r="N316" s="781"/>
    </row>
    <row r="317" spans="1:14" ht="17.25" customHeight="1">
      <c r="A317" s="136"/>
      <c r="B317" s="212" t="s">
        <v>130</v>
      </c>
      <c r="C317" s="193">
        <v>119.54</v>
      </c>
      <c r="D317" s="194">
        <v>7.0000000000000007E-2</v>
      </c>
      <c r="E317" s="140">
        <f t="shared" si="65"/>
        <v>1359767.5000000002</v>
      </c>
      <c r="F317" s="193">
        <v>119.54</v>
      </c>
      <c r="G317" s="194">
        <v>7.0000000000000007E-2</v>
      </c>
      <c r="H317" s="140">
        <f t="shared" si="66"/>
        <v>1917620.8333333335</v>
      </c>
      <c r="I317" s="140"/>
      <c r="J317" s="140"/>
      <c r="K317" s="140"/>
      <c r="L317" s="140"/>
      <c r="M317" s="140"/>
      <c r="N317" s="782"/>
    </row>
    <row r="318" spans="1:14" s="161" customFormat="1" ht="39" customHeight="1">
      <c r="A318" s="226" t="s">
        <v>51</v>
      </c>
      <c r="B318" s="227" t="s">
        <v>159</v>
      </c>
      <c r="C318" s="228"/>
      <c r="D318" s="228"/>
      <c r="E318" s="228"/>
      <c r="F318" s="228"/>
      <c r="G318" s="228"/>
      <c r="H318" s="228"/>
      <c r="I318" s="229">
        <v>4025000000</v>
      </c>
      <c r="J318" s="229">
        <v>4025000000</v>
      </c>
      <c r="K318" s="35">
        <v>0</v>
      </c>
      <c r="L318" s="35">
        <v>0</v>
      </c>
      <c r="M318" s="35">
        <v>0</v>
      </c>
      <c r="N318" s="228" t="s">
        <v>160</v>
      </c>
    </row>
    <row r="319" spans="1:14" s="161" customFormat="1">
      <c r="B319" s="230"/>
      <c r="C319" s="152"/>
      <c r="D319" s="152"/>
      <c r="E319" s="152"/>
      <c r="F319" s="152"/>
      <c r="G319" s="152"/>
      <c r="H319" s="152"/>
      <c r="I319" s="152"/>
      <c r="J319" s="152"/>
      <c r="K319" s="152"/>
      <c r="L319" s="152"/>
      <c r="M319" s="152"/>
      <c r="N319" s="152"/>
    </row>
  </sheetData>
  <mergeCells count="58">
    <mergeCell ref="A2:N2"/>
    <mergeCell ref="A3:N3"/>
    <mergeCell ref="A5:A6"/>
    <mergeCell ref="B5:B6"/>
    <mergeCell ref="C5:E5"/>
    <mergeCell ref="F5:H5"/>
    <mergeCell ref="I5:I6"/>
    <mergeCell ref="J5:J6"/>
    <mergeCell ref="K5:K6"/>
    <mergeCell ref="L5:L6"/>
    <mergeCell ref="N71:N75"/>
    <mergeCell ref="M5:M6"/>
    <mergeCell ref="N5:N6"/>
    <mergeCell ref="N13:N15"/>
    <mergeCell ref="N18:N20"/>
    <mergeCell ref="N22:N24"/>
    <mergeCell ref="N25:N28"/>
    <mergeCell ref="N33:N36"/>
    <mergeCell ref="N40:N43"/>
    <mergeCell ref="N51:N53"/>
    <mergeCell ref="N55:N57"/>
    <mergeCell ref="N65:N69"/>
    <mergeCell ref="N159:N160"/>
    <mergeCell ref="N85:N86"/>
    <mergeCell ref="N88:N89"/>
    <mergeCell ref="N100:N101"/>
    <mergeCell ref="N103:N104"/>
    <mergeCell ref="N135:N136"/>
    <mergeCell ref="N138:N139"/>
    <mergeCell ref="N141:N142"/>
    <mergeCell ref="N143:N144"/>
    <mergeCell ref="N149:N150"/>
    <mergeCell ref="N152:N153"/>
    <mergeCell ref="N156:N157"/>
    <mergeCell ref="N249:N251"/>
    <mergeCell ref="N167:N168"/>
    <mergeCell ref="N169:N170"/>
    <mergeCell ref="N178:N180"/>
    <mergeCell ref="N182:N184"/>
    <mergeCell ref="N188:N192"/>
    <mergeCell ref="N195:N200"/>
    <mergeCell ref="N204:N208"/>
    <mergeCell ref="N211:N216"/>
    <mergeCell ref="N233:N236"/>
    <mergeCell ref="N238:N241"/>
    <mergeCell ref="N245:N247"/>
    <mergeCell ref="N314:N317"/>
    <mergeCell ref="N255:N258"/>
    <mergeCell ref="N260:N263"/>
    <mergeCell ref="N272:N273"/>
    <mergeCell ref="N276:N277"/>
    <mergeCell ref="N279:N280"/>
    <mergeCell ref="N282:N284"/>
    <mergeCell ref="N285:N288"/>
    <mergeCell ref="N294:N295"/>
    <mergeCell ref="N297:N298"/>
    <mergeCell ref="N302:N303"/>
    <mergeCell ref="N309:N312"/>
  </mergeCells>
  <pageMargins left="0.19685039370078741" right="0.19685039370078741" top="0.19685039370078741" bottom="0.19685039370078741" header="0.31496062992125984" footer="0.31496062992125984"/>
  <pageSetup paperSize="9" scale="56" orientation="landscape" verticalDpi="0" r:id="rId1"/>
  <ignoredErrors>
    <ignoredError sqref="E33:N312"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7"/>
  <sheetViews>
    <sheetView zoomScaleNormal="100" workbookViewId="0">
      <selection activeCell="A2" sqref="A2:E2"/>
    </sheetView>
  </sheetViews>
  <sheetFormatPr defaultColWidth="9.1640625" defaultRowHeight="15.5"/>
  <cols>
    <col min="1" max="1" width="8.83203125" style="10" customWidth="1"/>
    <col min="2" max="2" width="45.4140625" style="51" customWidth="1"/>
    <col min="3" max="3" width="19.83203125" style="52" customWidth="1"/>
    <col min="4" max="4" width="18.25" style="52" customWidth="1"/>
    <col min="5" max="5" width="29.75" style="52" customWidth="1"/>
    <col min="6" max="6" width="3" style="52" customWidth="1"/>
    <col min="7" max="16384" width="9.1640625" style="37"/>
  </cols>
  <sheetData>
    <row r="1" spans="1:5" ht="17.25" customHeight="1">
      <c r="E1" s="128" t="s">
        <v>46</v>
      </c>
    </row>
    <row r="2" spans="1:5" ht="24.75" customHeight="1">
      <c r="A2" s="804" t="s">
        <v>134</v>
      </c>
      <c r="B2" s="804"/>
      <c r="C2" s="804"/>
      <c r="D2" s="804"/>
      <c r="E2" s="804"/>
    </row>
    <row r="3" spans="1:5">
      <c r="A3" s="805" t="str">
        <f>'TỔNG HỢP'!A3:D3</f>
        <v>(Kèm theo Tờ trình số         /TTr-UBND ngày       /12/2024 của UBND huyện Na Rì)</v>
      </c>
      <c r="B3" s="805"/>
      <c r="C3" s="805"/>
      <c r="D3" s="805"/>
      <c r="E3" s="805"/>
    </row>
    <row r="5" spans="1:5" ht="17.25" customHeight="1">
      <c r="A5" s="780" t="s">
        <v>13</v>
      </c>
      <c r="B5" s="806" t="s">
        <v>57</v>
      </c>
      <c r="C5" s="807" t="s">
        <v>135</v>
      </c>
      <c r="D5" s="807" t="s">
        <v>136</v>
      </c>
      <c r="E5" s="806" t="s">
        <v>0</v>
      </c>
    </row>
    <row r="6" spans="1:5" ht="30.75" customHeight="1">
      <c r="A6" s="780"/>
      <c r="B6" s="806"/>
      <c r="C6" s="808"/>
      <c r="D6" s="808"/>
      <c r="E6" s="806"/>
    </row>
    <row r="7" spans="1:5">
      <c r="A7" s="54"/>
      <c r="B7" s="9" t="s">
        <v>23</v>
      </c>
      <c r="C7" s="107">
        <f>SUM(C8,C18,C39,C56,C70,C104,C128)</f>
        <v>22649.53</v>
      </c>
      <c r="D7" s="55"/>
      <c r="E7" s="9"/>
    </row>
    <row r="8" spans="1:5" ht="30">
      <c r="A8" s="231" t="s">
        <v>2</v>
      </c>
      <c r="B8" s="232" t="s">
        <v>73</v>
      </c>
      <c r="C8" s="233">
        <f>C10+C17</f>
        <v>12680.060000000001</v>
      </c>
      <c r="D8" s="234"/>
      <c r="E8" s="235"/>
    </row>
    <row r="9" spans="1:5" ht="17.25" customHeight="1">
      <c r="A9" s="236" t="s">
        <v>1</v>
      </c>
      <c r="B9" s="56" t="s">
        <v>74</v>
      </c>
      <c r="C9" s="57"/>
      <c r="D9" s="58"/>
      <c r="E9" s="68"/>
    </row>
    <row r="10" spans="1:5" ht="17.25" customHeight="1">
      <c r="A10" s="236">
        <v>1</v>
      </c>
      <c r="B10" s="56" t="s">
        <v>75</v>
      </c>
      <c r="C10" s="75">
        <f>C11+C13</f>
        <v>8358.42</v>
      </c>
      <c r="D10" s="58"/>
      <c r="E10" s="68"/>
    </row>
    <row r="11" spans="1:5" ht="17.25" customHeight="1">
      <c r="A11" s="237" t="s">
        <v>7</v>
      </c>
      <c r="B11" s="59" t="s">
        <v>76</v>
      </c>
      <c r="C11" s="62">
        <v>1002.18</v>
      </c>
      <c r="D11" s="61"/>
      <c r="E11" s="41"/>
    </row>
    <row r="12" spans="1:5" ht="17.25" customHeight="1">
      <c r="A12" s="238"/>
      <c r="B12" s="70" t="s">
        <v>137</v>
      </c>
      <c r="C12" s="239">
        <v>1002.18</v>
      </c>
      <c r="D12" s="72">
        <v>5</v>
      </c>
      <c r="E12" s="803" t="s">
        <v>153</v>
      </c>
    </row>
    <row r="13" spans="1:5" ht="17.25" customHeight="1">
      <c r="A13" s="237" t="s">
        <v>8</v>
      </c>
      <c r="B13" s="59" t="s">
        <v>83</v>
      </c>
      <c r="C13" s="62">
        <f>C14+C15</f>
        <v>7356.24</v>
      </c>
      <c r="D13" s="41"/>
      <c r="E13" s="803"/>
    </row>
    <row r="14" spans="1:5" ht="17.25" customHeight="1">
      <c r="A14" s="238"/>
      <c r="B14" s="70" t="s">
        <v>137</v>
      </c>
      <c r="C14" s="239">
        <v>2203.19</v>
      </c>
      <c r="D14" s="72">
        <v>5</v>
      </c>
      <c r="E14" s="803"/>
    </row>
    <row r="15" spans="1:5" ht="17.25" customHeight="1">
      <c r="A15" s="238"/>
      <c r="B15" s="70" t="s">
        <v>138</v>
      </c>
      <c r="C15" s="239">
        <v>5153.05</v>
      </c>
      <c r="D15" s="72">
        <v>5</v>
      </c>
      <c r="E15" s="803"/>
    </row>
    <row r="16" spans="1:5" ht="17.25" customHeight="1">
      <c r="A16" s="236" t="s">
        <v>5</v>
      </c>
      <c r="B16" s="56" t="s">
        <v>89</v>
      </c>
      <c r="C16" s="75"/>
      <c r="D16" s="68"/>
      <c r="E16" s="241"/>
    </row>
    <row r="17" spans="1:6" ht="42.75" customHeight="1">
      <c r="A17" s="265">
        <v>2</v>
      </c>
      <c r="B17" s="132" t="s">
        <v>90</v>
      </c>
      <c r="C17" s="266">
        <v>4321.6400000000003</v>
      </c>
      <c r="D17" s="134">
        <v>7</v>
      </c>
      <c r="E17" s="267" t="s">
        <v>154</v>
      </c>
    </row>
    <row r="18" spans="1:6" ht="17.25" customHeight="1">
      <c r="A18" s="260" t="s">
        <v>3</v>
      </c>
      <c r="B18" s="261" t="s">
        <v>91</v>
      </c>
      <c r="C18" s="262">
        <f>C19+C26</f>
        <v>1985.73</v>
      </c>
      <c r="D18" s="263"/>
      <c r="E18" s="264"/>
    </row>
    <row r="19" spans="1:6" s="69" customFormat="1" ht="17.25" customHeight="1">
      <c r="A19" s="236" t="s">
        <v>1</v>
      </c>
      <c r="B19" s="56" t="s">
        <v>74</v>
      </c>
      <c r="C19" s="57">
        <f>C20+C23</f>
        <v>591.96</v>
      </c>
      <c r="D19" s="68"/>
      <c r="E19" s="241"/>
      <c r="F19" s="108"/>
    </row>
    <row r="20" spans="1:6" s="69" customFormat="1" ht="17.25" customHeight="1">
      <c r="A20" s="236">
        <v>1</v>
      </c>
      <c r="B20" s="56" t="s">
        <v>75</v>
      </c>
      <c r="C20" s="57">
        <f>C22</f>
        <v>119.8</v>
      </c>
      <c r="D20" s="68"/>
      <c r="E20" s="241"/>
      <c r="F20" s="108"/>
    </row>
    <row r="21" spans="1:6" s="63" customFormat="1" ht="17.25" customHeight="1">
      <c r="A21" s="237" t="s">
        <v>7</v>
      </c>
      <c r="B21" s="59" t="s">
        <v>76</v>
      </c>
      <c r="C21" s="60"/>
      <c r="D21" s="41"/>
      <c r="E21" s="242"/>
      <c r="F21" s="53"/>
    </row>
    <row r="22" spans="1:6" ht="17.25" customHeight="1">
      <c r="A22" s="243"/>
      <c r="B22" s="64" t="s">
        <v>94</v>
      </c>
      <c r="C22" s="66">
        <v>119.8</v>
      </c>
      <c r="D22" s="67">
        <v>9</v>
      </c>
      <c r="E22" s="803" t="s">
        <v>155</v>
      </c>
    </row>
    <row r="23" spans="1:6" ht="17.25" customHeight="1">
      <c r="A23" s="237" t="s">
        <v>8</v>
      </c>
      <c r="B23" s="59" t="s">
        <v>83</v>
      </c>
      <c r="C23" s="57">
        <f>C24</f>
        <v>472.16</v>
      </c>
      <c r="D23" s="41"/>
      <c r="E23" s="803"/>
    </row>
    <row r="24" spans="1:6" s="63" customFormat="1" ht="17.25" customHeight="1">
      <c r="A24" s="243"/>
      <c r="B24" s="64" t="s">
        <v>94</v>
      </c>
      <c r="C24" s="66">
        <v>472.16</v>
      </c>
      <c r="D24" s="67">
        <v>9</v>
      </c>
      <c r="E24" s="803"/>
      <c r="F24" s="53"/>
    </row>
    <row r="25" spans="1:6" ht="17.25" customHeight="1">
      <c r="A25" s="236">
        <v>2</v>
      </c>
      <c r="B25" s="56" t="s">
        <v>96</v>
      </c>
      <c r="C25" s="57"/>
      <c r="D25" s="68"/>
      <c r="E25" s="240"/>
    </row>
    <row r="26" spans="1:6" s="69" customFormat="1" ht="17.25" customHeight="1">
      <c r="A26" s="236" t="s">
        <v>5</v>
      </c>
      <c r="B26" s="56" t="s">
        <v>89</v>
      </c>
      <c r="C26" s="57">
        <f>C27+C33</f>
        <v>1393.77</v>
      </c>
      <c r="D26" s="68"/>
      <c r="E26" s="241"/>
      <c r="F26" s="108"/>
    </row>
    <row r="27" spans="1:6" s="69" customFormat="1" ht="17.25" customHeight="1">
      <c r="A27" s="236">
        <v>1</v>
      </c>
      <c r="B27" s="56" t="s">
        <v>75</v>
      </c>
      <c r="C27" s="57">
        <f>C28+C32</f>
        <v>562.61</v>
      </c>
      <c r="D27" s="68"/>
      <c r="E27" s="241"/>
      <c r="F27" s="108"/>
    </row>
    <row r="28" spans="1:6" s="69" customFormat="1" ht="17.25" customHeight="1">
      <c r="A28" s="237" t="s">
        <v>7</v>
      </c>
      <c r="B28" s="59" t="s">
        <v>76</v>
      </c>
      <c r="C28" s="62">
        <f>SUM(C29:C31)</f>
        <v>562.61</v>
      </c>
      <c r="D28" s="41"/>
      <c r="E28" s="241"/>
      <c r="F28" s="108"/>
    </row>
    <row r="29" spans="1:6" s="69" customFormat="1" ht="17.25" customHeight="1">
      <c r="A29" s="243"/>
      <c r="B29" s="73" t="s">
        <v>97</v>
      </c>
      <c r="C29" s="66">
        <v>54.96</v>
      </c>
      <c r="D29" s="67">
        <v>12</v>
      </c>
      <c r="E29" s="241"/>
      <c r="F29" s="108"/>
    </row>
    <row r="30" spans="1:6" s="69" customFormat="1" ht="17.25" customHeight="1">
      <c r="A30" s="243"/>
      <c r="B30" s="73" t="s">
        <v>99</v>
      </c>
      <c r="C30" s="66">
        <v>120.68</v>
      </c>
      <c r="D30" s="67">
        <v>12</v>
      </c>
      <c r="E30" s="241"/>
      <c r="F30" s="108"/>
    </row>
    <row r="31" spans="1:6" ht="17.25" customHeight="1">
      <c r="A31" s="243"/>
      <c r="B31" s="74" t="s">
        <v>100</v>
      </c>
      <c r="C31" s="66">
        <v>386.97</v>
      </c>
      <c r="D31" s="67">
        <v>12</v>
      </c>
      <c r="E31" s="240"/>
    </row>
    <row r="32" spans="1:6" s="63" customFormat="1" ht="17.25" customHeight="1">
      <c r="A32" s="237" t="s">
        <v>8</v>
      </c>
      <c r="B32" s="59" t="s">
        <v>83</v>
      </c>
      <c r="C32" s="62"/>
      <c r="D32" s="41"/>
      <c r="E32" s="242"/>
      <c r="F32" s="53"/>
    </row>
    <row r="33" spans="1:6" ht="17.25" customHeight="1">
      <c r="A33" s="236">
        <v>2</v>
      </c>
      <c r="B33" s="56" t="s">
        <v>90</v>
      </c>
      <c r="C33" s="75">
        <f>SUM(C34:C38)</f>
        <v>831.16</v>
      </c>
      <c r="D33" s="68"/>
      <c r="E33" s="240"/>
    </row>
    <row r="34" spans="1:6" ht="17.25" customHeight="1">
      <c r="A34" s="243"/>
      <c r="B34" s="73" t="s">
        <v>97</v>
      </c>
      <c r="C34" s="66">
        <v>140.61000000000001</v>
      </c>
      <c r="D34" s="67">
        <v>12</v>
      </c>
      <c r="E34" s="240"/>
    </row>
    <row r="35" spans="1:6" s="69" customFormat="1" ht="17.25" customHeight="1">
      <c r="A35" s="243"/>
      <c r="B35" s="73" t="s">
        <v>99</v>
      </c>
      <c r="C35" s="66">
        <v>85.38</v>
      </c>
      <c r="D35" s="67">
        <v>12</v>
      </c>
      <c r="E35" s="241"/>
      <c r="F35" s="108"/>
    </row>
    <row r="36" spans="1:6" ht="17.25" customHeight="1">
      <c r="A36" s="243"/>
      <c r="B36" s="74" t="s">
        <v>103</v>
      </c>
      <c r="C36" s="66">
        <v>416.53</v>
      </c>
      <c r="D36" s="67">
        <v>12</v>
      </c>
      <c r="E36" s="240"/>
    </row>
    <row r="37" spans="1:6" ht="17.25" customHeight="1">
      <c r="A37" s="243"/>
      <c r="B37" s="74" t="s">
        <v>104</v>
      </c>
      <c r="C37" s="66">
        <v>64.17</v>
      </c>
      <c r="D37" s="67">
        <v>12</v>
      </c>
      <c r="E37" s="240"/>
    </row>
    <row r="38" spans="1:6" ht="17.25" customHeight="1">
      <c r="A38" s="268"/>
      <c r="B38" s="130" t="s">
        <v>100</v>
      </c>
      <c r="C38" s="269">
        <v>124.47</v>
      </c>
      <c r="D38" s="270">
        <v>12</v>
      </c>
      <c r="E38" s="267"/>
    </row>
    <row r="39" spans="1:6" s="69" customFormat="1" ht="17.25" customHeight="1">
      <c r="A39" s="260" t="s">
        <v>4</v>
      </c>
      <c r="B39" s="261" t="s">
        <v>24</v>
      </c>
      <c r="C39" s="262">
        <f>C40+C49</f>
        <v>250.29</v>
      </c>
      <c r="D39" s="263"/>
      <c r="E39" s="264"/>
      <c r="F39" s="108"/>
    </row>
    <row r="40" spans="1:6" ht="17.25" customHeight="1">
      <c r="A40" s="236" t="s">
        <v>1</v>
      </c>
      <c r="B40" s="56" t="s">
        <v>74</v>
      </c>
      <c r="C40" s="57">
        <f>C41+C46</f>
        <v>143.10999999999999</v>
      </c>
      <c r="D40" s="68"/>
      <c r="E40" s="244"/>
    </row>
    <row r="41" spans="1:6" ht="17.25" customHeight="1">
      <c r="A41" s="236">
        <v>1</v>
      </c>
      <c r="B41" s="56" t="s">
        <v>75</v>
      </c>
      <c r="C41" s="57">
        <f>C42+C43</f>
        <v>78.97999999999999</v>
      </c>
      <c r="D41" s="68"/>
      <c r="E41" s="244"/>
    </row>
    <row r="42" spans="1:6" ht="17.25" customHeight="1">
      <c r="A42" s="237" t="s">
        <v>7</v>
      </c>
      <c r="B42" s="59" t="s">
        <v>76</v>
      </c>
      <c r="C42" s="60"/>
      <c r="D42" s="41"/>
      <c r="E42" s="244"/>
    </row>
    <row r="43" spans="1:6" ht="17.25" customHeight="1">
      <c r="A43" s="237" t="s">
        <v>8</v>
      </c>
      <c r="B43" s="59" t="s">
        <v>83</v>
      </c>
      <c r="C43" s="60">
        <f>C44+C45</f>
        <v>78.97999999999999</v>
      </c>
      <c r="D43" s="41"/>
      <c r="E43" s="244"/>
    </row>
    <row r="44" spans="1:6" ht="29.25" customHeight="1">
      <c r="A44" s="238"/>
      <c r="B44" s="70" t="s">
        <v>106</v>
      </c>
      <c r="C44" s="71">
        <v>34.619999999999997</v>
      </c>
      <c r="D44" s="72">
        <v>6</v>
      </c>
      <c r="E44" s="244" t="s">
        <v>156</v>
      </c>
    </row>
    <row r="45" spans="1:6" ht="17.25" customHeight="1">
      <c r="A45" s="238"/>
      <c r="B45" s="70" t="s">
        <v>107</v>
      </c>
      <c r="C45" s="71">
        <v>44.36</v>
      </c>
      <c r="D45" s="72">
        <v>10</v>
      </c>
      <c r="E45" s="244"/>
    </row>
    <row r="46" spans="1:6" ht="17.25" customHeight="1">
      <c r="A46" s="236">
        <v>2</v>
      </c>
      <c r="B46" s="56" t="s">
        <v>96</v>
      </c>
      <c r="C46" s="57">
        <f>C47+C48</f>
        <v>64.13</v>
      </c>
      <c r="D46" s="68"/>
      <c r="E46" s="244"/>
    </row>
    <row r="47" spans="1:6" ht="17.25" customHeight="1">
      <c r="A47" s="243"/>
      <c r="B47" s="70" t="s">
        <v>106</v>
      </c>
      <c r="C47" s="65">
        <v>16.13</v>
      </c>
      <c r="D47" s="68"/>
      <c r="E47" s="244"/>
    </row>
    <row r="48" spans="1:6" ht="17.25" customHeight="1">
      <c r="A48" s="243"/>
      <c r="B48" s="70" t="s">
        <v>107</v>
      </c>
      <c r="C48" s="65">
        <v>48</v>
      </c>
      <c r="D48" s="68"/>
      <c r="E48" s="244"/>
    </row>
    <row r="49" spans="1:6" ht="17.25" customHeight="1">
      <c r="A49" s="236" t="s">
        <v>5</v>
      </c>
      <c r="B49" s="56" t="s">
        <v>89</v>
      </c>
      <c r="C49" s="57">
        <f>C50</f>
        <v>107.18</v>
      </c>
      <c r="D49" s="68"/>
      <c r="E49" s="244"/>
    </row>
    <row r="50" spans="1:6" ht="17.25" customHeight="1">
      <c r="A50" s="236">
        <v>1</v>
      </c>
      <c r="B50" s="56" t="s">
        <v>75</v>
      </c>
      <c r="C50" s="57">
        <f>C51</f>
        <v>107.18</v>
      </c>
      <c r="D50" s="68">
        <v>12</v>
      </c>
      <c r="E50" s="244"/>
    </row>
    <row r="51" spans="1:6" ht="17.25" customHeight="1">
      <c r="A51" s="237" t="s">
        <v>7</v>
      </c>
      <c r="B51" s="59" t="s">
        <v>76</v>
      </c>
      <c r="C51" s="60">
        <f>C52+C53</f>
        <v>107.18</v>
      </c>
      <c r="D51" s="41">
        <v>12</v>
      </c>
      <c r="E51" s="244"/>
    </row>
    <row r="52" spans="1:6" ht="17.25" customHeight="1">
      <c r="A52" s="238"/>
      <c r="B52" s="70" t="str">
        <f>B44</f>
        <v>Thị trấn Yến Lạc</v>
      </c>
      <c r="C52" s="71">
        <v>57.53</v>
      </c>
      <c r="D52" s="72">
        <v>12</v>
      </c>
      <c r="E52" s="244"/>
    </row>
    <row r="53" spans="1:6" ht="17.25" customHeight="1">
      <c r="A53" s="238"/>
      <c r="B53" s="70" t="s">
        <v>107</v>
      </c>
      <c r="C53" s="71">
        <v>49.65</v>
      </c>
      <c r="D53" s="72">
        <v>12</v>
      </c>
      <c r="E53" s="244"/>
    </row>
    <row r="54" spans="1:6" ht="17.25" customHeight="1">
      <c r="A54" s="237" t="s">
        <v>8</v>
      </c>
      <c r="B54" s="59" t="s">
        <v>83</v>
      </c>
      <c r="C54" s="60"/>
      <c r="D54" s="41"/>
      <c r="E54" s="244"/>
    </row>
    <row r="55" spans="1:6" ht="17.25" customHeight="1">
      <c r="A55" s="265">
        <v>2</v>
      </c>
      <c r="B55" s="132" t="s">
        <v>90</v>
      </c>
      <c r="C55" s="133"/>
      <c r="D55" s="134"/>
      <c r="E55" s="259"/>
    </row>
    <row r="56" spans="1:6" s="69" customFormat="1" ht="17.25" customHeight="1">
      <c r="A56" s="260" t="s">
        <v>11</v>
      </c>
      <c r="B56" s="261" t="s">
        <v>25</v>
      </c>
      <c r="C56" s="262">
        <f>C57+C62</f>
        <v>496.28</v>
      </c>
      <c r="D56" s="263"/>
      <c r="E56" s="264"/>
      <c r="F56" s="108"/>
    </row>
    <row r="57" spans="1:6" ht="17.25" customHeight="1">
      <c r="A57" s="236" t="s">
        <v>1</v>
      </c>
      <c r="B57" s="56" t="s">
        <v>74</v>
      </c>
      <c r="C57" s="57"/>
      <c r="D57" s="68"/>
      <c r="E57" s="241"/>
    </row>
    <row r="58" spans="1:6" ht="17.25" customHeight="1">
      <c r="A58" s="236">
        <v>1</v>
      </c>
      <c r="B58" s="56" t="s">
        <v>75</v>
      </c>
      <c r="C58" s="57"/>
      <c r="D58" s="68"/>
      <c r="E58" s="241"/>
    </row>
    <row r="59" spans="1:6" ht="17.25" customHeight="1">
      <c r="A59" s="237" t="s">
        <v>7</v>
      </c>
      <c r="B59" s="59" t="s">
        <v>76</v>
      </c>
      <c r="C59" s="60"/>
      <c r="D59" s="41"/>
      <c r="E59" s="242"/>
    </row>
    <row r="60" spans="1:6" ht="17.25" customHeight="1">
      <c r="A60" s="237" t="s">
        <v>8</v>
      </c>
      <c r="B60" s="59" t="s">
        <v>83</v>
      </c>
      <c r="C60" s="60"/>
      <c r="D60" s="41"/>
      <c r="E60" s="242"/>
    </row>
    <row r="61" spans="1:6" ht="17.25" customHeight="1">
      <c r="A61" s="236">
        <v>2</v>
      </c>
      <c r="B61" s="56" t="s">
        <v>96</v>
      </c>
      <c r="C61" s="57"/>
      <c r="D61" s="68"/>
      <c r="E61" s="241"/>
    </row>
    <row r="62" spans="1:6" ht="17.25" customHeight="1">
      <c r="A62" s="236" t="s">
        <v>5</v>
      </c>
      <c r="B62" s="56" t="s">
        <v>89</v>
      </c>
      <c r="C62" s="57">
        <f>C63+C68</f>
        <v>496.28</v>
      </c>
      <c r="D62" s="68"/>
      <c r="E62" s="241"/>
    </row>
    <row r="63" spans="1:6" ht="17.25" customHeight="1">
      <c r="A63" s="236">
        <v>1</v>
      </c>
      <c r="B63" s="56" t="s">
        <v>75</v>
      </c>
      <c r="C63" s="57">
        <f>C65+C67</f>
        <v>482.28999999999996</v>
      </c>
      <c r="D63" s="68"/>
      <c r="E63" s="241"/>
    </row>
    <row r="64" spans="1:6" ht="17.25" customHeight="1">
      <c r="A64" s="237" t="s">
        <v>7</v>
      </c>
      <c r="B64" s="59" t="s">
        <v>76</v>
      </c>
      <c r="C64" s="60"/>
      <c r="D64" s="41"/>
      <c r="E64" s="242"/>
    </row>
    <row r="65" spans="1:6" ht="17.25" customHeight="1">
      <c r="A65" s="238"/>
      <c r="B65" s="70" t="s">
        <v>108</v>
      </c>
      <c r="C65" s="71" t="s">
        <v>139</v>
      </c>
      <c r="D65" s="72">
        <v>12</v>
      </c>
      <c r="E65" s="244"/>
    </row>
    <row r="66" spans="1:6" ht="17.25" customHeight="1">
      <c r="A66" s="237" t="s">
        <v>8</v>
      </c>
      <c r="B66" s="59" t="s">
        <v>83</v>
      </c>
      <c r="C66" s="60"/>
      <c r="D66" s="41"/>
      <c r="E66" s="242"/>
    </row>
    <row r="67" spans="1:6" ht="17.25" customHeight="1">
      <c r="A67" s="238"/>
      <c r="B67" s="70" t="s">
        <v>108</v>
      </c>
      <c r="C67" s="71" t="s">
        <v>140</v>
      </c>
      <c r="D67" s="72">
        <v>12</v>
      </c>
      <c r="E67" s="244"/>
    </row>
    <row r="68" spans="1:6" ht="17.25" customHeight="1">
      <c r="A68" s="236">
        <v>2</v>
      </c>
      <c r="B68" s="56" t="s">
        <v>90</v>
      </c>
      <c r="C68" s="57" t="str">
        <f>C69</f>
        <v>13,99</v>
      </c>
      <c r="D68" s="68"/>
      <c r="E68" s="241"/>
    </row>
    <row r="69" spans="1:6" ht="17.25" customHeight="1">
      <c r="A69" s="271"/>
      <c r="B69" s="135" t="s">
        <v>108</v>
      </c>
      <c r="C69" s="272" t="s">
        <v>141</v>
      </c>
      <c r="D69" s="258">
        <v>12</v>
      </c>
      <c r="E69" s="259"/>
    </row>
    <row r="70" spans="1:6" s="69" customFormat="1" ht="17.25" customHeight="1">
      <c r="A70" s="260" t="s">
        <v>48</v>
      </c>
      <c r="B70" s="261" t="s">
        <v>110</v>
      </c>
      <c r="C70" s="262">
        <f>C71+C83</f>
        <v>3647.0400000000004</v>
      </c>
      <c r="D70" s="263"/>
      <c r="E70" s="264"/>
      <c r="F70" s="108"/>
    </row>
    <row r="71" spans="1:6" ht="17.25" customHeight="1">
      <c r="A71" s="236" t="s">
        <v>1</v>
      </c>
      <c r="B71" s="56" t="s">
        <v>74</v>
      </c>
      <c r="C71" s="75">
        <f>C72+C78+C81</f>
        <v>170.38</v>
      </c>
      <c r="D71" s="68"/>
      <c r="E71" s="241"/>
    </row>
    <row r="72" spans="1:6" ht="17.25" customHeight="1">
      <c r="A72" s="236">
        <v>1</v>
      </c>
      <c r="B72" s="56" t="s">
        <v>75</v>
      </c>
      <c r="C72" s="75">
        <f>C73+C75</f>
        <v>125</v>
      </c>
      <c r="D72" s="68"/>
      <c r="E72" s="241"/>
    </row>
    <row r="73" spans="1:6" ht="17.25" customHeight="1">
      <c r="A73" s="237" t="s">
        <v>7</v>
      </c>
      <c r="B73" s="59" t="s">
        <v>76</v>
      </c>
      <c r="C73" s="62">
        <f>C74</f>
        <v>37.4</v>
      </c>
      <c r="D73" s="41"/>
      <c r="E73" s="242"/>
    </row>
    <row r="74" spans="1:6" ht="31.5" customHeight="1">
      <c r="A74" s="243"/>
      <c r="B74" s="91" t="s">
        <v>111</v>
      </c>
      <c r="C74" s="66">
        <v>37.4</v>
      </c>
      <c r="D74" s="67">
        <v>10</v>
      </c>
      <c r="E74" s="240" t="s">
        <v>157</v>
      </c>
    </row>
    <row r="75" spans="1:6" ht="17.25" customHeight="1">
      <c r="A75" s="237" t="s">
        <v>8</v>
      </c>
      <c r="B75" s="59" t="s">
        <v>83</v>
      </c>
      <c r="C75" s="62">
        <f>C76+C77</f>
        <v>87.600000000000009</v>
      </c>
      <c r="D75" s="41"/>
      <c r="E75" s="242"/>
    </row>
    <row r="76" spans="1:6" ht="17.25" customHeight="1">
      <c r="A76" s="243"/>
      <c r="B76" s="91" t="s">
        <v>112</v>
      </c>
      <c r="C76" s="97">
        <v>64.62</v>
      </c>
      <c r="D76" s="67">
        <v>12</v>
      </c>
      <c r="E76" s="240"/>
    </row>
    <row r="77" spans="1:6" ht="30" customHeight="1">
      <c r="A77" s="243"/>
      <c r="B77" s="91" t="s">
        <v>113</v>
      </c>
      <c r="C77" s="66">
        <v>22.98</v>
      </c>
      <c r="D77" s="67">
        <v>10</v>
      </c>
      <c r="E77" s="240" t="s">
        <v>157</v>
      </c>
    </row>
    <row r="78" spans="1:6" ht="17.25" customHeight="1">
      <c r="A78" s="236">
        <v>2</v>
      </c>
      <c r="B78" s="56" t="s">
        <v>114</v>
      </c>
      <c r="C78" s="75">
        <f>C79</f>
        <v>33.08</v>
      </c>
      <c r="D78" s="68"/>
      <c r="E78" s="241"/>
    </row>
    <row r="79" spans="1:6" ht="17.25" customHeight="1">
      <c r="A79" s="237" t="s">
        <v>9</v>
      </c>
      <c r="B79" s="59" t="s">
        <v>83</v>
      </c>
      <c r="C79" s="62">
        <f>C80</f>
        <v>33.08</v>
      </c>
      <c r="D79" s="41"/>
      <c r="E79" s="242"/>
    </row>
    <row r="80" spans="1:6" ht="30" customHeight="1">
      <c r="A80" s="243"/>
      <c r="B80" s="91" t="s">
        <v>111</v>
      </c>
      <c r="C80" s="66">
        <v>33.08</v>
      </c>
      <c r="D80" s="67">
        <v>10</v>
      </c>
      <c r="E80" s="240" t="s">
        <v>157</v>
      </c>
    </row>
    <row r="81" spans="1:5" ht="17.25" customHeight="1">
      <c r="A81" s="236">
        <v>3</v>
      </c>
      <c r="B81" s="56" t="s">
        <v>96</v>
      </c>
      <c r="C81" s="75">
        <f>C82</f>
        <v>12.3</v>
      </c>
      <c r="D81" s="68"/>
      <c r="E81" s="241"/>
    </row>
    <row r="82" spans="1:5" ht="17.25" customHeight="1">
      <c r="A82" s="243"/>
      <c r="B82" s="91" t="s">
        <v>113</v>
      </c>
      <c r="C82" s="66">
        <v>12.3</v>
      </c>
      <c r="D82" s="67">
        <v>12</v>
      </c>
      <c r="E82" s="240"/>
    </row>
    <row r="83" spans="1:5" ht="17.25" customHeight="1">
      <c r="A83" s="236" t="s">
        <v>5</v>
      </c>
      <c r="B83" s="56" t="s">
        <v>89</v>
      </c>
      <c r="C83" s="75">
        <f>C84+C97</f>
        <v>3476.6600000000003</v>
      </c>
      <c r="D83" s="68"/>
      <c r="E83" s="241"/>
    </row>
    <row r="84" spans="1:5" ht="17.25" customHeight="1">
      <c r="A84" s="236">
        <v>1</v>
      </c>
      <c r="B84" s="56" t="s">
        <v>75</v>
      </c>
      <c r="C84" s="75">
        <f>C85+C90</f>
        <v>2168.2600000000002</v>
      </c>
      <c r="D84" s="68"/>
      <c r="E84" s="241"/>
    </row>
    <row r="85" spans="1:5" ht="17.25" customHeight="1">
      <c r="A85" s="237" t="s">
        <v>7</v>
      </c>
      <c r="B85" s="59" t="s">
        <v>76</v>
      </c>
      <c r="C85" s="62">
        <f>SUM(C86:C89)</f>
        <v>1042.68</v>
      </c>
      <c r="D85" s="41"/>
      <c r="E85" s="242"/>
    </row>
    <row r="86" spans="1:5" ht="17.25" customHeight="1">
      <c r="A86" s="245"/>
      <c r="B86" s="91" t="s">
        <v>142</v>
      </c>
      <c r="C86" s="66"/>
      <c r="D86" s="67"/>
      <c r="E86" s="240"/>
    </row>
    <row r="87" spans="1:5" ht="17.25" customHeight="1">
      <c r="A87" s="246"/>
      <c r="B87" s="91" t="s">
        <v>115</v>
      </c>
      <c r="C87" s="66">
        <v>272.18</v>
      </c>
      <c r="D87" s="67">
        <v>12</v>
      </c>
      <c r="E87" s="240"/>
    </row>
    <row r="88" spans="1:5" ht="17.25" customHeight="1">
      <c r="A88" s="245"/>
      <c r="B88" s="91" t="s">
        <v>112</v>
      </c>
      <c r="C88" s="66">
        <v>398.51</v>
      </c>
      <c r="D88" s="67">
        <v>12</v>
      </c>
      <c r="E88" s="240"/>
    </row>
    <row r="89" spans="1:5" ht="17.25" customHeight="1">
      <c r="A89" s="245"/>
      <c r="B89" s="91" t="s">
        <v>113</v>
      </c>
      <c r="C89" s="66">
        <v>371.99</v>
      </c>
      <c r="D89" s="67">
        <v>12</v>
      </c>
      <c r="E89" s="240"/>
    </row>
    <row r="90" spans="1:5" ht="17.25" customHeight="1">
      <c r="A90" s="237" t="s">
        <v>8</v>
      </c>
      <c r="B90" s="59" t="s">
        <v>83</v>
      </c>
      <c r="C90" s="62">
        <f>SUM(C91:C96)</f>
        <v>1125.58</v>
      </c>
      <c r="D90" s="41"/>
      <c r="E90" s="242"/>
    </row>
    <row r="91" spans="1:5" ht="17.25" customHeight="1">
      <c r="A91" s="245"/>
      <c r="B91" s="91" t="s">
        <v>142</v>
      </c>
      <c r="C91" s="66">
        <v>96.64</v>
      </c>
      <c r="D91" s="67">
        <v>12</v>
      </c>
      <c r="E91" s="240"/>
    </row>
    <row r="92" spans="1:5" ht="17.25" customHeight="1">
      <c r="A92" s="246"/>
      <c r="B92" s="91" t="s">
        <v>115</v>
      </c>
      <c r="C92" s="66">
        <v>241.87</v>
      </c>
      <c r="D92" s="67">
        <v>12</v>
      </c>
      <c r="E92" s="240"/>
    </row>
    <row r="93" spans="1:5" ht="17.25" customHeight="1">
      <c r="A93" s="245"/>
      <c r="B93" s="91" t="s">
        <v>111</v>
      </c>
      <c r="C93" s="66">
        <v>32.659999999999997</v>
      </c>
      <c r="D93" s="67">
        <v>12</v>
      </c>
      <c r="E93" s="240"/>
    </row>
    <row r="94" spans="1:5" ht="17.25" customHeight="1">
      <c r="A94" s="245"/>
      <c r="B94" s="91" t="s">
        <v>112</v>
      </c>
      <c r="C94" s="66">
        <v>221.46</v>
      </c>
      <c r="D94" s="67">
        <v>12</v>
      </c>
      <c r="E94" s="240"/>
    </row>
    <row r="95" spans="1:5" ht="17.25" customHeight="1">
      <c r="A95" s="245"/>
      <c r="B95" s="91" t="s">
        <v>113</v>
      </c>
      <c r="C95" s="66">
        <v>317.12</v>
      </c>
      <c r="D95" s="67">
        <v>12</v>
      </c>
      <c r="E95" s="240"/>
    </row>
    <row r="96" spans="1:5" ht="30" customHeight="1">
      <c r="A96" s="247"/>
      <c r="B96" s="100" t="s">
        <v>117</v>
      </c>
      <c r="C96" s="101">
        <v>215.83</v>
      </c>
      <c r="D96" s="67">
        <v>11</v>
      </c>
      <c r="E96" s="240" t="s">
        <v>158</v>
      </c>
    </row>
    <row r="97" spans="1:6" ht="17.25" customHeight="1">
      <c r="A97" s="236">
        <v>2</v>
      </c>
      <c r="B97" s="56" t="s">
        <v>90</v>
      </c>
      <c r="C97" s="75">
        <f>SUM(C98:C103)</f>
        <v>1308.4000000000001</v>
      </c>
      <c r="D97" s="68"/>
      <c r="E97" s="241"/>
    </row>
    <row r="98" spans="1:6" ht="17.25" customHeight="1">
      <c r="A98" s="245"/>
      <c r="B98" s="91" t="s">
        <v>142</v>
      </c>
      <c r="C98" s="66">
        <f>25.06</f>
        <v>25.06</v>
      </c>
      <c r="D98" s="67">
        <v>12</v>
      </c>
      <c r="E98" s="240"/>
    </row>
    <row r="99" spans="1:6" ht="17.25" customHeight="1">
      <c r="A99" s="246"/>
      <c r="B99" s="91" t="s">
        <v>115</v>
      </c>
      <c r="C99" s="66">
        <f>4.46</f>
        <v>4.46</v>
      </c>
      <c r="D99" s="67">
        <v>12</v>
      </c>
      <c r="E99" s="240"/>
    </row>
    <row r="100" spans="1:6" ht="17.25" customHeight="1">
      <c r="A100" s="245"/>
      <c r="B100" s="91" t="s">
        <v>111</v>
      </c>
      <c r="C100" s="66">
        <f>297.55</f>
        <v>297.55</v>
      </c>
      <c r="D100" s="67">
        <v>12</v>
      </c>
      <c r="E100" s="240"/>
    </row>
    <row r="101" spans="1:6" ht="17.25" customHeight="1">
      <c r="A101" s="245"/>
      <c r="B101" s="91" t="s">
        <v>112</v>
      </c>
      <c r="C101" s="66">
        <v>536.64</v>
      </c>
      <c r="D101" s="67">
        <v>12</v>
      </c>
      <c r="E101" s="240"/>
    </row>
    <row r="102" spans="1:6" ht="17.25" customHeight="1">
      <c r="A102" s="245"/>
      <c r="B102" s="91" t="s">
        <v>113</v>
      </c>
      <c r="C102" s="66">
        <v>290.70999999999998</v>
      </c>
      <c r="D102" s="67">
        <v>12</v>
      </c>
      <c r="E102" s="240"/>
    </row>
    <row r="103" spans="1:6" ht="30.75" customHeight="1">
      <c r="A103" s="273"/>
      <c r="B103" s="137" t="s">
        <v>117</v>
      </c>
      <c r="C103" s="138">
        <v>153.97999999999999</v>
      </c>
      <c r="D103" s="270">
        <v>11</v>
      </c>
      <c r="E103" s="267" t="s">
        <v>158</v>
      </c>
    </row>
    <row r="104" spans="1:6" s="69" customFormat="1" ht="17.25" customHeight="1">
      <c r="A104" s="260" t="s">
        <v>49</v>
      </c>
      <c r="B104" s="261" t="s">
        <v>47</v>
      </c>
      <c r="C104" s="262">
        <f>C105+C112</f>
        <v>1812.01</v>
      </c>
      <c r="D104" s="263"/>
      <c r="E104" s="264"/>
      <c r="F104" s="108"/>
    </row>
    <row r="105" spans="1:6" ht="17.25" customHeight="1">
      <c r="A105" s="236" t="s">
        <v>1</v>
      </c>
      <c r="B105" s="56" t="s">
        <v>74</v>
      </c>
      <c r="C105" s="57">
        <f>C109</f>
        <v>30</v>
      </c>
      <c r="D105" s="68"/>
      <c r="E105" s="241"/>
    </row>
    <row r="106" spans="1:6" ht="17.25" customHeight="1">
      <c r="A106" s="236">
        <v>1</v>
      </c>
      <c r="B106" s="56" t="s">
        <v>75</v>
      </c>
      <c r="C106" s="57"/>
      <c r="D106" s="68"/>
      <c r="E106" s="241"/>
    </row>
    <row r="107" spans="1:6" ht="17.25" customHeight="1">
      <c r="A107" s="237" t="s">
        <v>7</v>
      </c>
      <c r="B107" s="59" t="s">
        <v>76</v>
      </c>
      <c r="C107" s="60"/>
      <c r="D107" s="41"/>
      <c r="E107" s="242"/>
    </row>
    <row r="108" spans="1:6" ht="17.25" customHeight="1">
      <c r="A108" s="237" t="s">
        <v>8</v>
      </c>
      <c r="B108" s="59" t="s">
        <v>83</v>
      </c>
      <c r="C108" s="60"/>
      <c r="D108" s="41"/>
      <c r="E108" s="242"/>
    </row>
    <row r="109" spans="1:6" ht="17.25" customHeight="1">
      <c r="A109" s="236">
        <v>2</v>
      </c>
      <c r="B109" s="56" t="s">
        <v>96</v>
      </c>
      <c r="C109" s="57">
        <f>SUM(C110:C111)</f>
        <v>30</v>
      </c>
      <c r="D109" s="68"/>
      <c r="E109" s="241"/>
    </row>
    <row r="110" spans="1:6" ht="17.25" customHeight="1">
      <c r="A110" s="236"/>
      <c r="B110" s="70" t="s">
        <v>120</v>
      </c>
      <c r="C110" s="65">
        <v>10</v>
      </c>
      <c r="D110" s="68"/>
      <c r="E110" s="241"/>
    </row>
    <row r="111" spans="1:6" ht="17.25" customHeight="1">
      <c r="A111" s="236"/>
      <c r="B111" s="70" t="s">
        <v>121</v>
      </c>
      <c r="C111" s="65">
        <v>20</v>
      </c>
      <c r="D111" s="68"/>
      <c r="E111" s="241"/>
    </row>
    <row r="112" spans="1:6" ht="17.25" customHeight="1">
      <c r="A112" s="236" t="s">
        <v>5</v>
      </c>
      <c r="B112" s="56" t="s">
        <v>89</v>
      </c>
      <c r="C112" s="57">
        <f>C113+C123</f>
        <v>1782.01</v>
      </c>
      <c r="D112" s="68"/>
      <c r="E112" s="241"/>
    </row>
    <row r="113" spans="1:6" ht="17.25" customHeight="1">
      <c r="A113" s="236">
        <v>1</v>
      </c>
      <c r="B113" s="56" t="s">
        <v>75</v>
      </c>
      <c r="C113" s="57">
        <f>C114+C119</f>
        <v>1102.98</v>
      </c>
      <c r="D113" s="68"/>
      <c r="E113" s="241"/>
    </row>
    <row r="114" spans="1:6" ht="17.25" customHeight="1">
      <c r="A114" s="237" t="s">
        <v>7</v>
      </c>
      <c r="B114" s="59" t="s">
        <v>76</v>
      </c>
      <c r="C114" s="57">
        <f>SUM(C115:C118)</f>
        <v>876.43000000000006</v>
      </c>
      <c r="D114" s="41"/>
      <c r="E114" s="242"/>
    </row>
    <row r="115" spans="1:6" ht="17.25" customHeight="1">
      <c r="A115" s="238"/>
      <c r="B115" s="70" t="s">
        <v>118</v>
      </c>
      <c r="C115" s="71">
        <v>335.42</v>
      </c>
      <c r="D115" s="72">
        <v>12</v>
      </c>
      <c r="E115" s="244"/>
    </row>
    <row r="116" spans="1:6" ht="17.25" customHeight="1">
      <c r="A116" s="238"/>
      <c r="B116" s="70" t="s">
        <v>119</v>
      </c>
      <c r="C116" s="71">
        <v>104.92</v>
      </c>
      <c r="D116" s="72">
        <v>12</v>
      </c>
      <c r="E116" s="244"/>
    </row>
    <row r="117" spans="1:6" ht="17.25" customHeight="1">
      <c r="A117" s="238"/>
      <c r="B117" s="70" t="s">
        <v>120</v>
      </c>
      <c r="C117" s="71">
        <v>369.56</v>
      </c>
      <c r="D117" s="72">
        <v>12</v>
      </c>
      <c r="E117" s="244"/>
    </row>
    <row r="118" spans="1:6" ht="17.25" customHeight="1">
      <c r="A118" s="238"/>
      <c r="B118" s="70" t="s">
        <v>121</v>
      </c>
      <c r="C118" s="71">
        <v>66.53</v>
      </c>
      <c r="D118" s="72">
        <v>12</v>
      </c>
      <c r="E118" s="244"/>
    </row>
    <row r="119" spans="1:6" ht="17.25" customHeight="1">
      <c r="A119" s="237" t="s">
        <v>8</v>
      </c>
      <c r="B119" s="59" t="s">
        <v>83</v>
      </c>
      <c r="C119" s="57">
        <f>SUM(C120:C122)</f>
        <v>226.55</v>
      </c>
      <c r="D119" s="41"/>
      <c r="E119" s="242"/>
    </row>
    <row r="120" spans="1:6" ht="17.25" customHeight="1">
      <c r="A120" s="238"/>
      <c r="B120" s="70" t="s">
        <v>118</v>
      </c>
      <c r="C120" s="71">
        <v>131.97</v>
      </c>
      <c r="D120" s="72">
        <v>12</v>
      </c>
      <c r="E120" s="244"/>
    </row>
    <row r="121" spans="1:6" ht="17.25" customHeight="1">
      <c r="A121" s="238"/>
      <c r="B121" s="70" t="s">
        <v>119</v>
      </c>
      <c r="C121" s="71">
        <v>59.93</v>
      </c>
      <c r="D121" s="72">
        <v>12</v>
      </c>
      <c r="E121" s="244"/>
    </row>
    <row r="122" spans="1:6" ht="17.25" customHeight="1">
      <c r="A122" s="238"/>
      <c r="B122" s="70" t="s">
        <v>121</v>
      </c>
      <c r="C122" s="71">
        <v>34.65</v>
      </c>
      <c r="D122" s="72">
        <v>12</v>
      </c>
      <c r="E122" s="244"/>
    </row>
    <row r="123" spans="1:6" ht="17.25" customHeight="1">
      <c r="A123" s="236">
        <v>2</v>
      </c>
      <c r="B123" s="56" t="s">
        <v>90</v>
      </c>
      <c r="C123" s="57">
        <f>SUM(C124:C127)</f>
        <v>679.03</v>
      </c>
      <c r="D123" s="68"/>
      <c r="E123" s="241"/>
    </row>
    <row r="124" spans="1:6" ht="17.25" customHeight="1">
      <c r="A124" s="236"/>
      <c r="B124" s="70" t="s">
        <v>118</v>
      </c>
      <c r="C124" s="65">
        <v>9.8699999999999992</v>
      </c>
      <c r="D124" s="67">
        <v>12</v>
      </c>
      <c r="E124" s="241"/>
    </row>
    <row r="125" spans="1:6" ht="17.25" customHeight="1">
      <c r="A125" s="236"/>
      <c r="B125" s="70" t="s">
        <v>119</v>
      </c>
      <c r="C125" s="65">
        <v>93.82</v>
      </c>
      <c r="D125" s="67">
        <v>12</v>
      </c>
      <c r="E125" s="241"/>
    </row>
    <row r="126" spans="1:6" ht="17.25" customHeight="1">
      <c r="A126" s="238"/>
      <c r="B126" s="70" t="s">
        <v>120</v>
      </c>
      <c r="C126" s="65">
        <v>370</v>
      </c>
      <c r="D126" s="67">
        <v>12</v>
      </c>
      <c r="E126" s="244"/>
    </row>
    <row r="127" spans="1:6" ht="17.25" customHeight="1">
      <c r="A127" s="271"/>
      <c r="B127" s="135" t="s">
        <v>121</v>
      </c>
      <c r="C127" s="131">
        <v>205.34</v>
      </c>
      <c r="D127" s="270">
        <v>12</v>
      </c>
      <c r="E127" s="259"/>
    </row>
    <row r="128" spans="1:6" s="69" customFormat="1" ht="17.25" customHeight="1">
      <c r="A128" s="260" t="s">
        <v>50</v>
      </c>
      <c r="B128" s="261" t="s">
        <v>122</v>
      </c>
      <c r="C128" s="262">
        <f>C129+C144</f>
        <v>1778.12</v>
      </c>
      <c r="D128" s="263"/>
      <c r="E128" s="264"/>
      <c r="F128" s="108"/>
    </row>
    <row r="129" spans="1:5">
      <c r="A129" s="236" t="s">
        <v>1</v>
      </c>
      <c r="B129" s="56" t="s">
        <v>74</v>
      </c>
      <c r="C129" s="57">
        <f>C130+C136</f>
        <v>163.54</v>
      </c>
      <c r="D129" s="72"/>
      <c r="E129" s="244"/>
    </row>
    <row r="130" spans="1:5">
      <c r="A130" s="248">
        <v>1</v>
      </c>
      <c r="B130" s="56" t="s">
        <v>75</v>
      </c>
      <c r="C130" s="57">
        <f>SUM(C131,C134)</f>
        <v>135.13999999999999</v>
      </c>
      <c r="D130" s="72"/>
      <c r="E130" s="244"/>
    </row>
    <row r="131" spans="1:5">
      <c r="A131" s="249" t="s">
        <v>7</v>
      </c>
      <c r="B131" s="59" t="s">
        <v>76</v>
      </c>
      <c r="C131" s="60">
        <f>C132+C133</f>
        <v>120.14</v>
      </c>
      <c r="D131" s="72"/>
      <c r="E131" s="244"/>
    </row>
    <row r="132" spans="1:5">
      <c r="A132" s="250"/>
      <c r="B132" s="104" t="s">
        <v>129</v>
      </c>
      <c r="C132" s="251">
        <v>95.14</v>
      </c>
      <c r="D132" s="72">
        <v>12</v>
      </c>
      <c r="E132" s="244"/>
    </row>
    <row r="133" spans="1:5">
      <c r="A133" s="250"/>
      <c r="B133" s="104" t="s">
        <v>130</v>
      </c>
      <c r="C133" s="251">
        <v>25</v>
      </c>
      <c r="D133" s="72">
        <v>12</v>
      </c>
      <c r="E133" s="244"/>
    </row>
    <row r="134" spans="1:5">
      <c r="A134" s="249" t="s">
        <v>8</v>
      </c>
      <c r="B134" s="59" t="s">
        <v>83</v>
      </c>
      <c r="C134" s="60">
        <f>C135</f>
        <v>15</v>
      </c>
      <c r="D134" s="72"/>
      <c r="E134" s="244"/>
    </row>
    <row r="135" spans="1:5">
      <c r="A135" s="250"/>
      <c r="B135" s="104" t="s">
        <v>126</v>
      </c>
      <c r="C135" s="252">
        <v>15</v>
      </c>
      <c r="D135" s="72">
        <v>12</v>
      </c>
      <c r="E135" s="244"/>
    </row>
    <row r="136" spans="1:5">
      <c r="A136" s="248">
        <v>2</v>
      </c>
      <c r="B136" s="56" t="s">
        <v>96</v>
      </c>
      <c r="C136" s="57">
        <f>SUM(C137:C143)</f>
        <v>28.4</v>
      </c>
      <c r="D136" s="72"/>
      <c r="E136" s="244"/>
    </row>
    <row r="137" spans="1:5">
      <c r="A137" s="250"/>
      <c r="B137" s="104" t="s">
        <v>126</v>
      </c>
      <c r="C137" s="253">
        <v>5</v>
      </c>
      <c r="D137" s="72">
        <v>12</v>
      </c>
      <c r="E137" s="244"/>
    </row>
    <row r="138" spans="1:5">
      <c r="A138" s="250"/>
      <c r="B138" s="104" t="s">
        <v>128</v>
      </c>
      <c r="C138" s="253">
        <v>5</v>
      </c>
      <c r="D138" s="72">
        <v>12</v>
      </c>
      <c r="E138" s="244"/>
    </row>
    <row r="139" spans="1:5">
      <c r="A139" s="250"/>
      <c r="B139" s="104" t="s">
        <v>129</v>
      </c>
      <c r="C139" s="253">
        <v>5</v>
      </c>
      <c r="D139" s="72">
        <v>12</v>
      </c>
      <c r="E139" s="244"/>
    </row>
    <row r="140" spans="1:5">
      <c r="A140" s="250"/>
      <c r="B140" s="104" t="s">
        <v>130</v>
      </c>
      <c r="C140" s="253">
        <v>7</v>
      </c>
      <c r="D140" s="72">
        <v>12</v>
      </c>
      <c r="E140" s="244"/>
    </row>
    <row r="141" spans="1:5">
      <c r="A141" s="250"/>
      <c r="B141" s="254" t="s">
        <v>131</v>
      </c>
      <c r="C141" s="253">
        <v>2.2000000000000002</v>
      </c>
      <c r="D141" s="72">
        <v>12</v>
      </c>
      <c r="E141" s="244"/>
    </row>
    <row r="142" spans="1:5">
      <c r="A142" s="250"/>
      <c r="B142" s="254" t="s">
        <v>132</v>
      </c>
      <c r="C142" s="253">
        <v>2</v>
      </c>
      <c r="D142" s="72">
        <v>12</v>
      </c>
      <c r="E142" s="244"/>
    </row>
    <row r="143" spans="1:5">
      <c r="A143" s="250"/>
      <c r="B143" s="254" t="s">
        <v>133</v>
      </c>
      <c r="C143" s="253">
        <v>2.2000000000000002</v>
      </c>
      <c r="D143" s="72">
        <v>12</v>
      </c>
      <c r="E143" s="244"/>
    </row>
    <row r="144" spans="1:5">
      <c r="A144" s="236" t="s">
        <v>5</v>
      </c>
      <c r="B144" s="56" t="s">
        <v>89</v>
      </c>
      <c r="C144" s="57">
        <f>C145+C152</f>
        <v>1614.58</v>
      </c>
      <c r="D144" s="72"/>
      <c r="E144" s="244"/>
    </row>
    <row r="145" spans="1:5">
      <c r="A145" s="248">
        <v>1</v>
      </c>
      <c r="B145" s="56" t="s">
        <v>75</v>
      </c>
      <c r="C145" s="75">
        <f>C146+C150</f>
        <v>1274.3699999999999</v>
      </c>
      <c r="D145" s="72"/>
      <c r="E145" s="244"/>
    </row>
    <row r="146" spans="1:5">
      <c r="A146" s="249" t="s">
        <v>7</v>
      </c>
      <c r="B146" s="59" t="s">
        <v>76</v>
      </c>
      <c r="C146" s="60">
        <f>SUM(C147:C149)</f>
        <v>1004.88</v>
      </c>
      <c r="D146" s="72"/>
      <c r="E146" s="244"/>
    </row>
    <row r="147" spans="1:5">
      <c r="A147" s="250"/>
      <c r="B147" s="104" t="s">
        <v>126</v>
      </c>
      <c r="C147" s="174">
        <v>38.11</v>
      </c>
      <c r="D147" s="72">
        <v>12</v>
      </c>
      <c r="E147" s="244"/>
    </row>
    <row r="148" spans="1:5">
      <c r="A148" s="250"/>
      <c r="B148" s="104" t="s">
        <v>129</v>
      </c>
      <c r="C148" s="174">
        <v>156.24</v>
      </c>
      <c r="D148" s="72">
        <v>12</v>
      </c>
      <c r="E148" s="244"/>
    </row>
    <row r="149" spans="1:5">
      <c r="A149" s="250"/>
      <c r="B149" s="104" t="s">
        <v>130</v>
      </c>
      <c r="C149" s="174">
        <v>810.53</v>
      </c>
      <c r="D149" s="72">
        <v>12</v>
      </c>
      <c r="E149" s="244"/>
    </row>
    <row r="150" spans="1:5">
      <c r="A150" s="249" t="s">
        <v>8</v>
      </c>
      <c r="B150" s="59" t="s">
        <v>83</v>
      </c>
      <c r="C150" s="60">
        <f>C151</f>
        <v>269.48999999999995</v>
      </c>
      <c r="D150" s="72"/>
      <c r="E150" s="244"/>
    </row>
    <row r="151" spans="1:5">
      <c r="A151" s="249"/>
      <c r="B151" s="104" t="s">
        <v>130</v>
      </c>
      <c r="C151" s="65">
        <f>262.84+6.65</f>
        <v>269.48999999999995</v>
      </c>
      <c r="D151" s="72">
        <v>12</v>
      </c>
      <c r="E151" s="244"/>
    </row>
    <row r="152" spans="1:5">
      <c r="A152" s="248">
        <v>2</v>
      </c>
      <c r="B152" s="56" t="s">
        <v>90</v>
      </c>
      <c r="C152" s="57">
        <f>SUM(C153:C156)</f>
        <v>340.21000000000004</v>
      </c>
      <c r="D152" s="72"/>
      <c r="E152" s="244"/>
    </row>
    <row r="153" spans="1:5">
      <c r="A153" s="250"/>
      <c r="B153" s="104" t="s">
        <v>126</v>
      </c>
      <c r="C153" s="174">
        <v>30.3</v>
      </c>
      <c r="D153" s="72">
        <v>12</v>
      </c>
      <c r="E153" s="244"/>
    </row>
    <row r="154" spans="1:5">
      <c r="A154" s="250"/>
      <c r="B154" s="104" t="s">
        <v>128</v>
      </c>
      <c r="C154" s="174">
        <v>93.67</v>
      </c>
      <c r="D154" s="72">
        <v>12</v>
      </c>
      <c r="E154" s="244"/>
    </row>
    <row r="155" spans="1:5">
      <c r="A155" s="250"/>
      <c r="B155" s="104" t="s">
        <v>129</v>
      </c>
      <c r="C155" s="174">
        <v>96.7</v>
      </c>
      <c r="D155" s="72">
        <v>12</v>
      </c>
      <c r="E155" s="244"/>
    </row>
    <row r="156" spans="1:5">
      <c r="A156" s="255"/>
      <c r="B156" s="256" t="s">
        <v>130</v>
      </c>
      <c r="C156" s="257">
        <v>119.54</v>
      </c>
      <c r="D156" s="258">
        <v>12</v>
      </c>
      <c r="E156" s="259"/>
    </row>
    <row r="157" spans="1:5" ht="9.75" customHeight="1"/>
  </sheetData>
  <mergeCells count="9">
    <mergeCell ref="E12:E15"/>
    <mergeCell ref="E22:E24"/>
    <mergeCell ref="A2:E2"/>
    <mergeCell ref="A3:E3"/>
    <mergeCell ref="A5:A6"/>
    <mergeCell ref="B5:B6"/>
    <mergeCell ref="C5:C6"/>
    <mergeCell ref="D5:D6"/>
    <mergeCell ref="E5:E6"/>
  </mergeCells>
  <pageMargins left="0.39370078740157483" right="0.39370078740157483" top="0.74803149606299213" bottom="0.55118110236220474" header="0.31496062992125984" footer="0.31496062992125984"/>
  <pageSetup paperSize="9" scale="76"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Normal="100" zoomScaleSheetLayoutView="70" zoomScalePageLayoutView="70" workbookViewId="0">
      <selection activeCell="C4" sqref="C4:E8"/>
    </sheetView>
  </sheetViews>
  <sheetFormatPr defaultRowHeight="15.5"/>
  <cols>
    <col min="1" max="1" width="6.25" style="12" customWidth="1"/>
    <col min="2" max="2" width="43" style="12" bestFit="1" customWidth="1"/>
    <col min="3" max="8" width="18.58203125" style="12" customWidth="1"/>
    <col min="9" max="235" width="9.1640625" style="12"/>
    <col min="236" max="236" width="6.25" style="12" customWidth="1"/>
    <col min="237" max="237" width="43" style="12" bestFit="1" customWidth="1"/>
    <col min="238" max="240" width="14.83203125" style="12" customWidth="1"/>
    <col min="241" max="246" width="0" style="12" hidden="1" customWidth="1"/>
    <col min="247" max="249" width="14.83203125" style="12" customWidth="1"/>
    <col min="250" max="250" width="17.58203125" style="12" customWidth="1"/>
    <col min="251" max="251" width="14.83203125" style="12" customWidth="1"/>
    <col min="252" max="252" width="17.25" style="12" customWidth="1"/>
    <col min="253" max="491" width="9.1640625" style="12"/>
    <col min="492" max="492" width="6.25" style="12" customWidth="1"/>
    <col min="493" max="493" width="43" style="12" bestFit="1" customWidth="1"/>
    <col min="494" max="496" width="14.83203125" style="12" customWidth="1"/>
    <col min="497" max="502" width="0" style="12" hidden="1" customWidth="1"/>
    <col min="503" max="505" width="14.83203125" style="12" customWidth="1"/>
    <col min="506" max="506" width="17.58203125" style="12" customWidth="1"/>
    <col min="507" max="507" width="14.83203125" style="12" customWidth="1"/>
    <col min="508" max="508" width="17.25" style="12" customWidth="1"/>
    <col min="509" max="747" width="9.1640625" style="12"/>
    <col min="748" max="748" width="6.25" style="12" customWidth="1"/>
    <col min="749" max="749" width="43" style="12" bestFit="1" customWidth="1"/>
    <col min="750" max="752" width="14.83203125" style="12" customWidth="1"/>
    <col min="753" max="758" width="0" style="12" hidden="1" customWidth="1"/>
    <col min="759" max="761" width="14.83203125" style="12" customWidth="1"/>
    <col min="762" max="762" width="17.58203125" style="12" customWidth="1"/>
    <col min="763" max="763" width="14.83203125" style="12" customWidth="1"/>
    <col min="764" max="764" width="17.25" style="12" customWidth="1"/>
    <col min="765" max="1003" width="9.1640625" style="12"/>
    <col min="1004" max="1004" width="6.25" style="12" customWidth="1"/>
    <col min="1005" max="1005" width="43" style="12" bestFit="1" customWidth="1"/>
    <col min="1006" max="1008" width="14.83203125" style="12" customWidth="1"/>
    <col min="1009" max="1014" width="0" style="12" hidden="1" customWidth="1"/>
    <col min="1015" max="1017" width="14.83203125" style="12" customWidth="1"/>
    <col min="1018" max="1018" width="17.58203125" style="12" customWidth="1"/>
    <col min="1019" max="1019" width="14.83203125" style="12" customWidth="1"/>
    <col min="1020" max="1020" width="17.25" style="12" customWidth="1"/>
    <col min="1021" max="1259" width="9.1640625" style="12"/>
    <col min="1260" max="1260" width="6.25" style="12" customWidth="1"/>
    <col min="1261" max="1261" width="43" style="12" bestFit="1" customWidth="1"/>
    <col min="1262" max="1264" width="14.83203125" style="12" customWidth="1"/>
    <col min="1265" max="1270" width="0" style="12" hidden="1" customWidth="1"/>
    <col min="1271" max="1273" width="14.83203125" style="12" customWidth="1"/>
    <col min="1274" max="1274" width="17.58203125" style="12" customWidth="1"/>
    <col min="1275" max="1275" width="14.83203125" style="12" customWidth="1"/>
    <col min="1276" max="1276" width="17.25" style="12" customWidth="1"/>
    <col min="1277" max="1515" width="9.1640625" style="12"/>
    <col min="1516" max="1516" width="6.25" style="12" customWidth="1"/>
    <col min="1517" max="1517" width="43" style="12" bestFit="1" customWidth="1"/>
    <col min="1518" max="1520" width="14.83203125" style="12" customWidth="1"/>
    <col min="1521" max="1526" width="0" style="12" hidden="1" customWidth="1"/>
    <col min="1527" max="1529" width="14.83203125" style="12" customWidth="1"/>
    <col min="1530" max="1530" width="17.58203125" style="12" customWidth="1"/>
    <col min="1531" max="1531" width="14.83203125" style="12" customWidth="1"/>
    <col min="1532" max="1532" width="17.25" style="12" customWidth="1"/>
    <col min="1533" max="1771" width="9.1640625" style="12"/>
    <col min="1772" max="1772" width="6.25" style="12" customWidth="1"/>
    <col min="1773" max="1773" width="43" style="12" bestFit="1" customWidth="1"/>
    <col min="1774" max="1776" width="14.83203125" style="12" customWidth="1"/>
    <col min="1777" max="1782" width="0" style="12" hidden="1" customWidth="1"/>
    <col min="1783" max="1785" width="14.83203125" style="12" customWidth="1"/>
    <col min="1786" max="1786" width="17.58203125" style="12" customWidth="1"/>
    <col min="1787" max="1787" width="14.83203125" style="12" customWidth="1"/>
    <col min="1788" max="1788" width="17.25" style="12" customWidth="1"/>
    <col min="1789" max="2027" width="9.1640625" style="12"/>
    <col min="2028" max="2028" width="6.25" style="12" customWidth="1"/>
    <col min="2029" max="2029" width="43" style="12" bestFit="1" customWidth="1"/>
    <col min="2030" max="2032" width="14.83203125" style="12" customWidth="1"/>
    <col min="2033" max="2038" width="0" style="12" hidden="1" customWidth="1"/>
    <col min="2039" max="2041" width="14.83203125" style="12" customWidth="1"/>
    <col min="2042" max="2042" width="17.58203125" style="12" customWidth="1"/>
    <col min="2043" max="2043" width="14.83203125" style="12" customWidth="1"/>
    <col min="2044" max="2044" width="17.25" style="12" customWidth="1"/>
    <col min="2045" max="2283" width="9.1640625" style="12"/>
    <col min="2284" max="2284" width="6.25" style="12" customWidth="1"/>
    <col min="2285" max="2285" width="43" style="12" bestFit="1" customWidth="1"/>
    <col min="2286" max="2288" width="14.83203125" style="12" customWidth="1"/>
    <col min="2289" max="2294" width="0" style="12" hidden="1" customWidth="1"/>
    <col min="2295" max="2297" width="14.83203125" style="12" customWidth="1"/>
    <col min="2298" max="2298" width="17.58203125" style="12" customWidth="1"/>
    <col min="2299" max="2299" width="14.83203125" style="12" customWidth="1"/>
    <col min="2300" max="2300" width="17.25" style="12" customWidth="1"/>
    <col min="2301" max="2539" width="9.1640625" style="12"/>
    <col min="2540" max="2540" width="6.25" style="12" customWidth="1"/>
    <col min="2541" max="2541" width="43" style="12" bestFit="1" customWidth="1"/>
    <col min="2542" max="2544" width="14.83203125" style="12" customWidth="1"/>
    <col min="2545" max="2550" width="0" style="12" hidden="1" customWidth="1"/>
    <col min="2551" max="2553" width="14.83203125" style="12" customWidth="1"/>
    <col min="2554" max="2554" width="17.58203125" style="12" customWidth="1"/>
    <col min="2555" max="2555" width="14.83203125" style="12" customWidth="1"/>
    <col min="2556" max="2556" width="17.25" style="12" customWidth="1"/>
    <col min="2557" max="2795" width="9.1640625" style="12"/>
    <col min="2796" max="2796" width="6.25" style="12" customWidth="1"/>
    <col min="2797" max="2797" width="43" style="12" bestFit="1" customWidth="1"/>
    <col min="2798" max="2800" width="14.83203125" style="12" customWidth="1"/>
    <col min="2801" max="2806" width="0" style="12" hidden="1" customWidth="1"/>
    <col min="2807" max="2809" width="14.83203125" style="12" customWidth="1"/>
    <col min="2810" max="2810" width="17.58203125" style="12" customWidth="1"/>
    <col min="2811" max="2811" width="14.83203125" style="12" customWidth="1"/>
    <col min="2812" max="2812" width="17.25" style="12" customWidth="1"/>
    <col min="2813" max="3051" width="9.1640625" style="12"/>
    <col min="3052" max="3052" width="6.25" style="12" customWidth="1"/>
    <col min="3053" max="3053" width="43" style="12" bestFit="1" customWidth="1"/>
    <col min="3054" max="3056" width="14.83203125" style="12" customWidth="1"/>
    <col min="3057" max="3062" width="0" style="12" hidden="1" customWidth="1"/>
    <col min="3063" max="3065" width="14.83203125" style="12" customWidth="1"/>
    <col min="3066" max="3066" width="17.58203125" style="12" customWidth="1"/>
    <col min="3067" max="3067" width="14.83203125" style="12" customWidth="1"/>
    <col min="3068" max="3068" width="17.25" style="12" customWidth="1"/>
    <col min="3069" max="3307" width="9.1640625" style="12"/>
    <col min="3308" max="3308" width="6.25" style="12" customWidth="1"/>
    <col min="3309" max="3309" width="43" style="12" bestFit="1" customWidth="1"/>
    <col min="3310" max="3312" width="14.83203125" style="12" customWidth="1"/>
    <col min="3313" max="3318" width="0" style="12" hidden="1" customWidth="1"/>
    <col min="3319" max="3321" width="14.83203125" style="12" customWidth="1"/>
    <col min="3322" max="3322" width="17.58203125" style="12" customWidth="1"/>
    <col min="3323" max="3323" width="14.83203125" style="12" customWidth="1"/>
    <col min="3324" max="3324" width="17.25" style="12" customWidth="1"/>
    <col min="3325" max="3563" width="9.1640625" style="12"/>
    <col min="3564" max="3564" width="6.25" style="12" customWidth="1"/>
    <col min="3565" max="3565" width="43" style="12" bestFit="1" customWidth="1"/>
    <col min="3566" max="3568" width="14.83203125" style="12" customWidth="1"/>
    <col min="3569" max="3574" width="0" style="12" hidden="1" customWidth="1"/>
    <col min="3575" max="3577" width="14.83203125" style="12" customWidth="1"/>
    <col min="3578" max="3578" width="17.58203125" style="12" customWidth="1"/>
    <col min="3579" max="3579" width="14.83203125" style="12" customWidth="1"/>
    <col min="3580" max="3580" width="17.25" style="12" customWidth="1"/>
    <col min="3581" max="3819" width="9.1640625" style="12"/>
    <col min="3820" max="3820" width="6.25" style="12" customWidth="1"/>
    <col min="3821" max="3821" width="43" style="12" bestFit="1" customWidth="1"/>
    <col min="3822" max="3824" width="14.83203125" style="12" customWidth="1"/>
    <col min="3825" max="3830" width="0" style="12" hidden="1" customWidth="1"/>
    <col min="3831" max="3833" width="14.83203125" style="12" customWidth="1"/>
    <col min="3834" max="3834" width="17.58203125" style="12" customWidth="1"/>
    <col min="3835" max="3835" width="14.83203125" style="12" customWidth="1"/>
    <col min="3836" max="3836" width="17.25" style="12" customWidth="1"/>
    <col min="3837" max="4075" width="9.1640625" style="12"/>
    <col min="4076" max="4076" width="6.25" style="12" customWidth="1"/>
    <col min="4077" max="4077" width="43" style="12" bestFit="1" customWidth="1"/>
    <col min="4078" max="4080" width="14.83203125" style="12" customWidth="1"/>
    <col min="4081" max="4086" width="0" style="12" hidden="1" customWidth="1"/>
    <col min="4087" max="4089" width="14.83203125" style="12" customWidth="1"/>
    <col min="4090" max="4090" width="17.58203125" style="12" customWidth="1"/>
    <col min="4091" max="4091" width="14.83203125" style="12" customWidth="1"/>
    <col min="4092" max="4092" width="17.25" style="12" customWidth="1"/>
    <col min="4093" max="4331" width="9.1640625" style="12"/>
    <col min="4332" max="4332" width="6.25" style="12" customWidth="1"/>
    <col min="4333" max="4333" width="43" style="12" bestFit="1" customWidth="1"/>
    <col min="4334" max="4336" width="14.83203125" style="12" customWidth="1"/>
    <col min="4337" max="4342" width="0" style="12" hidden="1" customWidth="1"/>
    <col min="4343" max="4345" width="14.83203125" style="12" customWidth="1"/>
    <col min="4346" max="4346" width="17.58203125" style="12" customWidth="1"/>
    <col min="4347" max="4347" width="14.83203125" style="12" customWidth="1"/>
    <col min="4348" max="4348" width="17.25" style="12" customWidth="1"/>
    <col min="4349" max="4587" width="9.1640625" style="12"/>
    <col min="4588" max="4588" width="6.25" style="12" customWidth="1"/>
    <col min="4589" max="4589" width="43" style="12" bestFit="1" customWidth="1"/>
    <col min="4590" max="4592" width="14.83203125" style="12" customWidth="1"/>
    <col min="4593" max="4598" width="0" style="12" hidden="1" customWidth="1"/>
    <col min="4599" max="4601" width="14.83203125" style="12" customWidth="1"/>
    <col min="4602" max="4602" width="17.58203125" style="12" customWidth="1"/>
    <col min="4603" max="4603" width="14.83203125" style="12" customWidth="1"/>
    <col min="4604" max="4604" width="17.25" style="12" customWidth="1"/>
    <col min="4605" max="4843" width="9.1640625" style="12"/>
    <col min="4844" max="4844" width="6.25" style="12" customWidth="1"/>
    <col min="4845" max="4845" width="43" style="12" bestFit="1" customWidth="1"/>
    <col min="4846" max="4848" width="14.83203125" style="12" customWidth="1"/>
    <col min="4849" max="4854" width="0" style="12" hidden="1" customWidth="1"/>
    <col min="4855" max="4857" width="14.83203125" style="12" customWidth="1"/>
    <col min="4858" max="4858" width="17.58203125" style="12" customWidth="1"/>
    <col min="4859" max="4859" width="14.83203125" style="12" customWidth="1"/>
    <col min="4860" max="4860" width="17.25" style="12" customWidth="1"/>
    <col min="4861" max="5099" width="9.1640625" style="12"/>
    <col min="5100" max="5100" width="6.25" style="12" customWidth="1"/>
    <col min="5101" max="5101" width="43" style="12" bestFit="1" customWidth="1"/>
    <col min="5102" max="5104" width="14.83203125" style="12" customWidth="1"/>
    <col min="5105" max="5110" width="0" style="12" hidden="1" customWidth="1"/>
    <col min="5111" max="5113" width="14.83203125" style="12" customWidth="1"/>
    <col min="5114" max="5114" width="17.58203125" style="12" customWidth="1"/>
    <col min="5115" max="5115" width="14.83203125" style="12" customWidth="1"/>
    <col min="5116" max="5116" width="17.25" style="12" customWidth="1"/>
    <col min="5117" max="5355" width="9.1640625" style="12"/>
    <col min="5356" max="5356" width="6.25" style="12" customWidth="1"/>
    <col min="5357" max="5357" width="43" style="12" bestFit="1" customWidth="1"/>
    <col min="5358" max="5360" width="14.83203125" style="12" customWidth="1"/>
    <col min="5361" max="5366" width="0" style="12" hidden="1" customWidth="1"/>
    <col min="5367" max="5369" width="14.83203125" style="12" customWidth="1"/>
    <col min="5370" max="5370" width="17.58203125" style="12" customWidth="1"/>
    <col min="5371" max="5371" width="14.83203125" style="12" customWidth="1"/>
    <col min="5372" max="5372" width="17.25" style="12" customWidth="1"/>
    <col min="5373" max="5611" width="9.1640625" style="12"/>
    <col min="5612" max="5612" width="6.25" style="12" customWidth="1"/>
    <col min="5613" max="5613" width="43" style="12" bestFit="1" customWidth="1"/>
    <col min="5614" max="5616" width="14.83203125" style="12" customWidth="1"/>
    <col min="5617" max="5622" width="0" style="12" hidden="1" customWidth="1"/>
    <col min="5623" max="5625" width="14.83203125" style="12" customWidth="1"/>
    <col min="5626" max="5626" width="17.58203125" style="12" customWidth="1"/>
    <col min="5627" max="5627" width="14.83203125" style="12" customWidth="1"/>
    <col min="5628" max="5628" width="17.25" style="12" customWidth="1"/>
    <col min="5629" max="5867" width="9.1640625" style="12"/>
    <col min="5868" max="5868" width="6.25" style="12" customWidth="1"/>
    <col min="5869" max="5869" width="43" style="12" bestFit="1" customWidth="1"/>
    <col min="5870" max="5872" width="14.83203125" style="12" customWidth="1"/>
    <col min="5873" max="5878" width="0" style="12" hidden="1" customWidth="1"/>
    <col min="5879" max="5881" width="14.83203125" style="12" customWidth="1"/>
    <col min="5882" max="5882" width="17.58203125" style="12" customWidth="1"/>
    <col min="5883" max="5883" width="14.83203125" style="12" customWidth="1"/>
    <col min="5884" max="5884" width="17.25" style="12" customWidth="1"/>
    <col min="5885" max="6123" width="9.1640625" style="12"/>
    <col min="6124" max="6124" width="6.25" style="12" customWidth="1"/>
    <col min="6125" max="6125" width="43" style="12" bestFit="1" customWidth="1"/>
    <col min="6126" max="6128" width="14.83203125" style="12" customWidth="1"/>
    <col min="6129" max="6134" width="0" style="12" hidden="1" customWidth="1"/>
    <col min="6135" max="6137" width="14.83203125" style="12" customWidth="1"/>
    <col min="6138" max="6138" width="17.58203125" style="12" customWidth="1"/>
    <col min="6139" max="6139" width="14.83203125" style="12" customWidth="1"/>
    <col min="6140" max="6140" width="17.25" style="12" customWidth="1"/>
    <col min="6141" max="6379" width="9.1640625" style="12"/>
    <col min="6380" max="6380" width="6.25" style="12" customWidth="1"/>
    <col min="6381" max="6381" width="43" style="12" bestFit="1" customWidth="1"/>
    <col min="6382" max="6384" width="14.83203125" style="12" customWidth="1"/>
    <col min="6385" max="6390" width="0" style="12" hidden="1" customWidth="1"/>
    <col min="6391" max="6393" width="14.83203125" style="12" customWidth="1"/>
    <col min="6394" max="6394" width="17.58203125" style="12" customWidth="1"/>
    <col min="6395" max="6395" width="14.83203125" style="12" customWidth="1"/>
    <col min="6396" max="6396" width="17.25" style="12" customWidth="1"/>
    <col min="6397" max="6635" width="9.1640625" style="12"/>
    <col min="6636" max="6636" width="6.25" style="12" customWidth="1"/>
    <col min="6637" max="6637" width="43" style="12" bestFit="1" customWidth="1"/>
    <col min="6638" max="6640" width="14.83203125" style="12" customWidth="1"/>
    <col min="6641" max="6646" width="0" style="12" hidden="1" customWidth="1"/>
    <col min="6647" max="6649" width="14.83203125" style="12" customWidth="1"/>
    <col min="6650" max="6650" width="17.58203125" style="12" customWidth="1"/>
    <col min="6651" max="6651" width="14.83203125" style="12" customWidth="1"/>
    <col min="6652" max="6652" width="17.25" style="12" customWidth="1"/>
    <col min="6653" max="6891" width="9.1640625" style="12"/>
    <col min="6892" max="6892" width="6.25" style="12" customWidth="1"/>
    <col min="6893" max="6893" width="43" style="12" bestFit="1" customWidth="1"/>
    <col min="6894" max="6896" width="14.83203125" style="12" customWidth="1"/>
    <col min="6897" max="6902" width="0" style="12" hidden="1" customWidth="1"/>
    <col min="6903" max="6905" width="14.83203125" style="12" customWidth="1"/>
    <col min="6906" max="6906" width="17.58203125" style="12" customWidth="1"/>
    <col min="6907" max="6907" width="14.83203125" style="12" customWidth="1"/>
    <col min="6908" max="6908" width="17.25" style="12" customWidth="1"/>
    <col min="6909" max="7147" width="9.1640625" style="12"/>
    <col min="7148" max="7148" width="6.25" style="12" customWidth="1"/>
    <col min="7149" max="7149" width="43" style="12" bestFit="1" customWidth="1"/>
    <col min="7150" max="7152" width="14.83203125" style="12" customWidth="1"/>
    <col min="7153" max="7158" width="0" style="12" hidden="1" customWidth="1"/>
    <col min="7159" max="7161" width="14.83203125" style="12" customWidth="1"/>
    <col min="7162" max="7162" width="17.58203125" style="12" customWidth="1"/>
    <col min="7163" max="7163" width="14.83203125" style="12" customWidth="1"/>
    <col min="7164" max="7164" width="17.25" style="12" customWidth="1"/>
    <col min="7165" max="7403" width="9.1640625" style="12"/>
    <col min="7404" max="7404" width="6.25" style="12" customWidth="1"/>
    <col min="7405" max="7405" width="43" style="12" bestFit="1" customWidth="1"/>
    <col min="7406" max="7408" width="14.83203125" style="12" customWidth="1"/>
    <col min="7409" max="7414" width="0" style="12" hidden="1" customWidth="1"/>
    <col min="7415" max="7417" width="14.83203125" style="12" customWidth="1"/>
    <col min="7418" max="7418" width="17.58203125" style="12" customWidth="1"/>
    <col min="7419" max="7419" width="14.83203125" style="12" customWidth="1"/>
    <col min="7420" max="7420" width="17.25" style="12" customWidth="1"/>
    <col min="7421" max="7659" width="9.1640625" style="12"/>
    <col min="7660" max="7660" width="6.25" style="12" customWidth="1"/>
    <col min="7661" max="7661" width="43" style="12" bestFit="1" customWidth="1"/>
    <col min="7662" max="7664" width="14.83203125" style="12" customWidth="1"/>
    <col min="7665" max="7670" width="0" style="12" hidden="1" customWidth="1"/>
    <col min="7671" max="7673" width="14.83203125" style="12" customWidth="1"/>
    <col min="7674" max="7674" width="17.58203125" style="12" customWidth="1"/>
    <col min="7675" max="7675" width="14.83203125" style="12" customWidth="1"/>
    <col min="7676" max="7676" width="17.25" style="12" customWidth="1"/>
    <col min="7677" max="7915" width="9.1640625" style="12"/>
    <col min="7916" max="7916" width="6.25" style="12" customWidth="1"/>
    <col min="7917" max="7917" width="43" style="12" bestFit="1" customWidth="1"/>
    <col min="7918" max="7920" width="14.83203125" style="12" customWidth="1"/>
    <col min="7921" max="7926" width="0" style="12" hidden="1" customWidth="1"/>
    <col min="7927" max="7929" width="14.83203125" style="12" customWidth="1"/>
    <col min="7930" max="7930" width="17.58203125" style="12" customWidth="1"/>
    <col min="7931" max="7931" width="14.83203125" style="12" customWidth="1"/>
    <col min="7932" max="7932" width="17.25" style="12" customWidth="1"/>
    <col min="7933" max="8171" width="9.1640625" style="12"/>
    <col min="8172" max="8172" width="6.25" style="12" customWidth="1"/>
    <col min="8173" max="8173" width="43" style="12" bestFit="1" customWidth="1"/>
    <col min="8174" max="8176" width="14.83203125" style="12" customWidth="1"/>
    <col min="8177" max="8182" width="0" style="12" hidden="1" customWidth="1"/>
    <col min="8183" max="8185" width="14.83203125" style="12" customWidth="1"/>
    <col min="8186" max="8186" width="17.58203125" style="12" customWidth="1"/>
    <col min="8187" max="8187" width="14.83203125" style="12" customWidth="1"/>
    <col min="8188" max="8188" width="17.25" style="12" customWidth="1"/>
    <col min="8189" max="8427" width="9.1640625" style="12"/>
    <col min="8428" max="8428" width="6.25" style="12" customWidth="1"/>
    <col min="8429" max="8429" width="43" style="12" bestFit="1" customWidth="1"/>
    <col min="8430" max="8432" width="14.83203125" style="12" customWidth="1"/>
    <col min="8433" max="8438" width="0" style="12" hidden="1" customWidth="1"/>
    <col min="8439" max="8441" width="14.83203125" style="12" customWidth="1"/>
    <col min="8442" max="8442" width="17.58203125" style="12" customWidth="1"/>
    <col min="8443" max="8443" width="14.83203125" style="12" customWidth="1"/>
    <col min="8444" max="8444" width="17.25" style="12" customWidth="1"/>
    <col min="8445" max="8683" width="9.1640625" style="12"/>
    <col min="8684" max="8684" width="6.25" style="12" customWidth="1"/>
    <col min="8685" max="8685" width="43" style="12" bestFit="1" customWidth="1"/>
    <col min="8686" max="8688" width="14.83203125" style="12" customWidth="1"/>
    <col min="8689" max="8694" width="0" style="12" hidden="1" customWidth="1"/>
    <col min="8695" max="8697" width="14.83203125" style="12" customWidth="1"/>
    <col min="8698" max="8698" width="17.58203125" style="12" customWidth="1"/>
    <col min="8699" max="8699" width="14.83203125" style="12" customWidth="1"/>
    <col min="8700" max="8700" width="17.25" style="12" customWidth="1"/>
    <col min="8701" max="8939" width="9.1640625" style="12"/>
    <col min="8940" max="8940" width="6.25" style="12" customWidth="1"/>
    <col min="8941" max="8941" width="43" style="12" bestFit="1" customWidth="1"/>
    <col min="8942" max="8944" width="14.83203125" style="12" customWidth="1"/>
    <col min="8945" max="8950" width="0" style="12" hidden="1" customWidth="1"/>
    <col min="8951" max="8953" width="14.83203125" style="12" customWidth="1"/>
    <col min="8954" max="8954" width="17.58203125" style="12" customWidth="1"/>
    <col min="8955" max="8955" width="14.83203125" style="12" customWidth="1"/>
    <col min="8956" max="8956" width="17.25" style="12" customWidth="1"/>
    <col min="8957" max="9195" width="9.1640625" style="12"/>
    <col min="9196" max="9196" width="6.25" style="12" customWidth="1"/>
    <col min="9197" max="9197" width="43" style="12" bestFit="1" customWidth="1"/>
    <col min="9198" max="9200" width="14.83203125" style="12" customWidth="1"/>
    <col min="9201" max="9206" width="0" style="12" hidden="1" customWidth="1"/>
    <col min="9207" max="9209" width="14.83203125" style="12" customWidth="1"/>
    <col min="9210" max="9210" width="17.58203125" style="12" customWidth="1"/>
    <col min="9211" max="9211" width="14.83203125" style="12" customWidth="1"/>
    <col min="9212" max="9212" width="17.25" style="12" customWidth="1"/>
    <col min="9213" max="9451" width="9.1640625" style="12"/>
    <col min="9452" max="9452" width="6.25" style="12" customWidth="1"/>
    <col min="9453" max="9453" width="43" style="12" bestFit="1" customWidth="1"/>
    <col min="9454" max="9456" width="14.83203125" style="12" customWidth="1"/>
    <col min="9457" max="9462" width="0" style="12" hidden="1" customWidth="1"/>
    <col min="9463" max="9465" width="14.83203125" style="12" customWidth="1"/>
    <col min="9466" max="9466" width="17.58203125" style="12" customWidth="1"/>
    <col min="9467" max="9467" width="14.83203125" style="12" customWidth="1"/>
    <col min="9468" max="9468" width="17.25" style="12" customWidth="1"/>
    <col min="9469" max="9707" width="9.1640625" style="12"/>
    <col min="9708" max="9708" width="6.25" style="12" customWidth="1"/>
    <col min="9709" max="9709" width="43" style="12" bestFit="1" customWidth="1"/>
    <col min="9710" max="9712" width="14.83203125" style="12" customWidth="1"/>
    <col min="9713" max="9718" width="0" style="12" hidden="1" customWidth="1"/>
    <col min="9719" max="9721" width="14.83203125" style="12" customWidth="1"/>
    <col min="9722" max="9722" width="17.58203125" style="12" customWidth="1"/>
    <col min="9723" max="9723" width="14.83203125" style="12" customWidth="1"/>
    <col min="9724" max="9724" width="17.25" style="12" customWidth="1"/>
    <col min="9725" max="9963" width="9.1640625" style="12"/>
    <col min="9964" max="9964" width="6.25" style="12" customWidth="1"/>
    <col min="9965" max="9965" width="43" style="12" bestFit="1" customWidth="1"/>
    <col min="9966" max="9968" width="14.83203125" style="12" customWidth="1"/>
    <col min="9969" max="9974" width="0" style="12" hidden="1" customWidth="1"/>
    <col min="9975" max="9977" width="14.83203125" style="12" customWidth="1"/>
    <col min="9978" max="9978" width="17.58203125" style="12" customWidth="1"/>
    <col min="9979" max="9979" width="14.83203125" style="12" customWidth="1"/>
    <col min="9980" max="9980" width="17.25" style="12" customWidth="1"/>
    <col min="9981" max="10219" width="9.1640625" style="12"/>
    <col min="10220" max="10220" width="6.25" style="12" customWidth="1"/>
    <col min="10221" max="10221" width="43" style="12" bestFit="1" customWidth="1"/>
    <col min="10222" max="10224" width="14.83203125" style="12" customWidth="1"/>
    <col min="10225" max="10230" width="0" style="12" hidden="1" customWidth="1"/>
    <col min="10231" max="10233" width="14.83203125" style="12" customWidth="1"/>
    <col min="10234" max="10234" width="17.58203125" style="12" customWidth="1"/>
    <col min="10235" max="10235" width="14.83203125" style="12" customWidth="1"/>
    <col min="10236" max="10236" width="17.25" style="12" customWidth="1"/>
    <col min="10237" max="10475" width="9.1640625" style="12"/>
    <col min="10476" max="10476" width="6.25" style="12" customWidth="1"/>
    <col min="10477" max="10477" width="43" style="12" bestFit="1" customWidth="1"/>
    <col min="10478" max="10480" width="14.83203125" style="12" customWidth="1"/>
    <col min="10481" max="10486" width="0" style="12" hidden="1" customWidth="1"/>
    <col min="10487" max="10489" width="14.83203125" style="12" customWidth="1"/>
    <col min="10490" max="10490" width="17.58203125" style="12" customWidth="1"/>
    <col min="10491" max="10491" width="14.83203125" style="12" customWidth="1"/>
    <col min="10492" max="10492" width="17.25" style="12" customWidth="1"/>
    <col min="10493" max="10731" width="9.1640625" style="12"/>
    <col min="10732" max="10732" width="6.25" style="12" customWidth="1"/>
    <col min="10733" max="10733" width="43" style="12" bestFit="1" customWidth="1"/>
    <col min="10734" max="10736" width="14.83203125" style="12" customWidth="1"/>
    <col min="10737" max="10742" width="0" style="12" hidden="1" customWidth="1"/>
    <col min="10743" max="10745" width="14.83203125" style="12" customWidth="1"/>
    <col min="10746" max="10746" width="17.58203125" style="12" customWidth="1"/>
    <col min="10747" max="10747" width="14.83203125" style="12" customWidth="1"/>
    <col min="10748" max="10748" width="17.25" style="12" customWidth="1"/>
    <col min="10749" max="10987" width="9.1640625" style="12"/>
    <col min="10988" max="10988" width="6.25" style="12" customWidth="1"/>
    <col min="10989" max="10989" width="43" style="12" bestFit="1" customWidth="1"/>
    <col min="10990" max="10992" width="14.83203125" style="12" customWidth="1"/>
    <col min="10993" max="10998" width="0" style="12" hidden="1" customWidth="1"/>
    <col min="10999" max="11001" width="14.83203125" style="12" customWidth="1"/>
    <col min="11002" max="11002" width="17.58203125" style="12" customWidth="1"/>
    <col min="11003" max="11003" width="14.83203125" style="12" customWidth="1"/>
    <col min="11004" max="11004" width="17.25" style="12" customWidth="1"/>
    <col min="11005" max="11243" width="9.1640625" style="12"/>
    <col min="11244" max="11244" width="6.25" style="12" customWidth="1"/>
    <col min="11245" max="11245" width="43" style="12" bestFit="1" customWidth="1"/>
    <col min="11246" max="11248" width="14.83203125" style="12" customWidth="1"/>
    <col min="11249" max="11254" width="0" style="12" hidden="1" customWidth="1"/>
    <col min="11255" max="11257" width="14.83203125" style="12" customWidth="1"/>
    <col min="11258" max="11258" width="17.58203125" style="12" customWidth="1"/>
    <col min="11259" max="11259" width="14.83203125" style="12" customWidth="1"/>
    <col min="11260" max="11260" width="17.25" style="12" customWidth="1"/>
    <col min="11261" max="11499" width="9.1640625" style="12"/>
    <col min="11500" max="11500" width="6.25" style="12" customWidth="1"/>
    <col min="11501" max="11501" width="43" style="12" bestFit="1" customWidth="1"/>
    <col min="11502" max="11504" width="14.83203125" style="12" customWidth="1"/>
    <col min="11505" max="11510" width="0" style="12" hidden="1" customWidth="1"/>
    <col min="11511" max="11513" width="14.83203125" style="12" customWidth="1"/>
    <col min="11514" max="11514" width="17.58203125" style="12" customWidth="1"/>
    <col min="11515" max="11515" width="14.83203125" style="12" customWidth="1"/>
    <col min="11516" max="11516" width="17.25" style="12" customWidth="1"/>
    <col min="11517" max="11755" width="9.1640625" style="12"/>
    <col min="11756" max="11756" width="6.25" style="12" customWidth="1"/>
    <col min="11757" max="11757" width="43" style="12" bestFit="1" customWidth="1"/>
    <col min="11758" max="11760" width="14.83203125" style="12" customWidth="1"/>
    <col min="11761" max="11766" width="0" style="12" hidden="1" customWidth="1"/>
    <col min="11767" max="11769" width="14.83203125" style="12" customWidth="1"/>
    <col min="11770" max="11770" width="17.58203125" style="12" customWidth="1"/>
    <col min="11771" max="11771" width="14.83203125" style="12" customWidth="1"/>
    <col min="11772" max="11772" width="17.25" style="12" customWidth="1"/>
    <col min="11773" max="12011" width="9.1640625" style="12"/>
    <col min="12012" max="12012" width="6.25" style="12" customWidth="1"/>
    <col min="12013" max="12013" width="43" style="12" bestFit="1" customWidth="1"/>
    <col min="12014" max="12016" width="14.83203125" style="12" customWidth="1"/>
    <col min="12017" max="12022" width="0" style="12" hidden="1" customWidth="1"/>
    <col min="12023" max="12025" width="14.83203125" style="12" customWidth="1"/>
    <col min="12026" max="12026" width="17.58203125" style="12" customWidth="1"/>
    <col min="12027" max="12027" width="14.83203125" style="12" customWidth="1"/>
    <col min="12028" max="12028" width="17.25" style="12" customWidth="1"/>
    <col min="12029" max="12267" width="9.1640625" style="12"/>
    <col min="12268" max="12268" width="6.25" style="12" customWidth="1"/>
    <col min="12269" max="12269" width="43" style="12" bestFit="1" customWidth="1"/>
    <col min="12270" max="12272" width="14.83203125" style="12" customWidth="1"/>
    <col min="12273" max="12278" width="0" style="12" hidden="1" customWidth="1"/>
    <col min="12279" max="12281" width="14.83203125" style="12" customWidth="1"/>
    <col min="12282" max="12282" width="17.58203125" style="12" customWidth="1"/>
    <col min="12283" max="12283" width="14.83203125" style="12" customWidth="1"/>
    <col min="12284" max="12284" width="17.25" style="12" customWidth="1"/>
    <col min="12285" max="12523" width="9.1640625" style="12"/>
    <col min="12524" max="12524" width="6.25" style="12" customWidth="1"/>
    <col min="12525" max="12525" width="43" style="12" bestFit="1" customWidth="1"/>
    <col min="12526" max="12528" width="14.83203125" style="12" customWidth="1"/>
    <col min="12529" max="12534" width="0" style="12" hidden="1" customWidth="1"/>
    <col min="12535" max="12537" width="14.83203125" style="12" customWidth="1"/>
    <col min="12538" max="12538" width="17.58203125" style="12" customWidth="1"/>
    <col min="12539" max="12539" width="14.83203125" style="12" customWidth="1"/>
    <col min="12540" max="12540" width="17.25" style="12" customWidth="1"/>
    <col min="12541" max="12779" width="9.1640625" style="12"/>
    <col min="12780" max="12780" width="6.25" style="12" customWidth="1"/>
    <col min="12781" max="12781" width="43" style="12" bestFit="1" customWidth="1"/>
    <col min="12782" max="12784" width="14.83203125" style="12" customWidth="1"/>
    <col min="12785" max="12790" width="0" style="12" hidden="1" customWidth="1"/>
    <col min="12791" max="12793" width="14.83203125" style="12" customWidth="1"/>
    <col min="12794" max="12794" width="17.58203125" style="12" customWidth="1"/>
    <col min="12795" max="12795" width="14.83203125" style="12" customWidth="1"/>
    <col min="12796" max="12796" width="17.25" style="12" customWidth="1"/>
    <col min="12797" max="13035" width="9.1640625" style="12"/>
    <col min="13036" max="13036" width="6.25" style="12" customWidth="1"/>
    <col min="13037" max="13037" width="43" style="12" bestFit="1" customWidth="1"/>
    <col min="13038" max="13040" width="14.83203125" style="12" customWidth="1"/>
    <col min="13041" max="13046" width="0" style="12" hidden="1" customWidth="1"/>
    <col min="13047" max="13049" width="14.83203125" style="12" customWidth="1"/>
    <col min="13050" max="13050" width="17.58203125" style="12" customWidth="1"/>
    <col min="13051" max="13051" width="14.83203125" style="12" customWidth="1"/>
    <col min="13052" max="13052" width="17.25" style="12" customWidth="1"/>
    <col min="13053" max="13291" width="9.1640625" style="12"/>
    <col min="13292" max="13292" width="6.25" style="12" customWidth="1"/>
    <col min="13293" max="13293" width="43" style="12" bestFit="1" customWidth="1"/>
    <col min="13294" max="13296" width="14.83203125" style="12" customWidth="1"/>
    <col min="13297" max="13302" width="0" style="12" hidden="1" customWidth="1"/>
    <col min="13303" max="13305" width="14.83203125" style="12" customWidth="1"/>
    <col min="13306" max="13306" width="17.58203125" style="12" customWidth="1"/>
    <col min="13307" max="13307" width="14.83203125" style="12" customWidth="1"/>
    <col min="13308" max="13308" width="17.25" style="12" customWidth="1"/>
    <col min="13309" max="13547" width="9.1640625" style="12"/>
    <col min="13548" max="13548" width="6.25" style="12" customWidth="1"/>
    <col min="13549" max="13549" width="43" style="12" bestFit="1" customWidth="1"/>
    <col min="13550" max="13552" width="14.83203125" style="12" customWidth="1"/>
    <col min="13553" max="13558" width="0" style="12" hidden="1" customWidth="1"/>
    <col min="13559" max="13561" width="14.83203125" style="12" customWidth="1"/>
    <col min="13562" max="13562" width="17.58203125" style="12" customWidth="1"/>
    <col min="13563" max="13563" width="14.83203125" style="12" customWidth="1"/>
    <col min="13564" max="13564" width="17.25" style="12" customWidth="1"/>
    <col min="13565" max="13803" width="9.1640625" style="12"/>
    <col min="13804" max="13804" width="6.25" style="12" customWidth="1"/>
    <col min="13805" max="13805" width="43" style="12" bestFit="1" customWidth="1"/>
    <col min="13806" max="13808" width="14.83203125" style="12" customWidth="1"/>
    <col min="13809" max="13814" width="0" style="12" hidden="1" customWidth="1"/>
    <col min="13815" max="13817" width="14.83203125" style="12" customWidth="1"/>
    <col min="13818" max="13818" width="17.58203125" style="12" customWidth="1"/>
    <col min="13819" max="13819" width="14.83203125" style="12" customWidth="1"/>
    <col min="13820" max="13820" width="17.25" style="12" customWidth="1"/>
    <col min="13821" max="14059" width="9.1640625" style="12"/>
    <col min="14060" max="14060" width="6.25" style="12" customWidth="1"/>
    <col min="14061" max="14061" width="43" style="12" bestFit="1" customWidth="1"/>
    <col min="14062" max="14064" width="14.83203125" style="12" customWidth="1"/>
    <col min="14065" max="14070" width="0" style="12" hidden="1" customWidth="1"/>
    <col min="14071" max="14073" width="14.83203125" style="12" customWidth="1"/>
    <col min="14074" max="14074" width="17.58203125" style="12" customWidth="1"/>
    <col min="14075" max="14075" width="14.83203125" style="12" customWidth="1"/>
    <col min="14076" max="14076" width="17.25" style="12" customWidth="1"/>
    <col min="14077" max="14315" width="9.1640625" style="12"/>
    <col min="14316" max="14316" width="6.25" style="12" customWidth="1"/>
    <col min="14317" max="14317" width="43" style="12" bestFit="1" customWidth="1"/>
    <col min="14318" max="14320" width="14.83203125" style="12" customWidth="1"/>
    <col min="14321" max="14326" width="0" style="12" hidden="1" customWidth="1"/>
    <col min="14327" max="14329" width="14.83203125" style="12" customWidth="1"/>
    <col min="14330" max="14330" width="17.58203125" style="12" customWidth="1"/>
    <col min="14331" max="14331" width="14.83203125" style="12" customWidth="1"/>
    <col min="14332" max="14332" width="17.25" style="12" customWidth="1"/>
    <col min="14333" max="14571" width="9.1640625" style="12"/>
    <col min="14572" max="14572" width="6.25" style="12" customWidth="1"/>
    <col min="14573" max="14573" width="43" style="12" bestFit="1" customWidth="1"/>
    <col min="14574" max="14576" width="14.83203125" style="12" customWidth="1"/>
    <col min="14577" max="14582" width="0" style="12" hidden="1" customWidth="1"/>
    <col min="14583" max="14585" width="14.83203125" style="12" customWidth="1"/>
    <col min="14586" max="14586" width="17.58203125" style="12" customWidth="1"/>
    <col min="14587" max="14587" width="14.83203125" style="12" customWidth="1"/>
    <col min="14588" max="14588" width="17.25" style="12" customWidth="1"/>
    <col min="14589" max="14827" width="9.1640625" style="12"/>
    <col min="14828" max="14828" width="6.25" style="12" customWidth="1"/>
    <col min="14829" max="14829" width="43" style="12" bestFit="1" customWidth="1"/>
    <col min="14830" max="14832" width="14.83203125" style="12" customWidth="1"/>
    <col min="14833" max="14838" width="0" style="12" hidden="1" customWidth="1"/>
    <col min="14839" max="14841" width="14.83203125" style="12" customWidth="1"/>
    <col min="14842" max="14842" width="17.58203125" style="12" customWidth="1"/>
    <col min="14843" max="14843" width="14.83203125" style="12" customWidth="1"/>
    <col min="14844" max="14844" width="17.25" style="12" customWidth="1"/>
    <col min="14845" max="15083" width="9.1640625" style="12"/>
    <col min="15084" max="15084" width="6.25" style="12" customWidth="1"/>
    <col min="15085" max="15085" width="43" style="12" bestFit="1" customWidth="1"/>
    <col min="15086" max="15088" width="14.83203125" style="12" customWidth="1"/>
    <col min="15089" max="15094" width="0" style="12" hidden="1" customWidth="1"/>
    <col min="15095" max="15097" width="14.83203125" style="12" customWidth="1"/>
    <col min="15098" max="15098" width="17.58203125" style="12" customWidth="1"/>
    <col min="15099" max="15099" width="14.83203125" style="12" customWidth="1"/>
    <col min="15100" max="15100" width="17.25" style="12" customWidth="1"/>
    <col min="15101" max="15339" width="9.1640625" style="12"/>
    <col min="15340" max="15340" width="6.25" style="12" customWidth="1"/>
    <col min="15341" max="15341" width="43" style="12" bestFit="1" customWidth="1"/>
    <col min="15342" max="15344" width="14.83203125" style="12" customWidth="1"/>
    <col min="15345" max="15350" width="0" style="12" hidden="1" customWidth="1"/>
    <col min="15351" max="15353" width="14.83203125" style="12" customWidth="1"/>
    <col min="15354" max="15354" width="17.58203125" style="12" customWidth="1"/>
    <col min="15355" max="15355" width="14.83203125" style="12" customWidth="1"/>
    <col min="15356" max="15356" width="17.25" style="12" customWidth="1"/>
    <col min="15357" max="15595" width="9.1640625" style="12"/>
    <col min="15596" max="15596" width="6.25" style="12" customWidth="1"/>
    <col min="15597" max="15597" width="43" style="12" bestFit="1" customWidth="1"/>
    <col min="15598" max="15600" width="14.83203125" style="12" customWidth="1"/>
    <col min="15601" max="15606" width="0" style="12" hidden="1" customWidth="1"/>
    <col min="15607" max="15609" width="14.83203125" style="12" customWidth="1"/>
    <col min="15610" max="15610" width="17.58203125" style="12" customWidth="1"/>
    <col min="15611" max="15611" width="14.83203125" style="12" customWidth="1"/>
    <col min="15612" max="15612" width="17.25" style="12" customWidth="1"/>
    <col min="15613" max="15851" width="9.1640625" style="12"/>
    <col min="15852" max="15852" width="6.25" style="12" customWidth="1"/>
    <col min="15853" max="15853" width="43" style="12" bestFit="1" customWidth="1"/>
    <col min="15854" max="15856" width="14.83203125" style="12" customWidth="1"/>
    <col min="15857" max="15862" width="0" style="12" hidden="1" customWidth="1"/>
    <col min="15863" max="15865" width="14.83203125" style="12" customWidth="1"/>
    <col min="15866" max="15866" width="17.58203125" style="12" customWidth="1"/>
    <col min="15867" max="15867" width="14.83203125" style="12" customWidth="1"/>
    <col min="15868" max="15868" width="17.25" style="12" customWidth="1"/>
    <col min="15869" max="16107" width="9.1640625" style="12"/>
    <col min="16108" max="16108" width="6.25" style="12" customWidth="1"/>
    <col min="16109" max="16109" width="43" style="12" bestFit="1" customWidth="1"/>
    <col min="16110" max="16112" width="14.83203125" style="12" customWidth="1"/>
    <col min="16113" max="16118" width="0" style="12" hidden="1" customWidth="1"/>
    <col min="16119" max="16121" width="14.83203125" style="12" customWidth="1"/>
    <col min="16122" max="16122" width="17.58203125" style="12" customWidth="1"/>
    <col min="16123" max="16123" width="14.83203125" style="12" customWidth="1"/>
    <col min="16124" max="16124" width="17.25" style="12" customWidth="1"/>
    <col min="16125" max="16384" width="9.1640625" style="12"/>
  </cols>
  <sheetData>
    <row r="1" spans="1:11" ht="54" customHeight="1">
      <c r="A1" s="809" t="s">
        <v>37</v>
      </c>
      <c r="B1" s="809"/>
      <c r="C1" s="809"/>
      <c r="D1" s="809"/>
      <c r="E1" s="809"/>
      <c r="F1" s="809"/>
      <c r="G1" s="809"/>
      <c r="H1" s="809"/>
    </row>
    <row r="2" spans="1:11" ht="24.75" customHeight="1">
      <c r="A2" s="810" t="e">
        <f>#REF!</f>
        <v>#REF!</v>
      </c>
      <c r="B2" s="810"/>
      <c r="C2" s="810"/>
      <c r="D2" s="810"/>
      <c r="E2" s="810"/>
      <c r="F2" s="810"/>
      <c r="G2" s="810"/>
      <c r="H2" s="810"/>
    </row>
    <row r="3" spans="1:11" ht="29.25" customHeight="1">
      <c r="G3" s="811" t="s">
        <v>43</v>
      </c>
      <c r="H3" s="811"/>
    </row>
    <row r="4" spans="1:11" ht="24" customHeight="1">
      <c r="A4" s="812" t="s">
        <v>13</v>
      </c>
      <c r="B4" s="812" t="s">
        <v>21</v>
      </c>
      <c r="C4" s="813" t="s">
        <v>38</v>
      </c>
      <c r="D4" s="814"/>
      <c r="E4" s="814"/>
      <c r="F4" s="812" t="s">
        <v>34</v>
      </c>
      <c r="G4" s="812"/>
      <c r="H4" s="812"/>
      <c r="I4" s="14"/>
      <c r="J4" s="14"/>
      <c r="K4" s="14"/>
    </row>
    <row r="5" spans="1:11" ht="24" customHeight="1">
      <c r="A5" s="812"/>
      <c r="B5" s="812"/>
      <c r="C5" s="815"/>
      <c r="D5" s="816"/>
      <c r="E5" s="816"/>
      <c r="F5" s="820" t="s">
        <v>27</v>
      </c>
      <c r="G5" s="820"/>
      <c r="H5" s="820"/>
      <c r="I5" s="14"/>
      <c r="J5" s="14"/>
      <c r="K5" s="14"/>
    </row>
    <row r="6" spans="1:11" ht="62.25" customHeight="1">
      <c r="A6" s="812"/>
      <c r="B6" s="812"/>
      <c r="C6" s="817"/>
      <c r="D6" s="818"/>
      <c r="E6" s="819"/>
      <c r="F6" s="821" t="s">
        <v>39</v>
      </c>
      <c r="G6" s="822"/>
      <c r="H6" s="823"/>
      <c r="I6" s="14"/>
      <c r="J6" s="14"/>
      <c r="K6" s="14"/>
    </row>
    <row r="7" spans="1:11" ht="24" customHeight="1">
      <c r="A7" s="812"/>
      <c r="B7" s="812"/>
      <c r="C7" s="820" t="s">
        <v>26</v>
      </c>
      <c r="D7" s="820" t="s">
        <v>35</v>
      </c>
      <c r="E7" s="820"/>
      <c r="F7" s="820" t="s">
        <v>26</v>
      </c>
      <c r="G7" s="820" t="s">
        <v>35</v>
      </c>
      <c r="H7" s="820"/>
      <c r="I7" s="14"/>
      <c r="J7" s="14"/>
      <c r="K7" s="14"/>
    </row>
    <row r="8" spans="1:11" ht="38.25" customHeight="1">
      <c r="A8" s="812"/>
      <c r="B8" s="812"/>
      <c r="C8" s="820"/>
      <c r="D8" s="29" t="s">
        <v>32</v>
      </c>
      <c r="E8" s="29" t="s">
        <v>36</v>
      </c>
      <c r="F8" s="820"/>
      <c r="G8" s="29" t="s">
        <v>32</v>
      </c>
      <c r="H8" s="29" t="s">
        <v>36</v>
      </c>
    </row>
    <row r="9" spans="1:11" s="17" customFormat="1" ht="18.75" customHeight="1">
      <c r="A9" s="15" t="s">
        <v>1</v>
      </c>
      <c r="B9" s="15" t="s">
        <v>5</v>
      </c>
      <c r="C9" s="16">
        <v>1</v>
      </c>
      <c r="D9" s="16">
        <v>2</v>
      </c>
      <c r="E9" s="16">
        <v>3</v>
      </c>
      <c r="F9" s="16">
        <v>7</v>
      </c>
      <c r="G9" s="16">
        <v>8</v>
      </c>
      <c r="H9" s="16">
        <v>9</v>
      </c>
    </row>
    <row r="10" spans="1:11" ht="29.25" customHeight="1">
      <c r="A10" s="18"/>
      <c r="B10" s="18" t="s">
        <v>23</v>
      </c>
      <c r="C10" s="19">
        <f t="shared" ref="C10:E10" si="0">C11</f>
        <v>215680000</v>
      </c>
      <c r="D10" s="19">
        <f t="shared" si="0"/>
        <v>195498000</v>
      </c>
      <c r="E10" s="19">
        <f t="shared" si="0"/>
        <v>20182000</v>
      </c>
      <c r="F10" s="19">
        <f>F11</f>
        <v>215680000</v>
      </c>
      <c r="G10" s="19">
        <f t="shared" ref="G10:H10" si="1">G11</f>
        <v>195498000</v>
      </c>
      <c r="H10" s="19">
        <f t="shared" si="1"/>
        <v>20182000</v>
      </c>
      <c r="I10" s="11"/>
      <c r="J10" s="11"/>
      <c r="K10" s="11"/>
    </row>
    <row r="11" spans="1:11" ht="25.5" customHeight="1">
      <c r="A11" s="18" t="s">
        <v>2</v>
      </c>
      <c r="B11" s="20" t="s">
        <v>33</v>
      </c>
      <c r="C11" s="19">
        <f t="shared" ref="C11:H11" si="2">SUM(C12:C12)</f>
        <v>215680000</v>
      </c>
      <c r="D11" s="19">
        <f t="shared" si="2"/>
        <v>195498000</v>
      </c>
      <c r="E11" s="19">
        <f t="shared" si="2"/>
        <v>20182000</v>
      </c>
      <c r="F11" s="19">
        <f t="shared" si="2"/>
        <v>215680000</v>
      </c>
      <c r="G11" s="19">
        <f t="shared" si="2"/>
        <v>195498000</v>
      </c>
      <c r="H11" s="19">
        <f t="shared" si="2"/>
        <v>20182000</v>
      </c>
      <c r="I11" s="21"/>
      <c r="J11" s="21"/>
      <c r="K11" s="21"/>
    </row>
    <row r="12" spans="1:11" ht="28.5" customHeight="1">
      <c r="A12" s="22">
        <v>1</v>
      </c>
      <c r="B12" s="23" t="s">
        <v>30</v>
      </c>
      <c r="C12" s="24">
        <f>D12+E12</f>
        <v>215680000</v>
      </c>
      <c r="D12" s="24">
        <f>G12</f>
        <v>195498000</v>
      </c>
      <c r="E12" s="24">
        <f>H12</f>
        <v>20182000</v>
      </c>
      <c r="F12" s="24">
        <f>G12+H12</f>
        <v>215680000</v>
      </c>
      <c r="G12" s="24">
        <v>195498000</v>
      </c>
      <c r="H12" s="24">
        <v>20182000</v>
      </c>
      <c r="I12" s="13"/>
      <c r="J12" s="13"/>
      <c r="K12" s="13"/>
    </row>
  </sheetData>
  <mergeCells count="13">
    <mergeCell ref="A1:H1"/>
    <mergeCell ref="A2:H2"/>
    <mergeCell ref="G3:H3"/>
    <mergeCell ref="A4:A8"/>
    <mergeCell ref="B4:B8"/>
    <mergeCell ref="C4:E6"/>
    <mergeCell ref="F4:H4"/>
    <mergeCell ref="F5:H5"/>
    <mergeCell ref="F7:F8"/>
    <mergeCell ref="G7:H7"/>
    <mergeCell ref="C7:C8"/>
    <mergeCell ref="D7:E7"/>
    <mergeCell ref="F6:H6"/>
  </mergeCells>
  <pageMargins left="0.78740157480314965" right="0.39370078740157483" top="0.78740157480314965" bottom="0.78740157480314965" header="0.31496062992125984" footer="0.31496062992125984"/>
  <pageSetup paperSize="9" scale="63" firstPageNumber="225" orientation="landscape" useFirstPageNumber="1" r:id="rId1"/>
  <headerFooter>
    <oddHeader>&amp;C&amp;P&amp;R&amp;"Times New Roman,Bold Italic"Phụ lục số 3 - Chương trình NTM
Biểu số 2.5</oddHeader>
  </headerFooter>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85" zoomScaleNormal="85" zoomScaleSheetLayoutView="55" zoomScalePageLayoutView="55" workbookViewId="0">
      <selection activeCell="C4" sqref="C4:E8"/>
    </sheetView>
  </sheetViews>
  <sheetFormatPr defaultRowHeight="15.5"/>
  <cols>
    <col min="1" max="1" width="6.25" style="12" customWidth="1"/>
    <col min="2" max="2" width="43" style="12" bestFit="1" customWidth="1"/>
    <col min="3" max="8" width="21.1640625" style="12" customWidth="1"/>
    <col min="9" max="229" width="9.1640625" style="12"/>
    <col min="230" max="230" width="6.25" style="12" customWidth="1"/>
    <col min="231" max="231" width="43" style="12" bestFit="1" customWidth="1"/>
    <col min="232" max="234" width="11.83203125" style="12" customWidth="1"/>
    <col min="235" max="236" width="11.1640625" style="12" customWidth="1"/>
    <col min="237" max="237" width="19.83203125" style="12" customWidth="1"/>
    <col min="238" max="240" width="11.1640625" style="12" customWidth="1"/>
    <col min="241" max="243" width="0" style="12" hidden="1" customWidth="1"/>
    <col min="244" max="244" width="10.75" style="12" customWidth="1"/>
    <col min="245" max="245" width="11.1640625" style="12" customWidth="1"/>
    <col min="246" max="246" width="10.83203125" style="12" customWidth="1"/>
    <col min="247" max="249" width="11.1640625" style="12" customWidth="1"/>
    <col min="250" max="485" width="9.1640625" style="12"/>
    <col min="486" max="486" width="6.25" style="12" customWidth="1"/>
    <col min="487" max="487" width="43" style="12" bestFit="1" customWidth="1"/>
    <col min="488" max="490" width="11.83203125" style="12" customWidth="1"/>
    <col min="491" max="492" width="11.1640625" style="12" customWidth="1"/>
    <col min="493" max="493" width="19.83203125" style="12" customWidth="1"/>
    <col min="494" max="496" width="11.1640625" style="12" customWidth="1"/>
    <col min="497" max="499" width="0" style="12" hidden="1" customWidth="1"/>
    <col min="500" max="500" width="10.75" style="12" customWidth="1"/>
    <col min="501" max="501" width="11.1640625" style="12" customWidth="1"/>
    <col min="502" max="502" width="10.83203125" style="12" customWidth="1"/>
    <col min="503" max="505" width="11.1640625" style="12" customWidth="1"/>
    <col min="506" max="741" width="9.1640625" style="12"/>
    <col min="742" max="742" width="6.25" style="12" customWidth="1"/>
    <col min="743" max="743" width="43" style="12" bestFit="1" customWidth="1"/>
    <col min="744" max="746" width="11.83203125" style="12" customWidth="1"/>
    <col min="747" max="748" width="11.1640625" style="12" customWidth="1"/>
    <col min="749" max="749" width="19.83203125" style="12" customWidth="1"/>
    <col min="750" max="752" width="11.1640625" style="12" customWidth="1"/>
    <col min="753" max="755" width="0" style="12" hidden="1" customWidth="1"/>
    <col min="756" max="756" width="10.75" style="12" customWidth="1"/>
    <col min="757" max="757" width="11.1640625" style="12" customWidth="1"/>
    <col min="758" max="758" width="10.83203125" style="12" customWidth="1"/>
    <col min="759" max="761" width="11.1640625" style="12" customWidth="1"/>
    <col min="762" max="997" width="9.1640625" style="12"/>
    <col min="998" max="998" width="6.25" style="12" customWidth="1"/>
    <col min="999" max="999" width="43" style="12" bestFit="1" customWidth="1"/>
    <col min="1000" max="1002" width="11.83203125" style="12" customWidth="1"/>
    <col min="1003" max="1004" width="11.1640625" style="12" customWidth="1"/>
    <col min="1005" max="1005" width="19.83203125" style="12" customWidth="1"/>
    <col min="1006" max="1008" width="11.1640625" style="12" customWidth="1"/>
    <col min="1009" max="1011" width="0" style="12" hidden="1" customWidth="1"/>
    <col min="1012" max="1012" width="10.75" style="12" customWidth="1"/>
    <col min="1013" max="1013" width="11.1640625" style="12" customWidth="1"/>
    <col min="1014" max="1014" width="10.83203125" style="12" customWidth="1"/>
    <col min="1015" max="1017" width="11.1640625" style="12" customWidth="1"/>
    <col min="1018" max="1253" width="9.1640625" style="12"/>
    <col min="1254" max="1254" width="6.25" style="12" customWidth="1"/>
    <col min="1255" max="1255" width="43" style="12" bestFit="1" customWidth="1"/>
    <col min="1256" max="1258" width="11.83203125" style="12" customWidth="1"/>
    <col min="1259" max="1260" width="11.1640625" style="12" customWidth="1"/>
    <col min="1261" max="1261" width="19.83203125" style="12" customWidth="1"/>
    <col min="1262" max="1264" width="11.1640625" style="12" customWidth="1"/>
    <col min="1265" max="1267" width="0" style="12" hidden="1" customWidth="1"/>
    <col min="1268" max="1268" width="10.75" style="12" customWidth="1"/>
    <col min="1269" max="1269" width="11.1640625" style="12" customWidth="1"/>
    <col min="1270" max="1270" width="10.83203125" style="12" customWidth="1"/>
    <col min="1271" max="1273" width="11.1640625" style="12" customWidth="1"/>
    <col min="1274" max="1509" width="9.1640625" style="12"/>
    <col min="1510" max="1510" width="6.25" style="12" customWidth="1"/>
    <col min="1511" max="1511" width="43" style="12" bestFit="1" customWidth="1"/>
    <col min="1512" max="1514" width="11.83203125" style="12" customWidth="1"/>
    <col min="1515" max="1516" width="11.1640625" style="12" customWidth="1"/>
    <col min="1517" max="1517" width="19.83203125" style="12" customWidth="1"/>
    <col min="1518" max="1520" width="11.1640625" style="12" customWidth="1"/>
    <col min="1521" max="1523" width="0" style="12" hidden="1" customWidth="1"/>
    <col min="1524" max="1524" width="10.75" style="12" customWidth="1"/>
    <col min="1525" max="1525" width="11.1640625" style="12" customWidth="1"/>
    <col min="1526" max="1526" width="10.83203125" style="12" customWidth="1"/>
    <col min="1527" max="1529" width="11.1640625" style="12" customWidth="1"/>
    <col min="1530" max="1765" width="9.1640625" style="12"/>
    <col min="1766" max="1766" width="6.25" style="12" customWidth="1"/>
    <col min="1767" max="1767" width="43" style="12" bestFit="1" customWidth="1"/>
    <col min="1768" max="1770" width="11.83203125" style="12" customWidth="1"/>
    <col min="1771" max="1772" width="11.1640625" style="12" customWidth="1"/>
    <col min="1773" max="1773" width="19.83203125" style="12" customWidth="1"/>
    <col min="1774" max="1776" width="11.1640625" style="12" customWidth="1"/>
    <col min="1777" max="1779" width="0" style="12" hidden="1" customWidth="1"/>
    <col min="1780" max="1780" width="10.75" style="12" customWidth="1"/>
    <col min="1781" max="1781" width="11.1640625" style="12" customWidth="1"/>
    <col min="1782" max="1782" width="10.83203125" style="12" customWidth="1"/>
    <col min="1783" max="1785" width="11.1640625" style="12" customWidth="1"/>
    <col min="1786" max="2021" width="9.1640625" style="12"/>
    <col min="2022" max="2022" width="6.25" style="12" customWidth="1"/>
    <col min="2023" max="2023" width="43" style="12" bestFit="1" customWidth="1"/>
    <col min="2024" max="2026" width="11.83203125" style="12" customWidth="1"/>
    <col min="2027" max="2028" width="11.1640625" style="12" customWidth="1"/>
    <col min="2029" max="2029" width="19.83203125" style="12" customWidth="1"/>
    <col min="2030" max="2032" width="11.1640625" style="12" customWidth="1"/>
    <col min="2033" max="2035" width="0" style="12" hidden="1" customWidth="1"/>
    <col min="2036" max="2036" width="10.75" style="12" customWidth="1"/>
    <col min="2037" max="2037" width="11.1640625" style="12" customWidth="1"/>
    <col min="2038" max="2038" width="10.83203125" style="12" customWidth="1"/>
    <col min="2039" max="2041" width="11.1640625" style="12" customWidth="1"/>
    <col min="2042" max="2277" width="9.1640625" style="12"/>
    <col min="2278" max="2278" width="6.25" style="12" customWidth="1"/>
    <col min="2279" max="2279" width="43" style="12" bestFit="1" customWidth="1"/>
    <col min="2280" max="2282" width="11.83203125" style="12" customWidth="1"/>
    <col min="2283" max="2284" width="11.1640625" style="12" customWidth="1"/>
    <col min="2285" max="2285" width="19.83203125" style="12" customWidth="1"/>
    <col min="2286" max="2288" width="11.1640625" style="12" customWidth="1"/>
    <col min="2289" max="2291" width="0" style="12" hidden="1" customWidth="1"/>
    <col min="2292" max="2292" width="10.75" style="12" customWidth="1"/>
    <col min="2293" max="2293" width="11.1640625" style="12" customWidth="1"/>
    <col min="2294" max="2294" width="10.83203125" style="12" customWidth="1"/>
    <col min="2295" max="2297" width="11.1640625" style="12" customWidth="1"/>
    <col min="2298" max="2533" width="9.1640625" style="12"/>
    <col min="2534" max="2534" width="6.25" style="12" customWidth="1"/>
    <col min="2535" max="2535" width="43" style="12" bestFit="1" customWidth="1"/>
    <col min="2536" max="2538" width="11.83203125" style="12" customWidth="1"/>
    <col min="2539" max="2540" width="11.1640625" style="12" customWidth="1"/>
    <col min="2541" max="2541" width="19.83203125" style="12" customWidth="1"/>
    <col min="2542" max="2544" width="11.1640625" style="12" customWidth="1"/>
    <col min="2545" max="2547" width="0" style="12" hidden="1" customWidth="1"/>
    <col min="2548" max="2548" width="10.75" style="12" customWidth="1"/>
    <col min="2549" max="2549" width="11.1640625" style="12" customWidth="1"/>
    <col min="2550" max="2550" width="10.83203125" style="12" customWidth="1"/>
    <col min="2551" max="2553" width="11.1640625" style="12" customWidth="1"/>
    <col min="2554" max="2789" width="9.1640625" style="12"/>
    <col min="2790" max="2790" width="6.25" style="12" customWidth="1"/>
    <col min="2791" max="2791" width="43" style="12" bestFit="1" customWidth="1"/>
    <col min="2792" max="2794" width="11.83203125" style="12" customWidth="1"/>
    <col min="2795" max="2796" width="11.1640625" style="12" customWidth="1"/>
    <col min="2797" max="2797" width="19.83203125" style="12" customWidth="1"/>
    <col min="2798" max="2800" width="11.1640625" style="12" customWidth="1"/>
    <col min="2801" max="2803" width="0" style="12" hidden="1" customWidth="1"/>
    <col min="2804" max="2804" width="10.75" style="12" customWidth="1"/>
    <col min="2805" max="2805" width="11.1640625" style="12" customWidth="1"/>
    <col min="2806" max="2806" width="10.83203125" style="12" customWidth="1"/>
    <col min="2807" max="2809" width="11.1640625" style="12" customWidth="1"/>
    <col min="2810" max="3045" width="9.1640625" style="12"/>
    <col min="3046" max="3046" width="6.25" style="12" customWidth="1"/>
    <col min="3047" max="3047" width="43" style="12" bestFit="1" customWidth="1"/>
    <col min="3048" max="3050" width="11.83203125" style="12" customWidth="1"/>
    <col min="3051" max="3052" width="11.1640625" style="12" customWidth="1"/>
    <col min="3053" max="3053" width="19.83203125" style="12" customWidth="1"/>
    <col min="3054" max="3056" width="11.1640625" style="12" customWidth="1"/>
    <col min="3057" max="3059" width="0" style="12" hidden="1" customWidth="1"/>
    <col min="3060" max="3060" width="10.75" style="12" customWidth="1"/>
    <col min="3061" max="3061" width="11.1640625" style="12" customWidth="1"/>
    <col min="3062" max="3062" width="10.83203125" style="12" customWidth="1"/>
    <col min="3063" max="3065" width="11.1640625" style="12" customWidth="1"/>
    <col min="3066" max="3301" width="9.1640625" style="12"/>
    <col min="3302" max="3302" width="6.25" style="12" customWidth="1"/>
    <col min="3303" max="3303" width="43" style="12" bestFit="1" customWidth="1"/>
    <col min="3304" max="3306" width="11.83203125" style="12" customWidth="1"/>
    <col min="3307" max="3308" width="11.1640625" style="12" customWidth="1"/>
    <col min="3309" max="3309" width="19.83203125" style="12" customWidth="1"/>
    <col min="3310" max="3312" width="11.1640625" style="12" customWidth="1"/>
    <col min="3313" max="3315" width="0" style="12" hidden="1" customWidth="1"/>
    <col min="3316" max="3316" width="10.75" style="12" customWidth="1"/>
    <col min="3317" max="3317" width="11.1640625" style="12" customWidth="1"/>
    <col min="3318" max="3318" width="10.83203125" style="12" customWidth="1"/>
    <col min="3319" max="3321" width="11.1640625" style="12" customWidth="1"/>
    <col min="3322" max="3557" width="9.1640625" style="12"/>
    <col min="3558" max="3558" width="6.25" style="12" customWidth="1"/>
    <col min="3559" max="3559" width="43" style="12" bestFit="1" customWidth="1"/>
    <col min="3560" max="3562" width="11.83203125" style="12" customWidth="1"/>
    <col min="3563" max="3564" width="11.1640625" style="12" customWidth="1"/>
    <col min="3565" max="3565" width="19.83203125" style="12" customWidth="1"/>
    <col min="3566" max="3568" width="11.1640625" style="12" customWidth="1"/>
    <col min="3569" max="3571" width="0" style="12" hidden="1" customWidth="1"/>
    <col min="3572" max="3572" width="10.75" style="12" customWidth="1"/>
    <col min="3573" max="3573" width="11.1640625" style="12" customWidth="1"/>
    <col min="3574" max="3574" width="10.83203125" style="12" customWidth="1"/>
    <col min="3575" max="3577" width="11.1640625" style="12" customWidth="1"/>
    <col min="3578" max="3813" width="9.1640625" style="12"/>
    <col min="3814" max="3814" width="6.25" style="12" customWidth="1"/>
    <col min="3815" max="3815" width="43" style="12" bestFit="1" customWidth="1"/>
    <col min="3816" max="3818" width="11.83203125" style="12" customWidth="1"/>
    <col min="3819" max="3820" width="11.1640625" style="12" customWidth="1"/>
    <col min="3821" max="3821" width="19.83203125" style="12" customWidth="1"/>
    <col min="3822" max="3824" width="11.1640625" style="12" customWidth="1"/>
    <col min="3825" max="3827" width="0" style="12" hidden="1" customWidth="1"/>
    <col min="3828" max="3828" width="10.75" style="12" customWidth="1"/>
    <col min="3829" max="3829" width="11.1640625" style="12" customWidth="1"/>
    <col min="3830" max="3830" width="10.83203125" style="12" customWidth="1"/>
    <col min="3831" max="3833" width="11.1640625" style="12" customWidth="1"/>
    <col min="3834" max="4069" width="9.1640625" style="12"/>
    <col min="4070" max="4070" width="6.25" style="12" customWidth="1"/>
    <col min="4071" max="4071" width="43" style="12" bestFit="1" customWidth="1"/>
    <col min="4072" max="4074" width="11.83203125" style="12" customWidth="1"/>
    <col min="4075" max="4076" width="11.1640625" style="12" customWidth="1"/>
    <col min="4077" max="4077" width="19.83203125" style="12" customWidth="1"/>
    <col min="4078" max="4080" width="11.1640625" style="12" customWidth="1"/>
    <col min="4081" max="4083" width="0" style="12" hidden="1" customWidth="1"/>
    <col min="4084" max="4084" width="10.75" style="12" customWidth="1"/>
    <col min="4085" max="4085" width="11.1640625" style="12" customWidth="1"/>
    <col min="4086" max="4086" width="10.83203125" style="12" customWidth="1"/>
    <col min="4087" max="4089" width="11.1640625" style="12" customWidth="1"/>
    <col min="4090" max="4325" width="9.1640625" style="12"/>
    <col min="4326" max="4326" width="6.25" style="12" customWidth="1"/>
    <col min="4327" max="4327" width="43" style="12" bestFit="1" customWidth="1"/>
    <col min="4328" max="4330" width="11.83203125" style="12" customWidth="1"/>
    <col min="4331" max="4332" width="11.1640625" style="12" customWidth="1"/>
    <col min="4333" max="4333" width="19.83203125" style="12" customWidth="1"/>
    <col min="4334" max="4336" width="11.1640625" style="12" customWidth="1"/>
    <col min="4337" max="4339" width="0" style="12" hidden="1" customWidth="1"/>
    <col min="4340" max="4340" width="10.75" style="12" customWidth="1"/>
    <col min="4341" max="4341" width="11.1640625" style="12" customWidth="1"/>
    <col min="4342" max="4342" width="10.83203125" style="12" customWidth="1"/>
    <col min="4343" max="4345" width="11.1640625" style="12" customWidth="1"/>
    <col min="4346" max="4581" width="9.1640625" style="12"/>
    <col min="4582" max="4582" width="6.25" style="12" customWidth="1"/>
    <col min="4583" max="4583" width="43" style="12" bestFit="1" customWidth="1"/>
    <col min="4584" max="4586" width="11.83203125" style="12" customWidth="1"/>
    <col min="4587" max="4588" width="11.1640625" style="12" customWidth="1"/>
    <col min="4589" max="4589" width="19.83203125" style="12" customWidth="1"/>
    <col min="4590" max="4592" width="11.1640625" style="12" customWidth="1"/>
    <col min="4593" max="4595" width="0" style="12" hidden="1" customWidth="1"/>
    <col min="4596" max="4596" width="10.75" style="12" customWidth="1"/>
    <col min="4597" max="4597" width="11.1640625" style="12" customWidth="1"/>
    <col min="4598" max="4598" width="10.83203125" style="12" customWidth="1"/>
    <col min="4599" max="4601" width="11.1640625" style="12" customWidth="1"/>
    <col min="4602" max="4837" width="9.1640625" style="12"/>
    <col min="4838" max="4838" width="6.25" style="12" customWidth="1"/>
    <col min="4839" max="4839" width="43" style="12" bestFit="1" customWidth="1"/>
    <col min="4840" max="4842" width="11.83203125" style="12" customWidth="1"/>
    <col min="4843" max="4844" width="11.1640625" style="12" customWidth="1"/>
    <col min="4845" max="4845" width="19.83203125" style="12" customWidth="1"/>
    <col min="4846" max="4848" width="11.1640625" style="12" customWidth="1"/>
    <col min="4849" max="4851" width="0" style="12" hidden="1" customWidth="1"/>
    <col min="4852" max="4852" width="10.75" style="12" customWidth="1"/>
    <col min="4853" max="4853" width="11.1640625" style="12" customWidth="1"/>
    <col min="4854" max="4854" width="10.83203125" style="12" customWidth="1"/>
    <col min="4855" max="4857" width="11.1640625" style="12" customWidth="1"/>
    <col min="4858" max="5093" width="9.1640625" style="12"/>
    <col min="5094" max="5094" width="6.25" style="12" customWidth="1"/>
    <col min="5095" max="5095" width="43" style="12" bestFit="1" customWidth="1"/>
    <col min="5096" max="5098" width="11.83203125" style="12" customWidth="1"/>
    <col min="5099" max="5100" width="11.1640625" style="12" customWidth="1"/>
    <col min="5101" max="5101" width="19.83203125" style="12" customWidth="1"/>
    <col min="5102" max="5104" width="11.1640625" style="12" customWidth="1"/>
    <col min="5105" max="5107" width="0" style="12" hidden="1" customWidth="1"/>
    <col min="5108" max="5108" width="10.75" style="12" customWidth="1"/>
    <col min="5109" max="5109" width="11.1640625" style="12" customWidth="1"/>
    <col min="5110" max="5110" width="10.83203125" style="12" customWidth="1"/>
    <col min="5111" max="5113" width="11.1640625" style="12" customWidth="1"/>
    <col min="5114" max="5349" width="9.1640625" style="12"/>
    <col min="5350" max="5350" width="6.25" style="12" customWidth="1"/>
    <col min="5351" max="5351" width="43" style="12" bestFit="1" customWidth="1"/>
    <col min="5352" max="5354" width="11.83203125" style="12" customWidth="1"/>
    <col min="5355" max="5356" width="11.1640625" style="12" customWidth="1"/>
    <col min="5357" max="5357" width="19.83203125" style="12" customWidth="1"/>
    <col min="5358" max="5360" width="11.1640625" style="12" customWidth="1"/>
    <col min="5361" max="5363" width="0" style="12" hidden="1" customWidth="1"/>
    <col min="5364" max="5364" width="10.75" style="12" customWidth="1"/>
    <col min="5365" max="5365" width="11.1640625" style="12" customWidth="1"/>
    <col min="5366" max="5366" width="10.83203125" style="12" customWidth="1"/>
    <col min="5367" max="5369" width="11.1640625" style="12" customWidth="1"/>
    <col min="5370" max="5605" width="9.1640625" style="12"/>
    <col min="5606" max="5606" width="6.25" style="12" customWidth="1"/>
    <col min="5607" max="5607" width="43" style="12" bestFit="1" customWidth="1"/>
    <col min="5608" max="5610" width="11.83203125" style="12" customWidth="1"/>
    <col min="5611" max="5612" width="11.1640625" style="12" customWidth="1"/>
    <col min="5613" max="5613" width="19.83203125" style="12" customWidth="1"/>
    <col min="5614" max="5616" width="11.1640625" style="12" customWidth="1"/>
    <col min="5617" max="5619" width="0" style="12" hidden="1" customWidth="1"/>
    <col min="5620" max="5620" width="10.75" style="12" customWidth="1"/>
    <col min="5621" max="5621" width="11.1640625" style="12" customWidth="1"/>
    <col min="5622" max="5622" width="10.83203125" style="12" customWidth="1"/>
    <col min="5623" max="5625" width="11.1640625" style="12" customWidth="1"/>
    <col min="5626" max="5861" width="9.1640625" style="12"/>
    <col min="5862" max="5862" width="6.25" style="12" customWidth="1"/>
    <col min="5863" max="5863" width="43" style="12" bestFit="1" customWidth="1"/>
    <col min="5864" max="5866" width="11.83203125" style="12" customWidth="1"/>
    <col min="5867" max="5868" width="11.1640625" style="12" customWidth="1"/>
    <col min="5869" max="5869" width="19.83203125" style="12" customWidth="1"/>
    <col min="5870" max="5872" width="11.1640625" style="12" customWidth="1"/>
    <col min="5873" max="5875" width="0" style="12" hidden="1" customWidth="1"/>
    <col min="5876" max="5876" width="10.75" style="12" customWidth="1"/>
    <col min="5877" max="5877" width="11.1640625" style="12" customWidth="1"/>
    <col min="5878" max="5878" width="10.83203125" style="12" customWidth="1"/>
    <col min="5879" max="5881" width="11.1640625" style="12" customWidth="1"/>
    <col min="5882" max="6117" width="9.1640625" style="12"/>
    <col min="6118" max="6118" width="6.25" style="12" customWidth="1"/>
    <col min="6119" max="6119" width="43" style="12" bestFit="1" customWidth="1"/>
    <col min="6120" max="6122" width="11.83203125" style="12" customWidth="1"/>
    <col min="6123" max="6124" width="11.1640625" style="12" customWidth="1"/>
    <col min="6125" max="6125" width="19.83203125" style="12" customWidth="1"/>
    <col min="6126" max="6128" width="11.1640625" style="12" customWidth="1"/>
    <col min="6129" max="6131" width="0" style="12" hidden="1" customWidth="1"/>
    <col min="6132" max="6132" width="10.75" style="12" customWidth="1"/>
    <col min="6133" max="6133" width="11.1640625" style="12" customWidth="1"/>
    <col min="6134" max="6134" width="10.83203125" style="12" customWidth="1"/>
    <col min="6135" max="6137" width="11.1640625" style="12" customWidth="1"/>
    <col min="6138" max="6373" width="9.1640625" style="12"/>
    <col min="6374" max="6374" width="6.25" style="12" customWidth="1"/>
    <col min="6375" max="6375" width="43" style="12" bestFit="1" customWidth="1"/>
    <col min="6376" max="6378" width="11.83203125" style="12" customWidth="1"/>
    <col min="6379" max="6380" width="11.1640625" style="12" customWidth="1"/>
    <col min="6381" max="6381" width="19.83203125" style="12" customWidth="1"/>
    <col min="6382" max="6384" width="11.1640625" style="12" customWidth="1"/>
    <col min="6385" max="6387" width="0" style="12" hidden="1" customWidth="1"/>
    <col min="6388" max="6388" width="10.75" style="12" customWidth="1"/>
    <col min="6389" max="6389" width="11.1640625" style="12" customWidth="1"/>
    <col min="6390" max="6390" width="10.83203125" style="12" customWidth="1"/>
    <col min="6391" max="6393" width="11.1640625" style="12" customWidth="1"/>
    <col min="6394" max="6629" width="9.1640625" style="12"/>
    <col min="6630" max="6630" width="6.25" style="12" customWidth="1"/>
    <col min="6631" max="6631" width="43" style="12" bestFit="1" customWidth="1"/>
    <col min="6632" max="6634" width="11.83203125" style="12" customWidth="1"/>
    <col min="6635" max="6636" width="11.1640625" style="12" customWidth="1"/>
    <col min="6637" max="6637" width="19.83203125" style="12" customWidth="1"/>
    <col min="6638" max="6640" width="11.1640625" style="12" customWidth="1"/>
    <col min="6641" max="6643" width="0" style="12" hidden="1" customWidth="1"/>
    <col min="6644" max="6644" width="10.75" style="12" customWidth="1"/>
    <col min="6645" max="6645" width="11.1640625" style="12" customWidth="1"/>
    <col min="6646" max="6646" width="10.83203125" style="12" customWidth="1"/>
    <col min="6647" max="6649" width="11.1640625" style="12" customWidth="1"/>
    <col min="6650" max="6885" width="9.1640625" style="12"/>
    <col min="6886" max="6886" width="6.25" style="12" customWidth="1"/>
    <col min="6887" max="6887" width="43" style="12" bestFit="1" customWidth="1"/>
    <col min="6888" max="6890" width="11.83203125" style="12" customWidth="1"/>
    <col min="6891" max="6892" width="11.1640625" style="12" customWidth="1"/>
    <col min="6893" max="6893" width="19.83203125" style="12" customWidth="1"/>
    <col min="6894" max="6896" width="11.1640625" style="12" customWidth="1"/>
    <col min="6897" max="6899" width="0" style="12" hidden="1" customWidth="1"/>
    <col min="6900" max="6900" width="10.75" style="12" customWidth="1"/>
    <col min="6901" max="6901" width="11.1640625" style="12" customWidth="1"/>
    <col min="6902" max="6902" width="10.83203125" style="12" customWidth="1"/>
    <col min="6903" max="6905" width="11.1640625" style="12" customWidth="1"/>
    <col min="6906" max="7141" width="9.1640625" style="12"/>
    <col min="7142" max="7142" width="6.25" style="12" customWidth="1"/>
    <col min="7143" max="7143" width="43" style="12" bestFit="1" customWidth="1"/>
    <col min="7144" max="7146" width="11.83203125" style="12" customWidth="1"/>
    <col min="7147" max="7148" width="11.1640625" style="12" customWidth="1"/>
    <col min="7149" max="7149" width="19.83203125" style="12" customWidth="1"/>
    <col min="7150" max="7152" width="11.1640625" style="12" customWidth="1"/>
    <col min="7153" max="7155" width="0" style="12" hidden="1" customWidth="1"/>
    <col min="7156" max="7156" width="10.75" style="12" customWidth="1"/>
    <col min="7157" max="7157" width="11.1640625" style="12" customWidth="1"/>
    <col min="7158" max="7158" width="10.83203125" style="12" customWidth="1"/>
    <col min="7159" max="7161" width="11.1640625" style="12" customWidth="1"/>
    <col min="7162" max="7397" width="9.1640625" style="12"/>
    <col min="7398" max="7398" width="6.25" style="12" customWidth="1"/>
    <col min="7399" max="7399" width="43" style="12" bestFit="1" customWidth="1"/>
    <col min="7400" max="7402" width="11.83203125" style="12" customWidth="1"/>
    <col min="7403" max="7404" width="11.1640625" style="12" customWidth="1"/>
    <col min="7405" max="7405" width="19.83203125" style="12" customWidth="1"/>
    <col min="7406" max="7408" width="11.1640625" style="12" customWidth="1"/>
    <col min="7409" max="7411" width="0" style="12" hidden="1" customWidth="1"/>
    <col min="7412" max="7412" width="10.75" style="12" customWidth="1"/>
    <col min="7413" max="7413" width="11.1640625" style="12" customWidth="1"/>
    <col min="7414" max="7414" width="10.83203125" style="12" customWidth="1"/>
    <col min="7415" max="7417" width="11.1640625" style="12" customWidth="1"/>
    <col min="7418" max="7653" width="9.1640625" style="12"/>
    <col min="7654" max="7654" width="6.25" style="12" customWidth="1"/>
    <col min="7655" max="7655" width="43" style="12" bestFit="1" customWidth="1"/>
    <col min="7656" max="7658" width="11.83203125" style="12" customWidth="1"/>
    <col min="7659" max="7660" width="11.1640625" style="12" customWidth="1"/>
    <col min="7661" max="7661" width="19.83203125" style="12" customWidth="1"/>
    <col min="7662" max="7664" width="11.1640625" style="12" customWidth="1"/>
    <col min="7665" max="7667" width="0" style="12" hidden="1" customWidth="1"/>
    <col min="7668" max="7668" width="10.75" style="12" customWidth="1"/>
    <col min="7669" max="7669" width="11.1640625" style="12" customWidth="1"/>
    <col min="7670" max="7670" width="10.83203125" style="12" customWidth="1"/>
    <col min="7671" max="7673" width="11.1640625" style="12" customWidth="1"/>
    <col min="7674" max="7909" width="9.1640625" style="12"/>
    <col min="7910" max="7910" width="6.25" style="12" customWidth="1"/>
    <col min="7911" max="7911" width="43" style="12" bestFit="1" customWidth="1"/>
    <col min="7912" max="7914" width="11.83203125" style="12" customWidth="1"/>
    <col min="7915" max="7916" width="11.1640625" style="12" customWidth="1"/>
    <col min="7917" max="7917" width="19.83203125" style="12" customWidth="1"/>
    <col min="7918" max="7920" width="11.1640625" style="12" customWidth="1"/>
    <col min="7921" max="7923" width="0" style="12" hidden="1" customWidth="1"/>
    <col min="7924" max="7924" width="10.75" style="12" customWidth="1"/>
    <col min="7925" max="7925" width="11.1640625" style="12" customWidth="1"/>
    <col min="7926" max="7926" width="10.83203125" style="12" customWidth="1"/>
    <col min="7927" max="7929" width="11.1640625" style="12" customWidth="1"/>
    <col min="7930" max="8165" width="9.1640625" style="12"/>
    <col min="8166" max="8166" width="6.25" style="12" customWidth="1"/>
    <col min="8167" max="8167" width="43" style="12" bestFit="1" customWidth="1"/>
    <col min="8168" max="8170" width="11.83203125" style="12" customWidth="1"/>
    <col min="8171" max="8172" width="11.1640625" style="12" customWidth="1"/>
    <col min="8173" max="8173" width="19.83203125" style="12" customWidth="1"/>
    <col min="8174" max="8176" width="11.1640625" style="12" customWidth="1"/>
    <col min="8177" max="8179" width="0" style="12" hidden="1" customWidth="1"/>
    <col min="8180" max="8180" width="10.75" style="12" customWidth="1"/>
    <col min="8181" max="8181" width="11.1640625" style="12" customWidth="1"/>
    <col min="8182" max="8182" width="10.83203125" style="12" customWidth="1"/>
    <col min="8183" max="8185" width="11.1640625" style="12" customWidth="1"/>
    <col min="8186" max="8421" width="9.1640625" style="12"/>
    <col min="8422" max="8422" width="6.25" style="12" customWidth="1"/>
    <col min="8423" max="8423" width="43" style="12" bestFit="1" customWidth="1"/>
    <col min="8424" max="8426" width="11.83203125" style="12" customWidth="1"/>
    <col min="8427" max="8428" width="11.1640625" style="12" customWidth="1"/>
    <col min="8429" max="8429" width="19.83203125" style="12" customWidth="1"/>
    <col min="8430" max="8432" width="11.1640625" style="12" customWidth="1"/>
    <col min="8433" max="8435" width="0" style="12" hidden="1" customWidth="1"/>
    <col min="8436" max="8436" width="10.75" style="12" customWidth="1"/>
    <col min="8437" max="8437" width="11.1640625" style="12" customWidth="1"/>
    <col min="8438" max="8438" width="10.83203125" style="12" customWidth="1"/>
    <col min="8439" max="8441" width="11.1640625" style="12" customWidth="1"/>
    <col min="8442" max="8677" width="9.1640625" style="12"/>
    <col min="8678" max="8678" width="6.25" style="12" customWidth="1"/>
    <col min="8679" max="8679" width="43" style="12" bestFit="1" customWidth="1"/>
    <col min="8680" max="8682" width="11.83203125" style="12" customWidth="1"/>
    <col min="8683" max="8684" width="11.1640625" style="12" customWidth="1"/>
    <col min="8685" max="8685" width="19.83203125" style="12" customWidth="1"/>
    <col min="8686" max="8688" width="11.1640625" style="12" customWidth="1"/>
    <col min="8689" max="8691" width="0" style="12" hidden="1" customWidth="1"/>
    <col min="8692" max="8692" width="10.75" style="12" customWidth="1"/>
    <col min="8693" max="8693" width="11.1640625" style="12" customWidth="1"/>
    <col min="8694" max="8694" width="10.83203125" style="12" customWidth="1"/>
    <col min="8695" max="8697" width="11.1640625" style="12" customWidth="1"/>
    <col min="8698" max="8933" width="9.1640625" style="12"/>
    <col min="8934" max="8934" width="6.25" style="12" customWidth="1"/>
    <col min="8935" max="8935" width="43" style="12" bestFit="1" customWidth="1"/>
    <col min="8936" max="8938" width="11.83203125" style="12" customWidth="1"/>
    <col min="8939" max="8940" width="11.1640625" style="12" customWidth="1"/>
    <col min="8941" max="8941" width="19.83203125" style="12" customWidth="1"/>
    <col min="8942" max="8944" width="11.1640625" style="12" customWidth="1"/>
    <col min="8945" max="8947" width="0" style="12" hidden="1" customWidth="1"/>
    <col min="8948" max="8948" width="10.75" style="12" customWidth="1"/>
    <col min="8949" max="8949" width="11.1640625" style="12" customWidth="1"/>
    <col min="8950" max="8950" width="10.83203125" style="12" customWidth="1"/>
    <col min="8951" max="8953" width="11.1640625" style="12" customWidth="1"/>
    <col min="8954" max="9189" width="9.1640625" style="12"/>
    <col min="9190" max="9190" width="6.25" style="12" customWidth="1"/>
    <col min="9191" max="9191" width="43" style="12" bestFit="1" customWidth="1"/>
    <col min="9192" max="9194" width="11.83203125" style="12" customWidth="1"/>
    <col min="9195" max="9196" width="11.1640625" style="12" customWidth="1"/>
    <col min="9197" max="9197" width="19.83203125" style="12" customWidth="1"/>
    <col min="9198" max="9200" width="11.1640625" style="12" customWidth="1"/>
    <col min="9201" max="9203" width="0" style="12" hidden="1" customWidth="1"/>
    <col min="9204" max="9204" width="10.75" style="12" customWidth="1"/>
    <col min="9205" max="9205" width="11.1640625" style="12" customWidth="1"/>
    <col min="9206" max="9206" width="10.83203125" style="12" customWidth="1"/>
    <col min="9207" max="9209" width="11.1640625" style="12" customWidth="1"/>
    <col min="9210" max="9445" width="9.1640625" style="12"/>
    <col min="9446" max="9446" width="6.25" style="12" customWidth="1"/>
    <col min="9447" max="9447" width="43" style="12" bestFit="1" customWidth="1"/>
    <col min="9448" max="9450" width="11.83203125" style="12" customWidth="1"/>
    <col min="9451" max="9452" width="11.1640625" style="12" customWidth="1"/>
    <col min="9453" max="9453" width="19.83203125" style="12" customWidth="1"/>
    <col min="9454" max="9456" width="11.1640625" style="12" customWidth="1"/>
    <col min="9457" max="9459" width="0" style="12" hidden="1" customWidth="1"/>
    <col min="9460" max="9460" width="10.75" style="12" customWidth="1"/>
    <col min="9461" max="9461" width="11.1640625" style="12" customWidth="1"/>
    <col min="9462" max="9462" width="10.83203125" style="12" customWidth="1"/>
    <col min="9463" max="9465" width="11.1640625" style="12" customWidth="1"/>
    <col min="9466" max="9701" width="9.1640625" style="12"/>
    <col min="9702" max="9702" width="6.25" style="12" customWidth="1"/>
    <col min="9703" max="9703" width="43" style="12" bestFit="1" customWidth="1"/>
    <col min="9704" max="9706" width="11.83203125" style="12" customWidth="1"/>
    <col min="9707" max="9708" width="11.1640625" style="12" customWidth="1"/>
    <col min="9709" max="9709" width="19.83203125" style="12" customWidth="1"/>
    <col min="9710" max="9712" width="11.1640625" style="12" customWidth="1"/>
    <col min="9713" max="9715" width="0" style="12" hidden="1" customWidth="1"/>
    <col min="9716" max="9716" width="10.75" style="12" customWidth="1"/>
    <col min="9717" max="9717" width="11.1640625" style="12" customWidth="1"/>
    <col min="9718" max="9718" width="10.83203125" style="12" customWidth="1"/>
    <col min="9719" max="9721" width="11.1640625" style="12" customWidth="1"/>
    <col min="9722" max="9957" width="9.1640625" style="12"/>
    <col min="9958" max="9958" width="6.25" style="12" customWidth="1"/>
    <col min="9959" max="9959" width="43" style="12" bestFit="1" customWidth="1"/>
    <col min="9960" max="9962" width="11.83203125" style="12" customWidth="1"/>
    <col min="9963" max="9964" width="11.1640625" style="12" customWidth="1"/>
    <col min="9965" max="9965" width="19.83203125" style="12" customWidth="1"/>
    <col min="9966" max="9968" width="11.1640625" style="12" customWidth="1"/>
    <col min="9969" max="9971" width="0" style="12" hidden="1" customWidth="1"/>
    <col min="9972" max="9972" width="10.75" style="12" customWidth="1"/>
    <col min="9973" max="9973" width="11.1640625" style="12" customWidth="1"/>
    <col min="9974" max="9974" width="10.83203125" style="12" customWidth="1"/>
    <col min="9975" max="9977" width="11.1640625" style="12" customWidth="1"/>
    <col min="9978" max="10213" width="9.1640625" style="12"/>
    <col min="10214" max="10214" width="6.25" style="12" customWidth="1"/>
    <col min="10215" max="10215" width="43" style="12" bestFit="1" customWidth="1"/>
    <col min="10216" max="10218" width="11.83203125" style="12" customWidth="1"/>
    <col min="10219" max="10220" width="11.1640625" style="12" customWidth="1"/>
    <col min="10221" max="10221" width="19.83203125" style="12" customWidth="1"/>
    <col min="10222" max="10224" width="11.1640625" style="12" customWidth="1"/>
    <col min="10225" max="10227" width="0" style="12" hidden="1" customWidth="1"/>
    <col min="10228" max="10228" width="10.75" style="12" customWidth="1"/>
    <col min="10229" max="10229" width="11.1640625" style="12" customWidth="1"/>
    <col min="10230" max="10230" width="10.83203125" style="12" customWidth="1"/>
    <col min="10231" max="10233" width="11.1640625" style="12" customWidth="1"/>
    <col min="10234" max="10469" width="9.1640625" style="12"/>
    <col min="10470" max="10470" width="6.25" style="12" customWidth="1"/>
    <col min="10471" max="10471" width="43" style="12" bestFit="1" customWidth="1"/>
    <col min="10472" max="10474" width="11.83203125" style="12" customWidth="1"/>
    <col min="10475" max="10476" width="11.1640625" style="12" customWidth="1"/>
    <col min="10477" max="10477" width="19.83203125" style="12" customWidth="1"/>
    <col min="10478" max="10480" width="11.1640625" style="12" customWidth="1"/>
    <col min="10481" max="10483" width="0" style="12" hidden="1" customWidth="1"/>
    <col min="10484" max="10484" width="10.75" style="12" customWidth="1"/>
    <col min="10485" max="10485" width="11.1640625" style="12" customWidth="1"/>
    <col min="10486" max="10486" width="10.83203125" style="12" customWidth="1"/>
    <col min="10487" max="10489" width="11.1640625" style="12" customWidth="1"/>
    <col min="10490" max="10725" width="9.1640625" style="12"/>
    <col min="10726" max="10726" width="6.25" style="12" customWidth="1"/>
    <col min="10727" max="10727" width="43" style="12" bestFit="1" customWidth="1"/>
    <col min="10728" max="10730" width="11.83203125" style="12" customWidth="1"/>
    <col min="10731" max="10732" width="11.1640625" style="12" customWidth="1"/>
    <col min="10733" max="10733" width="19.83203125" style="12" customWidth="1"/>
    <col min="10734" max="10736" width="11.1640625" style="12" customWidth="1"/>
    <col min="10737" max="10739" width="0" style="12" hidden="1" customWidth="1"/>
    <col min="10740" max="10740" width="10.75" style="12" customWidth="1"/>
    <col min="10741" max="10741" width="11.1640625" style="12" customWidth="1"/>
    <col min="10742" max="10742" width="10.83203125" style="12" customWidth="1"/>
    <col min="10743" max="10745" width="11.1640625" style="12" customWidth="1"/>
    <col min="10746" max="10981" width="9.1640625" style="12"/>
    <col min="10982" max="10982" width="6.25" style="12" customWidth="1"/>
    <col min="10983" max="10983" width="43" style="12" bestFit="1" customWidth="1"/>
    <col min="10984" max="10986" width="11.83203125" style="12" customWidth="1"/>
    <col min="10987" max="10988" width="11.1640625" style="12" customWidth="1"/>
    <col min="10989" max="10989" width="19.83203125" style="12" customWidth="1"/>
    <col min="10990" max="10992" width="11.1640625" style="12" customWidth="1"/>
    <col min="10993" max="10995" width="0" style="12" hidden="1" customWidth="1"/>
    <col min="10996" max="10996" width="10.75" style="12" customWidth="1"/>
    <col min="10997" max="10997" width="11.1640625" style="12" customWidth="1"/>
    <col min="10998" max="10998" width="10.83203125" style="12" customWidth="1"/>
    <col min="10999" max="11001" width="11.1640625" style="12" customWidth="1"/>
    <col min="11002" max="11237" width="9.1640625" style="12"/>
    <col min="11238" max="11238" width="6.25" style="12" customWidth="1"/>
    <col min="11239" max="11239" width="43" style="12" bestFit="1" customWidth="1"/>
    <col min="11240" max="11242" width="11.83203125" style="12" customWidth="1"/>
    <col min="11243" max="11244" width="11.1640625" style="12" customWidth="1"/>
    <col min="11245" max="11245" width="19.83203125" style="12" customWidth="1"/>
    <col min="11246" max="11248" width="11.1640625" style="12" customWidth="1"/>
    <col min="11249" max="11251" width="0" style="12" hidden="1" customWidth="1"/>
    <col min="11252" max="11252" width="10.75" style="12" customWidth="1"/>
    <col min="11253" max="11253" width="11.1640625" style="12" customWidth="1"/>
    <col min="11254" max="11254" width="10.83203125" style="12" customWidth="1"/>
    <col min="11255" max="11257" width="11.1640625" style="12" customWidth="1"/>
    <col min="11258" max="11493" width="9.1640625" style="12"/>
    <col min="11494" max="11494" width="6.25" style="12" customWidth="1"/>
    <col min="11495" max="11495" width="43" style="12" bestFit="1" customWidth="1"/>
    <col min="11496" max="11498" width="11.83203125" style="12" customWidth="1"/>
    <col min="11499" max="11500" width="11.1640625" style="12" customWidth="1"/>
    <col min="11501" max="11501" width="19.83203125" style="12" customWidth="1"/>
    <col min="11502" max="11504" width="11.1640625" style="12" customWidth="1"/>
    <col min="11505" max="11507" width="0" style="12" hidden="1" customWidth="1"/>
    <col min="11508" max="11508" width="10.75" style="12" customWidth="1"/>
    <col min="11509" max="11509" width="11.1640625" style="12" customWidth="1"/>
    <col min="11510" max="11510" width="10.83203125" style="12" customWidth="1"/>
    <col min="11511" max="11513" width="11.1640625" style="12" customWidth="1"/>
    <col min="11514" max="11749" width="9.1640625" style="12"/>
    <col min="11750" max="11750" width="6.25" style="12" customWidth="1"/>
    <col min="11751" max="11751" width="43" style="12" bestFit="1" customWidth="1"/>
    <col min="11752" max="11754" width="11.83203125" style="12" customWidth="1"/>
    <col min="11755" max="11756" width="11.1640625" style="12" customWidth="1"/>
    <col min="11757" max="11757" width="19.83203125" style="12" customWidth="1"/>
    <col min="11758" max="11760" width="11.1640625" style="12" customWidth="1"/>
    <col min="11761" max="11763" width="0" style="12" hidden="1" customWidth="1"/>
    <col min="11764" max="11764" width="10.75" style="12" customWidth="1"/>
    <col min="11765" max="11765" width="11.1640625" style="12" customWidth="1"/>
    <col min="11766" max="11766" width="10.83203125" style="12" customWidth="1"/>
    <col min="11767" max="11769" width="11.1640625" style="12" customWidth="1"/>
    <col min="11770" max="12005" width="9.1640625" style="12"/>
    <col min="12006" max="12006" width="6.25" style="12" customWidth="1"/>
    <col min="12007" max="12007" width="43" style="12" bestFit="1" customWidth="1"/>
    <col min="12008" max="12010" width="11.83203125" style="12" customWidth="1"/>
    <col min="12011" max="12012" width="11.1640625" style="12" customWidth="1"/>
    <col min="12013" max="12013" width="19.83203125" style="12" customWidth="1"/>
    <col min="12014" max="12016" width="11.1640625" style="12" customWidth="1"/>
    <col min="12017" max="12019" width="0" style="12" hidden="1" customWidth="1"/>
    <col min="12020" max="12020" width="10.75" style="12" customWidth="1"/>
    <col min="12021" max="12021" width="11.1640625" style="12" customWidth="1"/>
    <col min="12022" max="12022" width="10.83203125" style="12" customWidth="1"/>
    <col min="12023" max="12025" width="11.1640625" style="12" customWidth="1"/>
    <col min="12026" max="12261" width="9.1640625" style="12"/>
    <col min="12262" max="12262" width="6.25" style="12" customWidth="1"/>
    <col min="12263" max="12263" width="43" style="12" bestFit="1" customWidth="1"/>
    <col min="12264" max="12266" width="11.83203125" style="12" customWidth="1"/>
    <col min="12267" max="12268" width="11.1640625" style="12" customWidth="1"/>
    <col min="12269" max="12269" width="19.83203125" style="12" customWidth="1"/>
    <col min="12270" max="12272" width="11.1640625" style="12" customWidth="1"/>
    <col min="12273" max="12275" width="0" style="12" hidden="1" customWidth="1"/>
    <col min="12276" max="12276" width="10.75" style="12" customWidth="1"/>
    <col min="12277" max="12277" width="11.1640625" style="12" customWidth="1"/>
    <col min="12278" max="12278" width="10.83203125" style="12" customWidth="1"/>
    <col min="12279" max="12281" width="11.1640625" style="12" customWidth="1"/>
    <col min="12282" max="12517" width="9.1640625" style="12"/>
    <col min="12518" max="12518" width="6.25" style="12" customWidth="1"/>
    <col min="12519" max="12519" width="43" style="12" bestFit="1" customWidth="1"/>
    <col min="12520" max="12522" width="11.83203125" style="12" customWidth="1"/>
    <col min="12523" max="12524" width="11.1640625" style="12" customWidth="1"/>
    <col min="12525" max="12525" width="19.83203125" style="12" customWidth="1"/>
    <col min="12526" max="12528" width="11.1640625" style="12" customWidth="1"/>
    <col min="12529" max="12531" width="0" style="12" hidden="1" customWidth="1"/>
    <col min="12532" max="12532" width="10.75" style="12" customWidth="1"/>
    <col min="12533" max="12533" width="11.1640625" style="12" customWidth="1"/>
    <col min="12534" max="12534" width="10.83203125" style="12" customWidth="1"/>
    <col min="12535" max="12537" width="11.1640625" style="12" customWidth="1"/>
    <col min="12538" max="12773" width="9.1640625" style="12"/>
    <col min="12774" max="12774" width="6.25" style="12" customWidth="1"/>
    <col min="12775" max="12775" width="43" style="12" bestFit="1" customWidth="1"/>
    <col min="12776" max="12778" width="11.83203125" style="12" customWidth="1"/>
    <col min="12779" max="12780" width="11.1640625" style="12" customWidth="1"/>
    <col min="12781" max="12781" width="19.83203125" style="12" customWidth="1"/>
    <col min="12782" max="12784" width="11.1640625" style="12" customWidth="1"/>
    <col min="12785" max="12787" width="0" style="12" hidden="1" customWidth="1"/>
    <col min="12788" max="12788" width="10.75" style="12" customWidth="1"/>
    <col min="12789" max="12789" width="11.1640625" style="12" customWidth="1"/>
    <col min="12790" max="12790" width="10.83203125" style="12" customWidth="1"/>
    <col min="12791" max="12793" width="11.1640625" style="12" customWidth="1"/>
    <col min="12794" max="13029" width="9.1640625" style="12"/>
    <col min="13030" max="13030" width="6.25" style="12" customWidth="1"/>
    <col min="13031" max="13031" width="43" style="12" bestFit="1" customWidth="1"/>
    <col min="13032" max="13034" width="11.83203125" style="12" customWidth="1"/>
    <col min="13035" max="13036" width="11.1640625" style="12" customWidth="1"/>
    <col min="13037" max="13037" width="19.83203125" style="12" customWidth="1"/>
    <col min="13038" max="13040" width="11.1640625" style="12" customWidth="1"/>
    <col min="13041" max="13043" width="0" style="12" hidden="1" customWidth="1"/>
    <col min="13044" max="13044" width="10.75" style="12" customWidth="1"/>
    <col min="13045" max="13045" width="11.1640625" style="12" customWidth="1"/>
    <col min="13046" max="13046" width="10.83203125" style="12" customWidth="1"/>
    <col min="13047" max="13049" width="11.1640625" style="12" customWidth="1"/>
    <col min="13050" max="13285" width="9.1640625" style="12"/>
    <col min="13286" max="13286" width="6.25" style="12" customWidth="1"/>
    <col min="13287" max="13287" width="43" style="12" bestFit="1" customWidth="1"/>
    <col min="13288" max="13290" width="11.83203125" style="12" customWidth="1"/>
    <col min="13291" max="13292" width="11.1640625" style="12" customWidth="1"/>
    <col min="13293" max="13293" width="19.83203125" style="12" customWidth="1"/>
    <col min="13294" max="13296" width="11.1640625" style="12" customWidth="1"/>
    <col min="13297" max="13299" width="0" style="12" hidden="1" customWidth="1"/>
    <col min="13300" max="13300" width="10.75" style="12" customWidth="1"/>
    <col min="13301" max="13301" width="11.1640625" style="12" customWidth="1"/>
    <col min="13302" max="13302" width="10.83203125" style="12" customWidth="1"/>
    <col min="13303" max="13305" width="11.1640625" style="12" customWidth="1"/>
    <col min="13306" max="13541" width="9.1640625" style="12"/>
    <col min="13542" max="13542" width="6.25" style="12" customWidth="1"/>
    <col min="13543" max="13543" width="43" style="12" bestFit="1" customWidth="1"/>
    <col min="13544" max="13546" width="11.83203125" style="12" customWidth="1"/>
    <col min="13547" max="13548" width="11.1640625" style="12" customWidth="1"/>
    <col min="13549" max="13549" width="19.83203125" style="12" customWidth="1"/>
    <col min="13550" max="13552" width="11.1640625" style="12" customWidth="1"/>
    <col min="13553" max="13555" width="0" style="12" hidden="1" customWidth="1"/>
    <col min="13556" max="13556" width="10.75" style="12" customWidth="1"/>
    <col min="13557" max="13557" width="11.1640625" style="12" customWidth="1"/>
    <col min="13558" max="13558" width="10.83203125" style="12" customWidth="1"/>
    <col min="13559" max="13561" width="11.1640625" style="12" customWidth="1"/>
    <col min="13562" max="13797" width="9.1640625" style="12"/>
    <col min="13798" max="13798" width="6.25" style="12" customWidth="1"/>
    <col min="13799" max="13799" width="43" style="12" bestFit="1" customWidth="1"/>
    <col min="13800" max="13802" width="11.83203125" style="12" customWidth="1"/>
    <col min="13803" max="13804" width="11.1640625" style="12" customWidth="1"/>
    <col min="13805" max="13805" width="19.83203125" style="12" customWidth="1"/>
    <col min="13806" max="13808" width="11.1640625" style="12" customWidth="1"/>
    <col min="13809" max="13811" width="0" style="12" hidden="1" customWidth="1"/>
    <col min="13812" max="13812" width="10.75" style="12" customWidth="1"/>
    <col min="13813" max="13813" width="11.1640625" style="12" customWidth="1"/>
    <col min="13814" max="13814" width="10.83203125" style="12" customWidth="1"/>
    <col min="13815" max="13817" width="11.1640625" style="12" customWidth="1"/>
    <col min="13818" max="14053" width="9.1640625" style="12"/>
    <col min="14054" max="14054" width="6.25" style="12" customWidth="1"/>
    <col min="14055" max="14055" width="43" style="12" bestFit="1" customWidth="1"/>
    <col min="14056" max="14058" width="11.83203125" style="12" customWidth="1"/>
    <col min="14059" max="14060" width="11.1640625" style="12" customWidth="1"/>
    <col min="14061" max="14061" width="19.83203125" style="12" customWidth="1"/>
    <col min="14062" max="14064" width="11.1640625" style="12" customWidth="1"/>
    <col min="14065" max="14067" width="0" style="12" hidden="1" customWidth="1"/>
    <col min="14068" max="14068" width="10.75" style="12" customWidth="1"/>
    <col min="14069" max="14069" width="11.1640625" style="12" customWidth="1"/>
    <col min="14070" max="14070" width="10.83203125" style="12" customWidth="1"/>
    <col min="14071" max="14073" width="11.1640625" style="12" customWidth="1"/>
    <col min="14074" max="14309" width="9.1640625" style="12"/>
    <col min="14310" max="14310" width="6.25" style="12" customWidth="1"/>
    <col min="14311" max="14311" width="43" style="12" bestFit="1" customWidth="1"/>
    <col min="14312" max="14314" width="11.83203125" style="12" customWidth="1"/>
    <col min="14315" max="14316" width="11.1640625" style="12" customWidth="1"/>
    <col min="14317" max="14317" width="19.83203125" style="12" customWidth="1"/>
    <col min="14318" max="14320" width="11.1640625" style="12" customWidth="1"/>
    <col min="14321" max="14323" width="0" style="12" hidden="1" customWidth="1"/>
    <col min="14324" max="14324" width="10.75" style="12" customWidth="1"/>
    <col min="14325" max="14325" width="11.1640625" style="12" customWidth="1"/>
    <col min="14326" max="14326" width="10.83203125" style="12" customWidth="1"/>
    <col min="14327" max="14329" width="11.1640625" style="12" customWidth="1"/>
    <col min="14330" max="14565" width="9.1640625" style="12"/>
    <col min="14566" max="14566" width="6.25" style="12" customWidth="1"/>
    <col min="14567" max="14567" width="43" style="12" bestFit="1" customWidth="1"/>
    <col min="14568" max="14570" width="11.83203125" style="12" customWidth="1"/>
    <col min="14571" max="14572" width="11.1640625" style="12" customWidth="1"/>
    <col min="14573" max="14573" width="19.83203125" style="12" customWidth="1"/>
    <col min="14574" max="14576" width="11.1640625" style="12" customWidth="1"/>
    <col min="14577" max="14579" width="0" style="12" hidden="1" customWidth="1"/>
    <col min="14580" max="14580" width="10.75" style="12" customWidth="1"/>
    <col min="14581" max="14581" width="11.1640625" style="12" customWidth="1"/>
    <col min="14582" max="14582" width="10.83203125" style="12" customWidth="1"/>
    <col min="14583" max="14585" width="11.1640625" style="12" customWidth="1"/>
    <col min="14586" max="14821" width="9.1640625" style="12"/>
    <col min="14822" max="14822" width="6.25" style="12" customWidth="1"/>
    <col min="14823" max="14823" width="43" style="12" bestFit="1" customWidth="1"/>
    <col min="14824" max="14826" width="11.83203125" style="12" customWidth="1"/>
    <col min="14827" max="14828" width="11.1640625" style="12" customWidth="1"/>
    <col min="14829" max="14829" width="19.83203125" style="12" customWidth="1"/>
    <col min="14830" max="14832" width="11.1640625" style="12" customWidth="1"/>
    <col min="14833" max="14835" width="0" style="12" hidden="1" customWidth="1"/>
    <col min="14836" max="14836" width="10.75" style="12" customWidth="1"/>
    <col min="14837" max="14837" width="11.1640625" style="12" customWidth="1"/>
    <col min="14838" max="14838" width="10.83203125" style="12" customWidth="1"/>
    <col min="14839" max="14841" width="11.1640625" style="12" customWidth="1"/>
    <col min="14842" max="15077" width="9.1640625" style="12"/>
    <col min="15078" max="15078" width="6.25" style="12" customWidth="1"/>
    <col min="15079" max="15079" width="43" style="12" bestFit="1" customWidth="1"/>
    <col min="15080" max="15082" width="11.83203125" style="12" customWidth="1"/>
    <col min="15083" max="15084" width="11.1640625" style="12" customWidth="1"/>
    <col min="15085" max="15085" width="19.83203125" style="12" customWidth="1"/>
    <col min="15086" max="15088" width="11.1640625" style="12" customWidth="1"/>
    <col min="15089" max="15091" width="0" style="12" hidden="1" customWidth="1"/>
    <col min="15092" max="15092" width="10.75" style="12" customWidth="1"/>
    <col min="15093" max="15093" width="11.1640625" style="12" customWidth="1"/>
    <col min="15094" max="15094" width="10.83203125" style="12" customWidth="1"/>
    <col min="15095" max="15097" width="11.1640625" style="12" customWidth="1"/>
    <col min="15098" max="15333" width="9.1640625" style="12"/>
    <col min="15334" max="15334" width="6.25" style="12" customWidth="1"/>
    <col min="15335" max="15335" width="43" style="12" bestFit="1" customWidth="1"/>
    <col min="15336" max="15338" width="11.83203125" style="12" customWidth="1"/>
    <col min="15339" max="15340" width="11.1640625" style="12" customWidth="1"/>
    <col min="15341" max="15341" width="19.83203125" style="12" customWidth="1"/>
    <col min="15342" max="15344" width="11.1640625" style="12" customWidth="1"/>
    <col min="15345" max="15347" width="0" style="12" hidden="1" customWidth="1"/>
    <col min="15348" max="15348" width="10.75" style="12" customWidth="1"/>
    <col min="15349" max="15349" width="11.1640625" style="12" customWidth="1"/>
    <col min="15350" max="15350" width="10.83203125" style="12" customWidth="1"/>
    <col min="15351" max="15353" width="11.1640625" style="12" customWidth="1"/>
    <col min="15354" max="15589" width="9.1640625" style="12"/>
    <col min="15590" max="15590" width="6.25" style="12" customWidth="1"/>
    <col min="15591" max="15591" width="43" style="12" bestFit="1" customWidth="1"/>
    <col min="15592" max="15594" width="11.83203125" style="12" customWidth="1"/>
    <col min="15595" max="15596" width="11.1640625" style="12" customWidth="1"/>
    <col min="15597" max="15597" width="19.83203125" style="12" customWidth="1"/>
    <col min="15598" max="15600" width="11.1640625" style="12" customWidth="1"/>
    <col min="15601" max="15603" width="0" style="12" hidden="1" customWidth="1"/>
    <col min="15604" max="15604" width="10.75" style="12" customWidth="1"/>
    <col min="15605" max="15605" width="11.1640625" style="12" customWidth="1"/>
    <col min="15606" max="15606" width="10.83203125" style="12" customWidth="1"/>
    <col min="15607" max="15609" width="11.1640625" style="12" customWidth="1"/>
    <col min="15610" max="15845" width="9.1640625" style="12"/>
    <col min="15846" max="15846" width="6.25" style="12" customWidth="1"/>
    <col min="15847" max="15847" width="43" style="12" bestFit="1" customWidth="1"/>
    <col min="15848" max="15850" width="11.83203125" style="12" customWidth="1"/>
    <col min="15851" max="15852" width="11.1640625" style="12" customWidth="1"/>
    <col min="15853" max="15853" width="19.83203125" style="12" customWidth="1"/>
    <col min="15854" max="15856" width="11.1640625" style="12" customWidth="1"/>
    <col min="15857" max="15859" width="0" style="12" hidden="1" customWidth="1"/>
    <col min="15860" max="15860" width="10.75" style="12" customWidth="1"/>
    <col min="15861" max="15861" width="11.1640625" style="12" customWidth="1"/>
    <col min="15862" max="15862" width="10.83203125" style="12" customWidth="1"/>
    <col min="15863" max="15865" width="11.1640625" style="12" customWidth="1"/>
    <col min="15866" max="16101" width="9.1640625" style="12"/>
    <col min="16102" max="16102" width="6.25" style="12" customWidth="1"/>
    <col min="16103" max="16103" width="43" style="12" bestFit="1" customWidth="1"/>
    <col min="16104" max="16106" width="11.83203125" style="12" customWidth="1"/>
    <col min="16107" max="16108" width="11.1640625" style="12" customWidth="1"/>
    <col min="16109" max="16109" width="19.83203125" style="12" customWidth="1"/>
    <col min="16110" max="16112" width="11.1640625" style="12" customWidth="1"/>
    <col min="16113" max="16115" width="0" style="12" hidden="1" customWidth="1"/>
    <col min="16116" max="16116" width="10.75" style="12" customWidth="1"/>
    <col min="16117" max="16117" width="11.1640625" style="12" customWidth="1"/>
    <col min="16118" max="16118" width="10.83203125" style="12" customWidth="1"/>
    <col min="16119" max="16121" width="11.1640625" style="12" customWidth="1"/>
    <col min="16122" max="16384" width="9.1640625" style="12"/>
  </cols>
  <sheetData>
    <row r="1" spans="1:11" ht="46.5" customHeight="1">
      <c r="A1" s="809" t="s">
        <v>52</v>
      </c>
      <c r="B1" s="809"/>
      <c r="C1" s="809"/>
      <c r="D1" s="809"/>
      <c r="E1" s="809"/>
      <c r="F1" s="809"/>
      <c r="G1" s="809"/>
      <c r="H1" s="809"/>
    </row>
    <row r="2" spans="1:11" ht="24.75" customHeight="1">
      <c r="A2" s="810" t="e">
        <f>#REF!</f>
        <v>#REF!</v>
      </c>
      <c r="B2" s="810"/>
      <c r="C2" s="810"/>
      <c r="D2" s="810"/>
      <c r="E2" s="810"/>
      <c r="F2" s="810"/>
      <c r="G2" s="810"/>
      <c r="H2" s="810"/>
    </row>
    <row r="3" spans="1:11" ht="29.25" customHeight="1">
      <c r="G3" s="811" t="s">
        <v>42</v>
      </c>
      <c r="H3" s="811"/>
    </row>
    <row r="4" spans="1:11" ht="24" customHeight="1">
      <c r="A4" s="812" t="s">
        <v>13</v>
      </c>
      <c r="B4" s="812" t="s">
        <v>21</v>
      </c>
      <c r="C4" s="813" t="s">
        <v>55</v>
      </c>
      <c r="D4" s="814"/>
      <c r="E4" s="824"/>
      <c r="F4" s="826" t="s">
        <v>34</v>
      </c>
      <c r="G4" s="826"/>
      <c r="H4" s="827"/>
      <c r="I4" s="14"/>
      <c r="J4" s="14"/>
      <c r="K4" s="14"/>
    </row>
    <row r="5" spans="1:11" ht="24" customHeight="1">
      <c r="A5" s="812"/>
      <c r="B5" s="812"/>
      <c r="C5" s="815"/>
      <c r="D5" s="816"/>
      <c r="E5" s="825"/>
      <c r="F5" s="828" t="s">
        <v>28</v>
      </c>
      <c r="G5" s="828"/>
      <c r="H5" s="829"/>
      <c r="I5" s="14"/>
      <c r="J5" s="14"/>
      <c r="K5" s="14"/>
    </row>
    <row r="6" spans="1:11" ht="57.75" customHeight="1">
      <c r="A6" s="812"/>
      <c r="B6" s="812"/>
      <c r="C6" s="817"/>
      <c r="D6" s="818"/>
      <c r="E6" s="819"/>
      <c r="F6" s="830" t="s">
        <v>53</v>
      </c>
      <c r="G6" s="828"/>
      <c r="H6" s="829"/>
      <c r="I6" s="14"/>
      <c r="J6" s="14"/>
      <c r="K6" s="14"/>
    </row>
    <row r="7" spans="1:11" ht="24" customHeight="1">
      <c r="A7" s="812"/>
      <c r="B7" s="812"/>
      <c r="C7" s="820" t="s">
        <v>26</v>
      </c>
      <c r="D7" s="820" t="s">
        <v>35</v>
      </c>
      <c r="E7" s="820"/>
      <c r="F7" s="820" t="s">
        <v>26</v>
      </c>
      <c r="G7" s="820" t="s">
        <v>35</v>
      </c>
      <c r="H7" s="820"/>
      <c r="I7" s="14"/>
      <c r="J7" s="14"/>
      <c r="K7" s="14"/>
    </row>
    <row r="8" spans="1:11" ht="38.25" customHeight="1">
      <c r="A8" s="812"/>
      <c r="B8" s="812"/>
      <c r="C8" s="820"/>
      <c r="D8" s="29" t="s">
        <v>32</v>
      </c>
      <c r="E8" s="29" t="s">
        <v>36</v>
      </c>
      <c r="F8" s="820"/>
      <c r="G8" s="29" t="s">
        <v>32</v>
      </c>
      <c r="H8" s="29" t="s">
        <v>36</v>
      </c>
    </row>
    <row r="9" spans="1:11" s="17" customFormat="1" ht="18.75" customHeight="1">
      <c r="A9" s="15" t="s">
        <v>1</v>
      </c>
      <c r="B9" s="15" t="s">
        <v>5</v>
      </c>
      <c r="C9" s="16">
        <v>1</v>
      </c>
      <c r="D9" s="16">
        <v>2</v>
      </c>
      <c r="E9" s="16">
        <v>3</v>
      </c>
      <c r="F9" s="16">
        <v>7</v>
      </c>
      <c r="G9" s="16">
        <v>8</v>
      </c>
      <c r="H9" s="16">
        <v>9</v>
      </c>
    </row>
    <row r="10" spans="1:11" s="32" customFormat="1" ht="28.5" customHeight="1">
      <c r="A10" s="30"/>
      <c r="B10" s="30" t="s">
        <v>23</v>
      </c>
      <c r="C10" s="25">
        <f t="shared" ref="C10:E10" si="0">C11</f>
        <v>150000000</v>
      </c>
      <c r="D10" s="25">
        <f t="shared" si="0"/>
        <v>137000000</v>
      </c>
      <c r="E10" s="25">
        <f t="shared" si="0"/>
        <v>13000000</v>
      </c>
      <c r="F10" s="25">
        <f>F11</f>
        <v>150000000</v>
      </c>
      <c r="G10" s="25">
        <f t="shared" ref="G10:H10" si="1">G11</f>
        <v>137000000</v>
      </c>
      <c r="H10" s="25">
        <f t="shared" si="1"/>
        <v>13000000</v>
      </c>
      <c r="I10" s="31"/>
      <c r="J10" s="31"/>
      <c r="K10" s="31"/>
    </row>
    <row r="11" spans="1:11" s="32" customFormat="1" ht="28.5" customHeight="1">
      <c r="A11" s="30" t="s">
        <v>2</v>
      </c>
      <c r="B11" s="33" t="s">
        <v>29</v>
      </c>
      <c r="C11" s="25">
        <f t="shared" ref="C11:H11" si="2">SUM(C12:C12)</f>
        <v>150000000</v>
      </c>
      <c r="D11" s="25">
        <f t="shared" si="2"/>
        <v>137000000</v>
      </c>
      <c r="E11" s="25">
        <f t="shared" si="2"/>
        <v>13000000</v>
      </c>
      <c r="F11" s="25">
        <f t="shared" si="2"/>
        <v>150000000</v>
      </c>
      <c r="G11" s="25">
        <f t="shared" si="2"/>
        <v>137000000</v>
      </c>
      <c r="H11" s="25">
        <f t="shared" si="2"/>
        <v>13000000</v>
      </c>
      <c r="I11" s="34"/>
      <c r="J11" s="34"/>
      <c r="K11" s="34"/>
    </row>
    <row r="12" spans="1:11" ht="28.5" customHeight="1">
      <c r="A12" s="26">
        <v>1</v>
      </c>
      <c r="B12" s="27" t="s">
        <v>54</v>
      </c>
      <c r="C12" s="28">
        <f>D12+E12</f>
        <v>150000000</v>
      </c>
      <c r="D12" s="28">
        <f>+G12</f>
        <v>137000000</v>
      </c>
      <c r="E12" s="28">
        <f>+H12</f>
        <v>13000000</v>
      </c>
      <c r="F12" s="28">
        <f>SUM(G12:H12)</f>
        <v>150000000</v>
      </c>
      <c r="G12" s="28">
        <v>137000000</v>
      </c>
      <c r="H12" s="28">
        <v>13000000</v>
      </c>
      <c r="I12" s="13"/>
      <c r="J12" s="13"/>
      <c r="K12" s="13"/>
    </row>
  </sheetData>
  <mergeCells count="13">
    <mergeCell ref="A1:H1"/>
    <mergeCell ref="A2:H2"/>
    <mergeCell ref="G3:H3"/>
    <mergeCell ref="A4:A8"/>
    <mergeCell ref="B4:B8"/>
    <mergeCell ref="C4:E6"/>
    <mergeCell ref="F4:H4"/>
    <mergeCell ref="F5:H5"/>
    <mergeCell ref="F7:F8"/>
    <mergeCell ref="G7:H7"/>
    <mergeCell ref="F6:H6"/>
    <mergeCell ref="C7:C8"/>
    <mergeCell ref="D7:E7"/>
  </mergeCells>
  <pageMargins left="0.78740157480314965" right="0.39370078740157483" top="0.78740157480314965" bottom="0.78740157480314965" header="0.31496062992125984" footer="0.31496062992125984"/>
  <pageSetup paperSize="9" scale="60" firstPageNumber="227" orientation="landscape" useFirstPageNumber="1" horizontalDpi="300" verticalDpi="300" r:id="rId1"/>
  <headerFooter>
    <oddHeader>&amp;C&amp;P&amp;R&amp;"Times New Roman,Bold Italic"Phụ lục số 3 - Chương trình NTM
Biểu số 2.7</oddHead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5"/>
  <sheetViews>
    <sheetView zoomScale="80" zoomScaleNormal="80" workbookViewId="0">
      <selection activeCell="K17" sqref="K17"/>
    </sheetView>
  </sheetViews>
  <sheetFormatPr defaultRowHeight="15.5"/>
  <cols>
    <col min="1" max="1" width="8.83203125" style="309" customWidth="1"/>
    <col min="2" max="2" width="29.1640625" style="308" customWidth="1"/>
    <col min="3" max="3" width="17.25" style="308" customWidth="1"/>
    <col min="4" max="4" width="17.83203125" style="308" customWidth="1"/>
    <col min="5" max="5" width="15.83203125" style="308" customWidth="1"/>
    <col min="6" max="6" width="14.83203125" style="308" customWidth="1"/>
    <col min="7" max="7" width="21.4140625" style="308" customWidth="1"/>
    <col min="8" max="8" width="13.75" style="308" customWidth="1"/>
    <col min="9" max="9" width="12.75" style="308" bestFit="1" customWidth="1"/>
    <col min="10" max="10" width="12.4140625" style="308" customWidth="1"/>
    <col min="11" max="11" width="14" style="308" customWidth="1"/>
    <col min="12" max="12" width="11" style="308" customWidth="1"/>
    <col min="13" max="257" width="9.1640625" style="308"/>
    <col min="258" max="258" width="6" style="308" customWidth="1"/>
    <col min="259" max="259" width="28.83203125" style="308" customWidth="1"/>
    <col min="260" max="260" width="18.83203125" style="308" customWidth="1"/>
    <col min="261" max="262" width="16.1640625" style="308" customWidth="1"/>
    <col min="263" max="263" width="24.1640625" style="308" customWidth="1"/>
    <col min="264" max="264" width="13.75" style="308" customWidth="1"/>
    <col min="265" max="265" width="12.75" style="308" bestFit="1" customWidth="1"/>
    <col min="266" max="266" width="12.4140625" style="308" customWidth="1"/>
    <col min="267" max="267" width="14" style="308" customWidth="1"/>
    <col min="268" max="268" width="11" style="308" customWidth="1"/>
    <col min="269" max="513" width="9.1640625" style="308"/>
    <col min="514" max="514" width="6" style="308" customWidth="1"/>
    <col min="515" max="515" width="28.83203125" style="308" customWidth="1"/>
    <col min="516" max="516" width="18.83203125" style="308" customWidth="1"/>
    <col min="517" max="518" width="16.1640625" style="308" customWidth="1"/>
    <col min="519" max="519" width="24.1640625" style="308" customWidth="1"/>
    <col min="520" max="520" width="13.75" style="308" customWidth="1"/>
    <col min="521" max="521" width="12.75" style="308" bestFit="1" customWidth="1"/>
    <col min="522" max="522" width="12.4140625" style="308" customWidth="1"/>
    <col min="523" max="523" width="14" style="308" customWidth="1"/>
    <col min="524" max="524" width="11" style="308" customWidth="1"/>
    <col min="525" max="769" width="9.1640625" style="308"/>
    <col min="770" max="770" width="6" style="308" customWidth="1"/>
    <col min="771" max="771" width="28.83203125" style="308" customWidth="1"/>
    <col min="772" max="772" width="18.83203125" style="308" customWidth="1"/>
    <col min="773" max="774" width="16.1640625" style="308" customWidth="1"/>
    <col min="775" max="775" width="24.1640625" style="308" customWidth="1"/>
    <col min="776" max="776" width="13.75" style="308" customWidth="1"/>
    <col min="777" max="777" width="12.75" style="308" bestFit="1" customWidth="1"/>
    <col min="778" max="778" width="12.4140625" style="308" customWidth="1"/>
    <col min="779" max="779" width="14" style="308" customWidth="1"/>
    <col min="780" max="780" width="11" style="308" customWidth="1"/>
    <col min="781" max="1025" width="9.1640625" style="308"/>
    <col min="1026" max="1026" width="6" style="308" customWidth="1"/>
    <col min="1027" max="1027" width="28.83203125" style="308" customWidth="1"/>
    <col min="1028" max="1028" width="18.83203125" style="308" customWidth="1"/>
    <col min="1029" max="1030" width="16.1640625" style="308" customWidth="1"/>
    <col min="1031" max="1031" width="24.1640625" style="308" customWidth="1"/>
    <col min="1032" max="1032" width="13.75" style="308" customWidth="1"/>
    <col min="1033" max="1033" width="12.75" style="308" bestFit="1" customWidth="1"/>
    <col min="1034" max="1034" width="12.4140625" style="308" customWidth="1"/>
    <col min="1035" max="1035" width="14" style="308" customWidth="1"/>
    <col min="1036" max="1036" width="11" style="308" customWidth="1"/>
    <col min="1037" max="1281" width="9.1640625" style="308"/>
    <col min="1282" max="1282" width="6" style="308" customWidth="1"/>
    <col min="1283" max="1283" width="28.83203125" style="308" customWidth="1"/>
    <col min="1284" max="1284" width="18.83203125" style="308" customWidth="1"/>
    <col min="1285" max="1286" width="16.1640625" style="308" customWidth="1"/>
    <col min="1287" max="1287" width="24.1640625" style="308" customWidth="1"/>
    <col min="1288" max="1288" width="13.75" style="308" customWidth="1"/>
    <col min="1289" max="1289" width="12.75" style="308" bestFit="1" customWidth="1"/>
    <col min="1290" max="1290" width="12.4140625" style="308" customWidth="1"/>
    <col min="1291" max="1291" width="14" style="308" customWidth="1"/>
    <col min="1292" max="1292" width="11" style="308" customWidth="1"/>
    <col min="1293" max="1537" width="9.1640625" style="308"/>
    <col min="1538" max="1538" width="6" style="308" customWidth="1"/>
    <col min="1539" max="1539" width="28.83203125" style="308" customWidth="1"/>
    <col min="1540" max="1540" width="18.83203125" style="308" customWidth="1"/>
    <col min="1541" max="1542" width="16.1640625" style="308" customWidth="1"/>
    <col min="1543" max="1543" width="24.1640625" style="308" customWidth="1"/>
    <col min="1544" max="1544" width="13.75" style="308" customWidth="1"/>
    <col min="1545" max="1545" width="12.75" style="308" bestFit="1" customWidth="1"/>
    <col min="1546" max="1546" width="12.4140625" style="308" customWidth="1"/>
    <col min="1547" max="1547" width="14" style="308" customWidth="1"/>
    <col min="1548" max="1548" width="11" style="308" customWidth="1"/>
    <col min="1549" max="1793" width="9.1640625" style="308"/>
    <col min="1794" max="1794" width="6" style="308" customWidth="1"/>
    <col min="1795" max="1795" width="28.83203125" style="308" customWidth="1"/>
    <col min="1796" max="1796" width="18.83203125" style="308" customWidth="1"/>
    <col min="1797" max="1798" width="16.1640625" style="308" customWidth="1"/>
    <col min="1799" max="1799" width="24.1640625" style="308" customWidth="1"/>
    <col min="1800" max="1800" width="13.75" style="308" customWidth="1"/>
    <col min="1801" max="1801" width="12.75" style="308" bestFit="1" customWidth="1"/>
    <col min="1802" max="1802" width="12.4140625" style="308" customWidth="1"/>
    <col min="1803" max="1803" width="14" style="308" customWidth="1"/>
    <col min="1804" max="1804" width="11" style="308" customWidth="1"/>
    <col min="1805" max="2049" width="9.1640625" style="308"/>
    <col min="2050" max="2050" width="6" style="308" customWidth="1"/>
    <col min="2051" max="2051" width="28.83203125" style="308" customWidth="1"/>
    <col min="2052" max="2052" width="18.83203125" style="308" customWidth="1"/>
    <col min="2053" max="2054" width="16.1640625" style="308" customWidth="1"/>
    <col min="2055" max="2055" width="24.1640625" style="308" customWidth="1"/>
    <col min="2056" max="2056" width="13.75" style="308" customWidth="1"/>
    <col min="2057" max="2057" width="12.75" style="308" bestFit="1" customWidth="1"/>
    <col min="2058" max="2058" width="12.4140625" style="308" customWidth="1"/>
    <col min="2059" max="2059" width="14" style="308" customWidth="1"/>
    <col min="2060" max="2060" width="11" style="308" customWidth="1"/>
    <col min="2061" max="2305" width="9.1640625" style="308"/>
    <col min="2306" max="2306" width="6" style="308" customWidth="1"/>
    <col min="2307" max="2307" width="28.83203125" style="308" customWidth="1"/>
    <col min="2308" max="2308" width="18.83203125" style="308" customWidth="1"/>
    <col min="2309" max="2310" width="16.1640625" style="308" customWidth="1"/>
    <col min="2311" max="2311" width="24.1640625" style="308" customWidth="1"/>
    <col min="2312" max="2312" width="13.75" style="308" customWidth="1"/>
    <col min="2313" max="2313" width="12.75" style="308" bestFit="1" customWidth="1"/>
    <col min="2314" max="2314" width="12.4140625" style="308" customWidth="1"/>
    <col min="2315" max="2315" width="14" style="308" customWidth="1"/>
    <col min="2316" max="2316" width="11" style="308" customWidth="1"/>
    <col min="2317" max="2561" width="9.1640625" style="308"/>
    <col min="2562" max="2562" width="6" style="308" customWidth="1"/>
    <col min="2563" max="2563" width="28.83203125" style="308" customWidth="1"/>
    <col min="2564" max="2564" width="18.83203125" style="308" customWidth="1"/>
    <col min="2565" max="2566" width="16.1640625" style="308" customWidth="1"/>
    <col min="2567" max="2567" width="24.1640625" style="308" customWidth="1"/>
    <col min="2568" max="2568" width="13.75" style="308" customWidth="1"/>
    <col min="2569" max="2569" width="12.75" style="308" bestFit="1" customWidth="1"/>
    <col min="2570" max="2570" width="12.4140625" style="308" customWidth="1"/>
    <col min="2571" max="2571" width="14" style="308" customWidth="1"/>
    <col min="2572" max="2572" width="11" style="308" customWidth="1"/>
    <col min="2573" max="2817" width="9.1640625" style="308"/>
    <col min="2818" max="2818" width="6" style="308" customWidth="1"/>
    <col min="2819" max="2819" width="28.83203125" style="308" customWidth="1"/>
    <col min="2820" max="2820" width="18.83203125" style="308" customWidth="1"/>
    <col min="2821" max="2822" width="16.1640625" style="308" customWidth="1"/>
    <col min="2823" max="2823" width="24.1640625" style="308" customWidth="1"/>
    <col min="2824" max="2824" width="13.75" style="308" customWidth="1"/>
    <col min="2825" max="2825" width="12.75" style="308" bestFit="1" customWidth="1"/>
    <col min="2826" max="2826" width="12.4140625" style="308" customWidth="1"/>
    <col min="2827" max="2827" width="14" style="308" customWidth="1"/>
    <col min="2828" max="2828" width="11" style="308" customWidth="1"/>
    <col min="2829" max="3073" width="9.1640625" style="308"/>
    <col min="3074" max="3074" width="6" style="308" customWidth="1"/>
    <col min="3075" max="3075" width="28.83203125" style="308" customWidth="1"/>
    <col min="3076" max="3076" width="18.83203125" style="308" customWidth="1"/>
    <col min="3077" max="3078" width="16.1640625" style="308" customWidth="1"/>
    <col min="3079" max="3079" width="24.1640625" style="308" customWidth="1"/>
    <col min="3080" max="3080" width="13.75" style="308" customWidth="1"/>
    <col min="3081" max="3081" width="12.75" style="308" bestFit="1" customWidth="1"/>
    <col min="3082" max="3082" width="12.4140625" style="308" customWidth="1"/>
    <col min="3083" max="3083" width="14" style="308" customWidth="1"/>
    <col min="3084" max="3084" width="11" style="308" customWidth="1"/>
    <col min="3085" max="3329" width="9.1640625" style="308"/>
    <col min="3330" max="3330" width="6" style="308" customWidth="1"/>
    <col min="3331" max="3331" width="28.83203125" style="308" customWidth="1"/>
    <col min="3332" max="3332" width="18.83203125" style="308" customWidth="1"/>
    <col min="3333" max="3334" width="16.1640625" style="308" customWidth="1"/>
    <col min="3335" max="3335" width="24.1640625" style="308" customWidth="1"/>
    <col min="3336" max="3336" width="13.75" style="308" customWidth="1"/>
    <col min="3337" max="3337" width="12.75" style="308" bestFit="1" customWidth="1"/>
    <col min="3338" max="3338" width="12.4140625" style="308" customWidth="1"/>
    <col min="3339" max="3339" width="14" style="308" customWidth="1"/>
    <col min="3340" max="3340" width="11" style="308" customWidth="1"/>
    <col min="3341" max="3585" width="9.1640625" style="308"/>
    <col min="3586" max="3586" width="6" style="308" customWidth="1"/>
    <col min="3587" max="3587" width="28.83203125" style="308" customWidth="1"/>
    <col min="3588" max="3588" width="18.83203125" style="308" customWidth="1"/>
    <col min="3589" max="3590" width="16.1640625" style="308" customWidth="1"/>
    <col min="3591" max="3591" width="24.1640625" style="308" customWidth="1"/>
    <col min="3592" max="3592" width="13.75" style="308" customWidth="1"/>
    <col min="3593" max="3593" width="12.75" style="308" bestFit="1" customWidth="1"/>
    <col min="3594" max="3594" width="12.4140625" style="308" customWidth="1"/>
    <col min="3595" max="3595" width="14" style="308" customWidth="1"/>
    <col min="3596" max="3596" width="11" style="308" customWidth="1"/>
    <col min="3597" max="3841" width="9.1640625" style="308"/>
    <col min="3842" max="3842" width="6" style="308" customWidth="1"/>
    <col min="3843" max="3843" width="28.83203125" style="308" customWidth="1"/>
    <col min="3844" max="3844" width="18.83203125" style="308" customWidth="1"/>
    <col min="3845" max="3846" width="16.1640625" style="308" customWidth="1"/>
    <col min="3847" max="3847" width="24.1640625" style="308" customWidth="1"/>
    <col min="3848" max="3848" width="13.75" style="308" customWidth="1"/>
    <col min="3849" max="3849" width="12.75" style="308" bestFit="1" customWidth="1"/>
    <col min="3850" max="3850" width="12.4140625" style="308" customWidth="1"/>
    <col min="3851" max="3851" width="14" style="308" customWidth="1"/>
    <col min="3852" max="3852" width="11" style="308" customWidth="1"/>
    <col min="3853" max="4097" width="9.1640625" style="308"/>
    <col min="4098" max="4098" width="6" style="308" customWidth="1"/>
    <col min="4099" max="4099" width="28.83203125" style="308" customWidth="1"/>
    <col min="4100" max="4100" width="18.83203125" style="308" customWidth="1"/>
    <col min="4101" max="4102" width="16.1640625" style="308" customWidth="1"/>
    <col min="4103" max="4103" width="24.1640625" style="308" customWidth="1"/>
    <col min="4104" max="4104" width="13.75" style="308" customWidth="1"/>
    <col min="4105" max="4105" width="12.75" style="308" bestFit="1" customWidth="1"/>
    <col min="4106" max="4106" width="12.4140625" style="308" customWidth="1"/>
    <col min="4107" max="4107" width="14" style="308" customWidth="1"/>
    <col min="4108" max="4108" width="11" style="308" customWidth="1"/>
    <col min="4109" max="4353" width="9.1640625" style="308"/>
    <col min="4354" max="4354" width="6" style="308" customWidth="1"/>
    <col min="4355" max="4355" width="28.83203125" style="308" customWidth="1"/>
    <col min="4356" max="4356" width="18.83203125" style="308" customWidth="1"/>
    <col min="4357" max="4358" width="16.1640625" style="308" customWidth="1"/>
    <col min="4359" max="4359" width="24.1640625" style="308" customWidth="1"/>
    <col min="4360" max="4360" width="13.75" style="308" customWidth="1"/>
    <col min="4361" max="4361" width="12.75" style="308" bestFit="1" customWidth="1"/>
    <col min="4362" max="4362" width="12.4140625" style="308" customWidth="1"/>
    <col min="4363" max="4363" width="14" style="308" customWidth="1"/>
    <col min="4364" max="4364" width="11" style="308" customWidth="1"/>
    <col min="4365" max="4609" width="9.1640625" style="308"/>
    <col min="4610" max="4610" width="6" style="308" customWidth="1"/>
    <col min="4611" max="4611" width="28.83203125" style="308" customWidth="1"/>
    <col min="4612" max="4612" width="18.83203125" style="308" customWidth="1"/>
    <col min="4613" max="4614" width="16.1640625" style="308" customWidth="1"/>
    <col min="4615" max="4615" width="24.1640625" style="308" customWidth="1"/>
    <col min="4616" max="4616" width="13.75" style="308" customWidth="1"/>
    <col min="4617" max="4617" width="12.75" style="308" bestFit="1" customWidth="1"/>
    <col min="4618" max="4618" width="12.4140625" style="308" customWidth="1"/>
    <col min="4619" max="4619" width="14" style="308" customWidth="1"/>
    <col min="4620" max="4620" width="11" style="308" customWidth="1"/>
    <col min="4621" max="4865" width="9.1640625" style="308"/>
    <col min="4866" max="4866" width="6" style="308" customWidth="1"/>
    <col min="4867" max="4867" width="28.83203125" style="308" customWidth="1"/>
    <col min="4868" max="4868" width="18.83203125" style="308" customWidth="1"/>
    <col min="4869" max="4870" width="16.1640625" style="308" customWidth="1"/>
    <col min="4871" max="4871" width="24.1640625" style="308" customWidth="1"/>
    <col min="4872" max="4872" width="13.75" style="308" customWidth="1"/>
    <col min="4873" max="4873" width="12.75" style="308" bestFit="1" customWidth="1"/>
    <col min="4874" max="4874" width="12.4140625" style="308" customWidth="1"/>
    <col min="4875" max="4875" width="14" style="308" customWidth="1"/>
    <col min="4876" max="4876" width="11" style="308" customWidth="1"/>
    <col min="4877" max="5121" width="9.1640625" style="308"/>
    <col min="5122" max="5122" width="6" style="308" customWidth="1"/>
    <col min="5123" max="5123" width="28.83203125" style="308" customWidth="1"/>
    <col min="5124" max="5124" width="18.83203125" style="308" customWidth="1"/>
    <col min="5125" max="5126" width="16.1640625" style="308" customWidth="1"/>
    <col min="5127" max="5127" width="24.1640625" style="308" customWidth="1"/>
    <col min="5128" max="5128" width="13.75" style="308" customWidth="1"/>
    <col min="5129" max="5129" width="12.75" style="308" bestFit="1" customWidth="1"/>
    <col min="5130" max="5130" width="12.4140625" style="308" customWidth="1"/>
    <col min="5131" max="5131" width="14" style="308" customWidth="1"/>
    <col min="5132" max="5132" width="11" style="308" customWidth="1"/>
    <col min="5133" max="5377" width="9.1640625" style="308"/>
    <col min="5378" max="5378" width="6" style="308" customWidth="1"/>
    <col min="5379" max="5379" width="28.83203125" style="308" customWidth="1"/>
    <col min="5380" max="5380" width="18.83203125" style="308" customWidth="1"/>
    <col min="5381" max="5382" width="16.1640625" style="308" customWidth="1"/>
    <col min="5383" max="5383" width="24.1640625" style="308" customWidth="1"/>
    <col min="5384" max="5384" width="13.75" style="308" customWidth="1"/>
    <col min="5385" max="5385" width="12.75" style="308" bestFit="1" customWidth="1"/>
    <col min="5386" max="5386" width="12.4140625" style="308" customWidth="1"/>
    <col min="5387" max="5387" width="14" style="308" customWidth="1"/>
    <col min="5388" max="5388" width="11" style="308" customWidth="1"/>
    <col min="5389" max="5633" width="9.1640625" style="308"/>
    <col min="5634" max="5634" width="6" style="308" customWidth="1"/>
    <col min="5635" max="5635" width="28.83203125" style="308" customWidth="1"/>
    <col min="5636" max="5636" width="18.83203125" style="308" customWidth="1"/>
    <col min="5637" max="5638" width="16.1640625" style="308" customWidth="1"/>
    <col min="5639" max="5639" width="24.1640625" style="308" customWidth="1"/>
    <col min="5640" max="5640" width="13.75" style="308" customWidth="1"/>
    <col min="5641" max="5641" width="12.75" style="308" bestFit="1" customWidth="1"/>
    <col min="5642" max="5642" width="12.4140625" style="308" customWidth="1"/>
    <col min="5643" max="5643" width="14" style="308" customWidth="1"/>
    <col min="5644" max="5644" width="11" style="308" customWidth="1"/>
    <col min="5645" max="5889" width="9.1640625" style="308"/>
    <col min="5890" max="5890" width="6" style="308" customWidth="1"/>
    <col min="5891" max="5891" width="28.83203125" style="308" customWidth="1"/>
    <col min="5892" max="5892" width="18.83203125" style="308" customWidth="1"/>
    <col min="5893" max="5894" width="16.1640625" style="308" customWidth="1"/>
    <col min="5895" max="5895" width="24.1640625" style="308" customWidth="1"/>
    <col min="5896" max="5896" width="13.75" style="308" customWidth="1"/>
    <col min="5897" max="5897" width="12.75" style="308" bestFit="1" customWidth="1"/>
    <col min="5898" max="5898" width="12.4140625" style="308" customWidth="1"/>
    <col min="5899" max="5899" width="14" style="308" customWidth="1"/>
    <col min="5900" max="5900" width="11" style="308" customWidth="1"/>
    <col min="5901" max="6145" width="9.1640625" style="308"/>
    <col min="6146" max="6146" width="6" style="308" customWidth="1"/>
    <col min="6147" max="6147" width="28.83203125" style="308" customWidth="1"/>
    <col min="6148" max="6148" width="18.83203125" style="308" customWidth="1"/>
    <col min="6149" max="6150" width="16.1640625" style="308" customWidth="1"/>
    <col min="6151" max="6151" width="24.1640625" style="308" customWidth="1"/>
    <col min="6152" max="6152" width="13.75" style="308" customWidth="1"/>
    <col min="6153" max="6153" width="12.75" style="308" bestFit="1" customWidth="1"/>
    <col min="6154" max="6154" width="12.4140625" style="308" customWidth="1"/>
    <col min="6155" max="6155" width="14" style="308" customWidth="1"/>
    <col min="6156" max="6156" width="11" style="308" customWidth="1"/>
    <col min="6157" max="6401" width="9.1640625" style="308"/>
    <col min="6402" max="6402" width="6" style="308" customWidth="1"/>
    <col min="6403" max="6403" width="28.83203125" style="308" customWidth="1"/>
    <col min="6404" max="6404" width="18.83203125" style="308" customWidth="1"/>
    <col min="6405" max="6406" width="16.1640625" style="308" customWidth="1"/>
    <col min="6407" max="6407" width="24.1640625" style="308" customWidth="1"/>
    <col min="6408" max="6408" width="13.75" style="308" customWidth="1"/>
    <col min="6409" max="6409" width="12.75" style="308" bestFit="1" customWidth="1"/>
    <col min="6410" max="6410" width="12.4140625" style="308" customWidth="1"/>
    <col min="6411" max="6411" width="14" style="308" customWidth="1"/>
    <col min="6412" max="6412" width="11" style="308" customWidth="1"/>
    <col min="6413" max="6657" width="9.1640625" style="308"/>
    <col min="6658" max="6658" width="6" style="308" customWidth="1"/>
    <col min="6659" max="6659" width="28.83203125" style="308" customWidth="1"/>
    <col min="6660" max="6660" width="18.83203125" style="308" customWidth="1"/>
    <col min="6661" max="6662" width="16.1640625" style="308" customWidth="1"/>
    <col min="6663" max="6663" width="24.1640625" style="308" customWidth="1"/>
    <col min="6664" max="6664" width="13.75" style="308" customWidth="1"/>
    <col min="6665" max="6665" width="12.75" style="308" bestFit="1" customWidth="1"/>
    <col min="6666" max="6666" width="12.4140625" style="308" customWidth="1"/>
    <col min="6667" max="6667" width="14" style="308" customWidth="1"/>
    <col min="6668" max="6668" width="11" style="308" customWidth="1"/>
    <col min="6669" max="6913" width="9.1640625" style="308"/>
    <col min="6914" max="6914" width="6" style="308" customWidth="1"/>
    <col min="6915" max="6915" width="28.83203125" style="308" customWidth="1"/>
    <col min="6916" max="6916" width="18.83203125" style="308" customWidth="1"/>
    <col min="6917" max="6918" width="16.1640625" style="308" customWidth="1"/>
    <col min="6919" max="6919" width="24.1640625" style="308" customWidth="1"/>
    <col min="6920" max="6920" width="13.75" style="308" customWidth="1"/>
    <col min="6921" max="6921" width="12.75" style="308" bestFit="1" customWidth="1"/>
    <col min="6922" max="6922" width="12.4140625" style="308" customWidth="1"/>
    <col min="6923" max="6923" width="14" style="308" customWidth="1"/>
    <col min="6924" max="6924" width="11" style="308" customWidth="1"/>
    <col min="6925" max="7169" width="9.1640625" style="308"/>
    <col min="7170" max="7170" width="6" style="308" customWidth="1"/>
    <col min="7171" max="7171" width="28.83203125" style="308" customWidth="1"/>
    <col min="7172" max="7172" width="18.83203125" style="308" customWidth="1"/>
    <col min="7173" max="7174" width="16.1640625" style="308" customWidth="1"/>
    <col min="7175" max="7175" width="24.1640625" style="308" customWidth="1"/>
    <col min="7176" max="7176" width="13.75" style="308" customWidth="1"/>
    <col min="7177" max="7177" width="12.75" style="308" bestFit="1" customWidth="1"/>
    <col min="7178" max="7178" width="12.4140625" style="308" customWidth="1"/>
    <col min="7179" max="7179" width="14" style="308" customWidth="1"/>
    <col min="7180" max="7180" width="11" style="308" customWidth="1"/>
    <col min="7181" max="7425" width="9.1640625" style="308"/>
    <col min="7426" max="7426" width="6" style="308" customWidth="1"/>
    <col min="7427" max="7427" width="28.83203125" style="308" customWidth="1"/>
    <col min="7428" max="7428" width="18.83203125" style="308" customWidth="1"/>
    <col min="7429" max="7430" width="16.1640625" style="308" customWidth="1"/>
    <col min="7431" max="7431" width="24.1640625" style="308" customWidth="1"/>
    <col min="7432" max="7432" width="13.75" style="308" customWidth="1"/>
    <col min="7433" max="7433" width="12.75" style="308" bestFit="1" customWidth="1"/>
    <col min="7434" max="7434" width="12.4140625" style="308" customWidth="1"/>
    <col min="7435" max="7435" width="14" style="308" customWidth="1"/>
    <col min="7436" max="7436" width="11" style="308" customWidth="1"/>
    <col min="7437" max="7681" width="9.1640625" style="308"/>
    <col min="7682" max="7682" width="6" style="308" customWidth="1"/>
    <col min="7683" max="7683" width="28.83203125" style="308" customWidth="1"/>
    <col min="7684" max="7684" width="18.83203125" style="308" customWidth="1"/>
    <col min="7685" max="7686" width="16.1640625" style="308" customWidth="1"/>
    <col min="7687" max="7687" width="24.1640625" style="308" customWidth="1"/>
    <col min="7688" max="7688" width="13.75" style="308" customWidth="1"/>
    <col min="7689" max="7689" width="12.75" style="308" bestFit="1" customWidth="1"/>
    <col min="7690" max="7690" width="12.4140625" style="308" customWidth="1"/>
    <col min="7691" max="7691" width="14" style="308" customWidth="1"/>
    <col min="7692" max="7692" width="11" style="308" customWidth="1"/>
    <col min="7693" max="7937" width="9.1640625" style="308"/>
    <col min="7938" max="7938" width="6" style="308" customWidth="1"/>
    <col min="7939" max="7939" width="28.83203125" style="308" customWidth="1"/>
    <col min="7940" max="7940" width="18.83203125" style="308" customWidth="1"/>
    <col min="7941" max="7942" width="16.1640625" style="308" customWidth="1"/>
    <col min="7943" max="7943" width="24.1640625" style="308" customWidth="1"/>
    <col min="7944" max="7944" width="13.75" style="308" customWidth="1"/>
    <col min="7945" max="7945" width="12.75" style="308" bestFit="1" customWidth="1"/>
    <col min="7946" max="7946" width="12.4140625" style="308" customWidth="1"/>
    <col min="7947" max="7947" width="14" style="308" customWidth="1"/>
    <col min="7948" max="7948" width="11" style="308" customWidth="1"/>
    <col min="7949" max="8193" width="9.1640625" style="308"/>
    <col min="8194" max="8194" width="6" style="308" customWidth="1"/>
    <col min="8195" max="8195" width="28.83203125" style="308" customWidth="1"/>
    <col min="8196" max="8196" width="18.83203125" style="308" customWidth="1"/>
    <col min="8197" max="8198" width="16.1640625" style="308" customWidth="1"/>
    <col min="8199" max="8199" width="24.1640625" style="308" customWidth="1"/>
    <col min="8200" max="8200" width="13.75" style="308" customWidth="1"/>
    <col min="8201" max="8201" width="12.75" style="308" bestFit="1" customWidth="1"/>
    <col min="8202" max="8202" width="12.4140625" style="308" customWidth="1"/>
    <col min="8203" max="8203" width="14" style="308" customWidth="1"/>
    <col min="8204" max="8204" width="11" style="308" customWidth="1"/>
    <col min="8205" max="8449" width="9.1640625" style="308"/>
    <col min="8450" max="8450" width="6" style="308" customWidth="1"/>
    <col min="8451" max="8451" width="28.83203125" style="308" customWidth="1"/>
    <col min="8452" max="8452" width="18.83203125" style="308" customWidth="1"/>
    <col min="8453" max="8454" width="16.1640625" style="308" customWidth="1"/>
    <col min="8455" max="8455" width="24.1640625" style="308" customWidth="1"/>
    <col min="8456" max="8456" width="13.75" style="308" customWidth="1"/>
    <col min="8457" max="8457" width="12.75" style="308" bestFit="1" customWidth="1"/>
    <col min="8458" max="8458" width="12.4140625" style="308" customWidth="1"/>
    <col min="8459" max="8459" width="14" style="308" customWidth="1"/>
    <col min="8460" max="8460" width="11" style="308" customWidth="1"/>
    <col min="8461" max="8705" width="9.1640625" style="308"/>
    <col min="8706" max="8706" width="6" style="308" customWidth="1"/>
    <col min="8707" max="8707" width="28.83203125" style="308" customWidth="1"/>
    <col min="8708" max="8708" width="18.83203125" style="308" customWidth="1"/>
    <col min="8709" max="8710" width="16.1640625" style="308" customWidth="1"/>
    <col min="8711" max="8711" width="24.1640625" style="308" customWidth="1"/>
    <col min="8712" max="8712" width="13.75" style="308" customWidth="1"/>
    <col min="8713" max="8713" width="12.75" style="308" bestFit="1" customWidth="1"/>
    <col min="8714" max="8714" width="12.4140625" style="308" customWidth="1"/>
    <col min="8715" max="8715" width="14" style="308" customWidth="1"/>
    <col min="8716" max="8716" width="11" style="308" customWidth="1"/>
    <col min="8717" max="8961" width="9.1640625" style="308"/>
    <col min="8962" max="8962" width="6" style="308" customWidth="1"/>
    <col min="8963" max="8963" width="28.83203125" style="308" customWidth="1"/>
    <col min="8964" max="8964" width="18.83203125" style="308" customWidth="1"/>
    <col min="8965" max="8966" width="16.1640625" style="308" customWidth="1"/>
    <col min="8967" max="8967" width="24.1640625" style="308" customWidth="1"/>
    <col min="8968" max="8968" width="13.75" style="308" customWidth="1"/>
    <col min="8969" max="8969" width="12.75" style="308" bestFit="1" customWidth="1"/>
    <col min="8970" max="8970" width="12.4140625" style="308" customWidth="1"/>
    <col min="8971" max="8971" width="14" style="308" customWidth="1"/>
    <col min="8972" max="8972" width="11" style="308" customWidth="1"/>
    <col min="8973" max="9217" width="9.1640625" style="308"/>
    <col min="9218" max="9218" width="6" style="308" customWidth="1"/>
    <col min="9219" max="9219" width="28.83203125" style="308" customWidth="1"/>
    <col min="9220" max="9220" width="18.83203125" style="308" customWidth="1"/>
    <col min="9221" max="9222" width="16.1640625" style="308" customWidth="1"/>
    <col min="9223" max="9223" width="24.1640625" style="308" customWidth="1"/>
    <col min="9224" max="9224" width="13.75" style="308" customWidth="1"/>
    <col min="9225" max="9225" width="12.75" style="308" bestFit="1" customWidth="1"/>
    <col min="9226" max="9226" width="12.4140625" style="308" customWidth="1"/>
    <col min="9227" max="9227" width="14" style="308" customWidth="1"/>
    <col min="9228" max="9228" width="11" style="308" customWidth="1"/>
    <col min="9229" max="9473" width="9.1640625" style="308"/>
    <col min="9474" max="9474" width="6" style="308" customWidth="1"/>
    <col min="9475" max="9475" width="28.83203125" style="308" customWidth="1"/>
    <col min="9476" max="9476" width="18.83203125" style="308" customWidth="1"/>
    <col min="9477" max="9478" width="16.1640625" style="308" customWidth="1"/>
    <col min="9479" max="9479" width="24.1640625" style="308" customWidth="1"/>
    <col min="9480" max="9480" width="13.75" style="308" customWidth="1"/>
    <col min="9481" max="9481" width="12.75" style="308" bestFit="1" customWidth="1"/>
    <col min="9482" max="9482" width="12.4140625" style="308" customWidth="1"/>
    <col min="9483" max="9483" width="14" style="308" customWidth="1"/>
    <col min="9484" max="9484" width="11" style="308" customWidth="1"/>
    <col min="9485" max="9729" width="9.1640625" style="308"/>
    <col min="9730" max="9730" width="6" style="308" customWidth="1"/>
    <col min="9731" max="9731" width="28.83203125" style="308" customWidth="1"/>
    <col min="9732" max="9732" width="18.83203125" style="308" customWidth="1"/>
    <col min="9733" max="9734" width="16.1640625" style="308" customWidth="1"/>
    <col min="9735" max="9735" width="24.1640625" style="308" customWidth="1"/>
    <col min="9736" max="9736" width="13.75" style="308" customWidth="1"/>
    <col min="9737" max="9737" width="12.75" style="308" bestFit="1" customWidth="1"/>
    <col min="9738" max="9738" width="12.4140625" style="308" customWidth="1"/>
    <col min="9739" max="9739" width="14" style="308" customWidth="1"/>
    <col min="9740" max="9740" width="11" style="308" customWidth="1"/>
    <col min="9741" max="9985" width="9.1640625" style="308"/>
    <col min="9986" max="9986" width="6" style="308" customWidth="1"/>
    <col min="9987" max="9987" width="28.83203125" style="308" customWidth="1"/>
    <col min="9988" max="9988" width="18.83203125" style="308" customWidth="1"/>
    <col min="9989" max="9990" width="16.1640625" style="308" customWidth="1"/>
    <col min="9991" max="9991" width="24.1640625" style="308" customWidth="1"/>
    <col min="9992" max="9992" width="13.75" style="308" customWidth="1"/>
    <col min="9993" max="9993" width="12.75" style="308" bestFit="1" customWidth="1"/>
    <col min="9994" max="9994" width="12.4140625" style="308" customWidth="1"/>
    <col min="9995" max="9995" width="14" style="308" customWidth="1"/>
    <col min="9996" max="9996" width="11" style="308" customWidth="1"/>
    <col min="9997" max="10241" width="9.1640625" style="308"/>
    <col min="10242" max="10242" width="6" style="308" customWidth="1"/>
    <col min="10243" max="10243" width="28.83203125" style="308" customWidth="1"/>
    <col min="10244" max="10244" width="18.83203125" style="308" customWidth="1"/>
    <col min="10245" max="10246" width="16.1640625" style="308" customWidth="1"/>
    <col min="10247" max="10247" width="24.1640625" style="308" customWidth="1"/>
    <col min="10248" max="10248" width="13.75" style="308" customWidth="1"/>
    <col min="10249" max="10249" width="12.75" style="308" bestFit="1" customWidth="1"/>
    <col min="10250" max="10250" width="12.4140625" style="308" customWidth="1"/>
    <col min="10251" max="10251" width="14" style="308" customWidth="1"/>
    <col min="10252" max="10252" width="11" style="308" customWidth="1"/>
    <col min="10253" max="10497" width="9.1640625" style="308"/>
    <col min="10498" max="10498" width="6" style="308" customWidth="1"/>
    <col min="10499" max="10499" width="28.83203125" style="308" customWidth="1"/>
    <col min="10500" max="10500" width="18.83203125" style="308" customWidth="1"/>
    <col min="10501" max="10502" width="16.1640625" style="308" customWidth="1"/>
    <col min="10503" max="10503" width="24.1640625" style="308" customWidth="1"/>
    <col min="10504" max="10504" width="13.75" style="308" customWidth="1"/>
    <col min="10505" max="10505" width="12.75" style="308" bestFit="1" customWidth="1"/>
    <col min="10506" max="10506" width="12.4140625" style="308" customWidth="1"/>
    <col min="10507" max="10507" width="14" style="308" customWidth="1"/>
    <col min="10508" max="10508" width="11" style="308" customWidth="1"/>
    <col min="10509" max="10753" width="9.1640625" style="308"/>
    <col min="10754" max="10754" width="6" style="308" customWidth="1"/>
    <col min="10755" max="10755" width="28.83203125" style="308" customWidth="1"/>
    <col min="10756" max="10756" width="18.83203125" style="308" customWidth="1"/>
    <col min="10757" max="10758" width="16.1640625" style="308" customWidth="1"/>
    <col min="10759" max="10759" width="24.1640625" style="308" customWidth="1"/>
    <col min="10760" max="10760" width="13.75" style="308" customWidth="1"/>
    <col min="10761" max="10761" width="12.75" style="308" bestFit="1" customWidth="1"/>
    <col min="10762" max="10762" width="12.4140625" style="308" customWidth="1"/>
    <col min="10763" max="10763" width="14" style="308" customWidth="1"/>
    <col min="10764" max="10764" width="11" style="308" customWidth="1"/>
    <col min="10765" max="11009" width="9.1640625" style="308"/>
    <col min="11010" max="11010" width="6" style="308" customWidth="1"/>
    <col min="11011" max="11011" width="28.83203125" style="308" customWidth="1"/>
    <col min="11012" max="11012" width="18.83203125" style="308" customWidth="1"/>
    <col min="11013" max="11014" width="16.1640625" style="308" customWidth="1"/>
    <col min="11015" max="11015" width="24.1640625" style="308" customWidth="1"/>
    <col min="11016" max="11016" width="13.75" style="308" customWidth="1"/>
    <col min="11017" max="11017" width="12.75" style="308" bestFit="1" customWidth="1"/>
    <col min="11018" max="11018" width="12.4140625" style="308" customWidth="1"/>
    <col min="11019" max="11019" width="14" style="308" customWidth="1"/>
    <col min="11020" max="11020" width="11" style="308" customWidth="1"/>
    <col min="11021" max="11265" width="9.1640625" style="308"/>
    <col min="11266" max="11266" width="6" style="308" customWidth="1"/>
    <col min="11267" max="11267" width="28.83203125" style="308" customWidth="1"/>
    <col min="11268" max="11268" width="18.83203125" style="308" customWidth="1"/>
    <col min="11269" max="11270" width="16.1640625" style="308" customWidth="1"/>
    <col min="11271" max="11271" width="24.1640625" style="308" customWidth="1"/>
    <col min="11272" max="11272" width="13.75" style="308" customWidth="1"/>
    <col min="11273" max="11273" width="12.75" style="308" bestFit="1" customWidth="1"/>
    <col min="11274" max="11274" width="12.4140625" style="308" customWidth="1"/>
    <col min="11275" max="11275" width="14" style="308" customWidth="1"/>
    <col min="11276" max="11276" width="11" style="308" customWidth="1"/>
    <col min="11277" max="11521" width="9.1640625" style="308"/>
    <col min="11522" max="11522" width="6" style="308" customWidth="1"/>
    <col min="11523" max="11523" width="28.83203125" style="308" customWidth="1"/>
    <col min="11524" max="11524" width="18.83203125" style="308" customWidth="1"/>
    <col min="11525" max="11526" width="16.1640625" style="308" customWidth="1"/>
    <col min="11527" max="11527" width="24.1640625" style="308" customWidth="1"/>
    <col min="11528" max="11528" width="13.75" style="308" customWidth="1"/>
    <col min="11529" max="11529" width="12.75" style="308" bestFit="1" customWidth="1"/>
    <col min="11530" max="11530" width="12.4140625" style="308" customWidth="1"/>
    <col min="11531" max="11531" width="14" style="308" customWidth="1"/>
    <col min="11532" max="11532" width="11" style="308" customWidth="1"/>
    <col min="11533" max="11777" width="9.1640625" style="308"/>
    <col min="11778" max="11778" width="6" style="308" customWidth="1"/>
    <col min="11779" max="11779" width="28.83203125" style="308" customWidth="1"/>
    <col min="11780" max="11780" width="18.83203125" style="308" customWidth="1"/>
    <col min="11781" max="11782" width="16.1640625" style="308" customWidth="1"/>
    <col min="11783" max="11783" width="24.1640625" style="308" customWidth="1"/>
    <col min="11784" max="11784" width="13.75" style="308" customWidth="1"/>
    <col min="11785" max="11785" width="12.75" style="308" bestFit="1" customWidth="1"/>
    <col min="11786" max="11786" width="12.4140625" style="308" customWidth="1"/>
    <col min="11787" max="11787" width="14" style="308" customWidth="1"/>
    <col min="11788" max="11788" width="11" style="308" customWidth="1"/>
    <col min="11789" max="12033" width="9.1640625" style="308"/>
    <col min="12034" max="12034" width="6" style="308" customWidth="1"/>
    <col min="12035" max="12035" width="28.83203125" style="308" customWidth="1"/>
    <col min="12036" max="12036" width="18.83203125" style="308" customWidth="1"/>
    <col min="12037" max="12038" width="16.1640625" style="308" customWidth="1"/>
    <col min="12039" max="12039" width="24.1640625" style="308" customWidth="1"/>
    <col min="12040" max="12040" width="13.75" style="308" customWidth="1"/>
    <col min="12041" max="12041" width="12.75" style="308" bestFit="1" customWidth="1"/>
    <col min="12042" max="12042" width="12.4140625" style="308" customWidth="1"/>
    <col min="12043" max="12043" width="14" style="308" customWidth="1"/>
    <col min="12044" max="12044" width="11" style="308" customWidth="1"/>
    <col min="12045" max="12289" width="9.1640625" style="308"/>
    <col min="12290" max="12290" width="6" style="308" customWidth="1"/>
    <col min="12291" max="12291" width="28.83203125" style="308" customWidth="1"/>
    <col min="12292" max="12292" width="18.83203125" style="308" customWidth="1"/>
    <col min="12293" max="12294" width="16.1640625" style="308" customWidth="1"/>
    <col min="12295" max="12295" width="24.1640625" style="308" customWidth="1"/>
    <col min="12296" max="12296" width="13.75" style="308" customWidth="1"/>
    <col min="12297" max="12297" width="12.75" style="308" bestFit="1" customWidth="1"/>
    <col min="12298" max="12298" width="12.4140625" style="308" customWidth="1"/>
    <col min="12299" max="12299" width="14" style="308" customWidth="1"/>
    <col min="12300" max="12300" width="11" style="308" customWidth="1"/>
    <col min="12301" max="12545" width="9.1640625" style="308"/>
    <col min="12546" max="12546" width="6" style="308" customWidth="1"/>
    <col min="12547" max="12547" width="28.83203125" style="308" customWidth="1"/>
    <col min="12548" max="12548" width="18.83203125" style="308" customWidth="1"/>
    <col min="12549" max="12550" width="16.1640625" style="308" customWidth="1"/>
    <col min="12551" max="12551" width="24.1640625" style="308" customWidth="1"/>
    <col min="12552" max="12552" width="13.75" style="308" customWidth="1"/>
    <col min="12553" max="12553" width="12.75" style="308" bestFit="1" customWidth="1"/>
    <col min="12554" max="12554" width="12.4140625" style="308" customWidth="1"/>
    <col min="12555" max="12555" width="14" style="308" customWidth="1"/>
    <col min="12556" max="12556" width="11" style="308" customWidth="1"/>
    <col min="12557" max="12801" width="9.1640625" style="308"/>
    <col min="12802" max="12802" width="6" style="308" customWidth="1"/>
    <col min="12803" max="12803" width="28.83203125" style="308" customWidth="1"/>
    <col min="12804" max="12804" width="18.83203125" style="308" customWidth="1"/>
    <col min="12805" max="12806" width="16.1640625" style="308" customWidth="1"/>
    <col min="12807" max="12807" width="24.1640625" style="308" customWidth="1"/>
    <col min="12808" max="12808" width="13.75" style="308" customWidth="1"/>
    <col min="12809" max="12809" width="12.75" style="308" bestFit="1" customWidth="1"/>
    <col min="12810" max="12810" width="12.4140625" style="308" customWidth="1"/>
    <col min="12811" max="12811" width="14" style="308" customWidth="1"/>
    <col min="12812" max="12812" width="11" style="308" customWidth="1"/>
    <col min="12813" max="13057" width="9.1640625" style="308"/>
    <col min="13058" max="13058" width="6" style="308" customWidth="1"/>
    <col min="13059" max="13059" width="28.83203125" style="308" customWidth="1"/>
    <col min="13060" max="13060" width="18.83203125" style="308" customWidth="1"/>
    <col min="13061" max="13062" width="16.1640625" style="308" customWidth="1"/>
    <col min="13063" max="13063" width="24.1640625" style="308" customWidth="1"/>
    <col min="13064" max="13064" width="13.75" style="308" customWidth="1"/>
    <col min="13065" max="13065" width="12.75" style="308" bestFit="1" customWidth="1"/>
    <col min="13066" max="13066" width="12.4140625" style="308" customWidth="1"/>
    <col min="13067" max="13067" width="14" style="308" customWidth="1"/>
    <col min="13068" max="13068" width="11" style="308" customWidth="1"/>
    <col min="13069" max="13313" width="9.1640625" style="308"/>
    <col min="13314" max="13314" width="6" style="308" customWidth="1"/>
    <col min="13315" max="13315" width="28.83203125" style="308" customWidth="1"/>
    <col min="13316" max="13316" width="18.83203125" style="308" customWidth="1"/>
    <col min="13317" max="13318" width="16.1640625" style="308" customWidth="1"/>
    <col min="13319" max="13319" width="24.1640625" style="308" customWidth="1"/>
    <col min="13320" max="13320" width="13.75" style="308" customWidth="1"/>
    <col min="13321" max="13321" width="12.75" style="308" bestFit="1" customWidth="1"/>
    <col min="13322" max="13322" width="12.4140625" style="308" customWidth="1"/>
    <col min="13323" max="13323" width="14" style="308" customWidth="1"/>
    <col min="13324" max="13324" width="11" style="308" customWidth="1"/>
    <col min="13325" max="13569" width="9.1640625" style="308"/>
    <col min="13570" max="13570" width="6" style="308" customWidth="1"/>
    <col min="13571" max="13571" width="28.83203125" style="308" customWidth="1"/>
    <col min="13572" max="13572" width="18.83203125" style="308" customWidth="1"/>
    <col min="13573" max="13574" width="16.1640625" style="308" customWidth="1"/>
    <col min="13575" max="13575" width="24.1640625" style="308" customWidth="1"/>
    <col min="13576" max="13576" width="13.75" style="308" customWidth="1"/>
    <col min="13577" max="13577" width="12.75" style="308" bestFit="1" customWidth="1"/>
    <col min="13578" max="13578" width="12.4140625" style="308" customWidth="1"/>
    <col min="13579" max="13579" width="14" style="308" customWidth="1"/>
    <col min="13580" max="13580" width="11" style="308" customWidth="1"/>
    <col min="13581" max="13825" width="9.1640625" style="308"/>
    <col min="13826" max="13826" width="6" style="308" customWidth="1"/>
    <col min="13827" max="13827" width="28.83203125" style="308" customWidth="1"/>
    <col min="13828" max="13828" width="18.83203125" style="308" customWidth="1"/>
    <col min="13829" max="13830" width="16.1640625" style="308" customWidth="1"/>
    <col min="13831" max="13831" width="24.1640625" style="308" customWidth="1"/>
    <col min="13832" max="13832" width="13.75" style="308" customWidth="1"/>
    <col min="13833" max="13833" width="12.75" style="308" bestFit="1" customWidth="1"/>
    <col min="13834" max="13834" width="12.4140625" style="308" customWidth="1"/>
    <col min="13835" max="13835" width="14" style="308" customWidth="1"/>
    <col min="13836" max="13836" width="11" style="308" customWidth="1"/>
    <col min="13837" max="14081" width="9.1640625" style="308"/>
    <col min="14082" max="14082" width="6" style="308" customWidth="1"/>
    <col min="14083" max="14083" width="28.83203125" style="308" customWidth="1"/>
    <col min="14084" max="14084" width="18.83203125" style="308" customWidth="1"/>
    <col min="14085" max="14086" width="16.1640625" style="308" customWidth="1"/>
    <col min="14087" max="14087" width="24.1640625" style="308" customWidth="1"/>
    <col min="14088" max="14088" width="13.75" style="308" customWidth="1"/>
    <col min="14089" max="14089" width="12.75" style="308" bestFit="1" customWidth="1"/>
    <col min="14090" max="14090" width="12.4140625" style="308" customWidth="1"/>
    <col min="14091" max="14091" width="14" style="308" customWidth="1"/>
    <col min="14092" max="14092" width="11" style="308" customWidth="1"/>
    <col min="14093" max="14337" width="9.1640625" style="308"/>
    <col min="14338" max="14338" width="6" style="308" customWidth="1"/>
    <col min="14339" max="14339" width="28.83203125" style="308" customWidth="1"/>
    <col min="14340" max="14340" width="18.83203125" style="308" customWidth="1"/>
    <col min="14341" max="14342" width="16.1640625" style="308" customWidth="1"/>
    <col min="14343" max="14343" width="24.1640625" style="308" customWidth="1"/>
    <col min="14344" max="14344" width="13.75" style="308" customWidth="1"/>
    <col min="14345" max="14345" width="12.75" style="308" bestFit="1" customWidth="1"/>
    <col min="14346" max="14346" width="12.4140625" style="308" customWidth="1"/>
    <col min="14347" max="14347" width="14" style="308" customWidth="1"/>
    <col min="14348" max="14348" width="11" style="308" customWidth="1"/>
    <col min="14349" max="14593" width="9.1640625" style="308"/>
    <col min="14594" max="14594" width="6" style="308" customWidth="1"/>
    <col min="14595" max="14595" width="28.83203125" style="308" customWidth="1"/>
    <col min="14596" max="14596" width="18.83203125" style="308" customWidth="1"/>
    <col min="14597" max="14598" width="16.1640625" style="308" customWidth="1"/>
    <col min="14599" max="14599" width="24.1640625" style="308" customWidth="1"/>
    <col min="14600" max="14600" width="13.75" style="308" customWidth="1"/>
    <col min="14601" max="14601" width="12.75" style="308" bestFit="1" customWidth="1"/>
    <col min="14602" max="14602" width="12.4140625" style="308" customWidth="1"/>
    <col min="14603" max="14603" width="14" style="308" customWidth="1"/>
    <col min="14604" max="14604" width="11" style="308" customWidth="1"/>
    <col min="14605" max="14849" width="9.1640625" style="308"/>
    <col min="14850" max="14850" width="6" style="308" customWidth="1"/>
    <col min="14851" max="14851" width="28.83203125" style="308" customWidth="1"/>
    <col min="14852" max="14852" width="18.83203125" style="308" customWidth="1"/>
    <col min="14853" max="14854" width="16.1640625" style="308" customWidth="1"/>
    <col min="14855" max="14855" width="24.1640625" style="308" customWidth="1"/>
    <col min="14856" max="14856" width="13.75" style="308" customWidth="1"/>
    <col min="14857" max="14857" width="12.75" style="308" bestFit="1" customWidth="1"/>
    <col min="14858" max="14858" width="12.4140625" style="308" customWidth="1"/>
    <col min="14859" max="14859" width="14" style="308" customWidth="1"/>
    <col min="14860" max="14860" width="11" style="308" customWidth="1"/>
    <col min="14861" max="15105" width="9.1640625" style="308"/>
    <col min="15106" max="15106" width="6" style="308" customWidth="1"/>
    <col min="15107" max="15107" width="28.83203125" style="308" customWidth="1"/>
    <col min="15108" max="15108" width="18.83203125" style="308" customWidth="1"/>
    <col min="15109" max="15110" width="16.1640625" style="308" customWidth="1"/>
    <col min="15111" max="15111" width="24.1640625" style="308" customWidth="1"/>
    <col min="15112" max="15112" width="13.75" style="308" customWidth="1"/>
    <col min="15113" max="15113" width="12.75" style="308" bestFit="1" customWidth="1"/>
    <col min="15114" max="15114" width="12.4140625" style="308" customWidth="1"/>
    <col min="15115" max="15115" width="14" style="308" customWidth="1"/>
    <col min="15116" max="15116" width="11" style="308" customWidth="1"/>
    <col min="15117" max="15361" width="9.1640625" style="308"/>
    <col min="15362" max="15362" width="6" style="308" customWidth="1"/>
    <col min="15363" max="15363" width="28.83203125" style="308" customWidth="1"/>
    <col min="15364" max="15364" width="18.83203125" style="308" customWidth="1"/>
    <col min="15365" max="15366" width="16.1640625" style="308" customWidth="1"/>
    <col min="15367" max="15367" width="24.1640625" style="308" customWidth="1"/>
    <col min="15368" max="15368" width="13.75" style="308" customWidth="1"/>
    <col min="15369" max="15369" width="12.75" style="308" bestFit="1" customWidth="1"/>
    <col min="15370" max="15370" width="12.4140625" style="308" customWidth="1"/>
    <col min="15371" max="15371" width="14" style="308" customWidth="1"/>
    <col min="15372" max="15372" width="11" style="308" customWidth="1"/>
    <col min="15373" max="15617" width="9.1640625" style="308"/>
    <col min="15618" max="15618" width="6" style="308" customWidth="1"/>
    <col min="15619" max="15619" width="28.83203125" style="308" customWidth="1"/>
    <col min="15620" max="15620" width="18.83203125" style="308" customWidth="1"/>
    <col min="15621" max="15622" width="16.1640625" style="308" customWidth="1"/>
    <col min="15623" max="15623" width="24.1640625" style="308" customWidth="1"/>
    <col min="15624" max="15624" width="13.75" style="308" customWidth="1"/>
    <col min="15625" max="15625" width="12.75" style="308" bestFit="1" customWidth="1"/>
    <col min="15626" max="15626" width="12.4140625" style="308" customWidth="1"/>
    <col min="15627" max="15627" width="14" style="308" customWidth="1"/>
    <col min="15628" max="15628" width="11" style="308" customWidth="1"/>
    <col min="15629" max="15873" width="9.1640625" style="308"/>
    <col min="15874" max="15874" width="6" style="308" customWidth="1"/>
    <col min="15875" max="15875" width="28.83203125" style="308" customWidth="1"/>
    <col min="15876" max="15876" width="18.83203125" style="308" customWidth="1"/>
    <col min="15877" max="15878" width="16.1640625" style="308" customWidth="1"/>
    <col min="15879" max="15879" width="24.1640625" style="308" customWidth="1"/>
    <col min="15880" max="15880" width="13.75" style="308" customWidth="1"/>
    <col min="15881" max="15881" width="12.75" style="308" bestFit="1" customWidth="1"/>
    <col min="15882" max="15882" width="12.4140625" style="308" customWidth="1"/>
    <col min="15883" max="15883" width="14" style="308" customWidth="1"/>
    <col min="15884" max="15884" width="11" style="308" customWidth="1"/>
    <col min="15885" max="16129" width="9.1640625" style="308"/>
    <col min="16130" max="16130" width="6" style="308" customWidth="1"/>
    <col min="16131" max="16131" width="28.83203125" style="308" customWidth="1"/>
    <col min="16132" max="16132" width="18.83203125" style="308" customWidth="1"/>
    <col min="16133" max="16134" width="16.1640625" style="308" customWidth="1"/>
    <col min="16135" max="16135" width="24.1640625" style="308" customWidth="1"/>
    <col min="16136" max="16136" width="13.75" style="308" customWidth="1"/>
    <col min="16137" max="16137" width="12.75" style="308" bestFit="1" customWidth="1"/>
    <col min="16138" max="16138" width="12.4140625" style="308" customWidth="1"/>
    <col min="16139" max="16139" width="14" style="308" customWidth="1"/>
    <col min="16140" max="16140" width="11" style="308" customWidth="1"/>
    <col min="16141" max="16384" width="9.1640625" style="308"/>
  </cols>
  <sheetData>
    <row r="1" spans="1:12" ht="21.75" customHeight="1">
      <c r="G1" s="341" t="s">
        <v>56</v>
      </c>
    </row>
    <row r="2" spans="1:12" s="317" customFormat="1" ht="66.75" customHeight="1">
      <c r="A2" s="831" t="s">
        <v>246</v>
      </c>
      <c r="B2" s="831"/>
      <c r="C2" s="831"/>
      <c r="D2" s="831"/>
      <c r="E2" s="831"/>
      <c r="F2" s="831"/>
      <c r="G2" s="831"/>
    </row>
    <row r="3" spans="1:12" ht="21" customHeight="1">
      <c r="A3" s="832" t="str">
        <f>'TỔNG HỢP'!A3:D3</f>
        <v>(Kèm theo Tờ trình số         /TTr-UBND ngày       /12/2024 của UBND huyện Na Rì)</v>
      </c>
      <c r="B3" s="832"/>
      <c r="C3" s="832"/>
      <c r="D3" s="832"/>
      <c r="E3" s="832"/>
      <c r="F3" s="832"/>
      <c r="G3" s="832"/>
    </row>
    <row r="4" spans="1:12" ht="26.25" customHeight="1">
      <c r="G4" s="316" t="s">
        <v>22</v>
      </c>
    </row>
    <row r="5" spans="1:12" s="313" customFormat="1" ht="60.75" customHeight="1">
      <c r="A5" s="833" t="s">
        <v>198</v>
      </c>
      <c r="B5" s="834" t="s">
        <v>57</v>
      </c>
      <c r="C5" s="835" t="s">
        <v>197</v>
      </c>
      <c r="D5" s="835"/>
      <c r="E5" s="835"/>
      <c r="F5" s="835"/>
      <c r="G5" s="834" t="s">
        <v>196</v>
      </c>
      <c r="H5" s="311"/>
      <c r="I5" s="311"/>
      <c r="J5" s="311"/>
      <c r="K5" s="311"/>
    </row>
    <row r="6" spans="1:12" s="313" customFormat="1" ht="98.25" customHeight="1">
      <c r="A6" s="833"/>
      <c r="B6" s="834"/>
      <c r="C6" s="543" t="s">
        <v>195</v>
      </c>
      <c r="D6" s="543" t="s">
        <v>194</v>
      </c>
      <c r="E6" s="543" t="s">
        <v>193</v>
      </c>
      <c r="F6" s="543" t="s">
        <v>192</v>
      </c>
      <c r="G6" s="834"/>
      <c r="H6" s="311"/>
      <c r="I6" s="311"/>
      <c r="J6" s="311"/>
      <c r="K6" s="311"/>
    </row>
    <row r="7" spans="1:12" s="314" customFormat="1" ht="24" customHeight="1">
      <c r="A7" s="565" t="s">
        <v>1</v>
      </c>
      <c r="B7" s="544" t="s">
        <v>5</v>
      </c>
      <c r="C7" s="544">
        <v>1</v>
      </c>
      <c r="D7" s="544">
        <v>2</v>
      </c>
      <c r="E7" s="544">
        <v>3</v>
      </c>
      <c r="F7" s="544">
        <v>4</v>
      </c>
      <c r="G7" s="544" t="s">
        <v>191</v>
      </c>
      <c r="H7" s="310"/>
      <c r="I7" s="310"/>
      <c r="J7" s="310"/>
      <c r="K7" s="310"/>
      <c r="L7" s="315"/>
    </row>
    <row r="8" spans="1:12" s="313" customFormat="1" ht="34.5" customHeight="1">
      <c r="A8" s="545"/>
      <c r="B8" s="546" t="s">
        <v>190</v>
      </c>
      <c r="C8" s="547">
        <f>C9+C11+C13</f>
        <v>35500000</v>
      </c>
      <c r="D8" s="547">
        <f t="shared" ref="D8:F8" si="0">D9+D11+D13</f>
        <v>50000000</v>
      </c>
      <c r="E8" s="547">
        <f t="shared" si="0"/>
        <v>30574908.000000004</v>
      </c>
      <c r="F8" s="547">
        <f t="shared" si="0"/>
        <v>0</v>
      </c>
      <c r="G8" s="547">
        <f>G9+G11+G13</f>
        <v>116074908</v>
      </c>
      <c r="H8" s="311"/>
      <c r="I8" s="311"/>
      <c r="J8" s="311"/>
      <c r="K8" s="311"/>
      <c r="L8" s="311"/>
    </row>
    <row r="9" spans="1:12" s="312" customFormat="1" ht="30" customHeight="1">
      <c r="A9" s="548" t="s">
        <v>188</v>
      </c>
      <c r="B9" s="342" t="s">
        <v>199</v>
      </c>
      <c r="C9" s="549">
        <f>C10</f>
        <v>0</v>
      </c>
      <c r="D9" s="549">
        <f t="shared" ref="D9:G9" si="1">D10</f>
        <v>0</v>
      </c>
      <c r="E9" s="549">
        <f t="shared" si="1"/>
        <v>30574908.000000004</v>
      </c>
      <c r="F9" s="549">
        <f t="shared" si="1"/>
        <v>0</v>
      </c>
      <c r="G9" s="549">
        <f t="shared" si="1"/>
        <v>30574908.000000004</v>
      </c>
    </row>
    <row r="10" spans="1:12" s="311" customFormat="1" ht="30" customHeight="1">
      <c r="A10" s="550" t="s">
        <v>15</v>
      </c>
      <c r="B10" s="551" t="s">
        <v>189</v>
      </c>
      <c r="C10" s="552">
        <f>'[1]QĐ Phe duyet'!E8</f>
        <v>0</v>
      </c>
      <c r="D10" s="552"/>
      <c r="E10" s="552">
        <f>'[1]QĐ Phe duyet'!G13</f>
        <v>30574908.000000004</v>
      </c>
      <c r="F10" s="552"/>
      <c r="G10" s="552">
        <f>C10+D10+E10+F10</f>
        <v>30574908.000000004</v>
      </c>
    </row>
    <row r="11" spans="1:12" s="310" customFormat="1" ht="30" customHeight="1">
      <c r="A11" s="548" t="s">
        <v>186</v>
      </c>
      <c r="B11" s="553" t="s">
        <v>201</v>
      </c>
      <c r="C11" s="549">
        <f>C12</f>
        <v>17000000</v>
      </c>
      <c r="D11" s="549">
        <f t="shared" ref="D11:G11" si="2">D12</f>
        <v>0</v>
      </c>
      <c r="E11" s="549">
        <f t="shared" si="2"/>
        <v>0</v>
      </c>
      <c r="F11" s="549">
        <f t="shared" si="2"/>
        <v>0</v>
      </c>
      <c r="G11" s="549">
        <f t="shared" si="2"/>
        <v>17000000</v>
      </c>
    </row>
    <row r="12" spans="1:12" ht="30" customHeight="1">
      <c r="A12" s="550" t="s">
        <v>15</v>
      </c>
      <c r="B12" s="551" t="s">
        <v>187</v>
      </c>
      <c r="C12" s="554">
        <f>'[1]QĐ Phe duyet'!E11</f>
        <v>17000000</v>
      </c>
      <c r="D12" s="554"/>
      <c r="E12" s="554"/>
      <c r="F12" s="554"/>
      <c r="G12" s="552">
        <f>C12+D12+E12+F12</f>
        <v>17000000</v>
      </c>
    </row>
    <row r="13" spans="1:12" ht="30" customHeight="1">
      <c r="A13" s="548" t="s">
        <v>202</v>
      </c>
      <c r="B13" s="553" t="s">
        <v>200</v>
      </c>
      <c r="C13" s="555">
        <f>SUM(C14:C15)</f>
        <v>18500000</v>
      </c>
      <c r="D13" s="555">
        <f t="shared" ref="D13:G13" si="3">SUM(D14:D15)</f>
        <v>50000000</v>
      </c>
      <c r="E13" s="555">
        <f t="shared" si="3"/>
        <v>0</v>
      </c>
      <c r="F13" s="555">
        <f t="shared" si="3"/>
        <v>0</v>
      </c>
      <c r="G13" s="555">
        <f t="shared" si="3"/>
        <v>68500000</v>
      </c>
    </row>
    <row r="14" spans="1:12" ht="30" customHeight="1">
      <c r="A14" s="550" t="s">
        <v>15</v>
      </c>
      <c r="B14" s="551" t="s">
        <v>204</v>
      </c>
      <c r="C14" s="552">
        <f>'[1]QĐ Phe duyet'!E9</f>
        <v>18500000</v>
      </c>
      <c r="D14" s="552"/>
      <c r="E14" s="552"/>
      <c r="F14" s="552"/>
      <c r="G14" s="552">
        <f>C14+D14+E14+F14</f>
        <v>18500000</v>
      </c>
    </row>
    <row r="15" spans="1:12" ht="30" customHeight="1">
      <c r="A15" s="556" t="s">
        <v>15</v>
      </c>
      <c r="B15" s="557" t="s">
        <v>185</v>
      </c>
      <c r="C15" s="558"/>
      <c r="D15" s="558">
        <f>'[1]QĐ Phe duyet'!F12</f>
        <v>50000000</v>
      </c>
      <c r="E15" s="558"/>
      <c r="F15" s="558"/>
      <c r="G15" s="559">
        <f>C15+D15+E15+F15</f>
        <v>50000000</v>
      </c>
    </row>
  </sheetData>
  <mergeCells count="6">
    <mergeCell ref="A2:G2"/>
    <mergeCell ref="A3:G3"/>
    <mergeCell ref="A5:A6"/>
    <mergeCell ref="B5:B6"/>
    <mergeCell ref="G5:G6"/>
    <mergeCell ref="C5:F5"/>
  </mergeCells>
  <pageMargins left="0.39370078740157483" right="0.27559055118110237" top="0.39370078740157483" bottom="0.39370078740157483" header="0.35433070866141736" footer="0.23622047244094491"/>
  <pageSetup paperSize="9" scale="75" fitToHeight="0" orientation="portrait" r:id="rId1"/>
  <headerFooter>
    <oddFooter>&amp;C&amp;"Times New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
  <sheetViews>
    <sheetView workbookViewId="0">
      <selection activeCell="J8" sqref="J8"/>
    </sheetView>
  </sheetViews>
  <sheetFormatPr defaultColWidth="9.1640625" defaultRowHeight="16.5"/>
  <cols>
    <col min="1" max="1" width="8.25" style="322" customWidth="1"/>
    <col min="2" max="2" width="33.75" style="322" customWidth="1"/>
    <col min="3" max="3" width="13.25" style="322" customWidth="1"/>
    <col min="4" max="4" width="14.4140625" style="322" customWidth="1"/>
    <col min="5" max="5" width="18.25" style="322" customWidth="1"/>
    <col min="6" max="6" width="14.4140625" style="322" customWidth="1"/>
    <col min="7" max="16384" width="9.1640625" style="322"/>
  </cols>
  <sheetData>
    <row r="1" spans="1:6" ht="16.5" customHeight="1">
      <c r="A1" s="838"/>
      <c r="B1" s="838"/>
      <c r="C1" s="325"/>
      <c r="F1" s="424" t="s">
        <v>257</v>
      </c>
    </row>
    <row r="2" spans="1:6" ht="8.25" customHeight="1"/>
    <row r="3" spans="1:6" ht="59.25" customHeight="1">
      <c r="A3" s="836" t="s">
        <v>245</v>
      </c>
      <c r="B3" s="836"/>
      <c r="C3" s="836"/>
      <c r="D3" s="836"/>
      <c r="E3" s="836"/>
      <c r="F3" s="836"/>
    </row>
    <row r="4" spans="1:6" ht="23.25" customHeight="1">
      <c r="A4" s="837" t="str">
        <f>'TỔNG HỢP'!A3:D3</f>
        <v>(Kèm theo Tờ trình số         /TTr-UBND ngày       /12/2024 của UBND huyện Na Rì)</v>
      </c>
      <c r="B4" s="837"/>
      <c r="C4" s="837"/>
      <c r="D4" s="837"/>
      <c r="E4" s="837"/>
      <c r="F4" s="837"/>
    </row>
    <row r="5" spans="1:6">
      <c r="A5" s="340"/>
      <c r="B5" s="340"/>
      <c r="C5" s="340"/>
      <c r="D5" s="340"/>
      <c r="E5" s="340"/>
      <c r="F5" s="340"/>
    </row>
    <row r="6" spans="1:6">
      <c r="E6" s="839" t="s">
        <v>22</v>
      </c>
      <c r="F6" s="839"/>
    </row>
    <row r="7" spans="1:6" ht="51" customHeight="1">
      <c r="A7" s="323" t="s">
        <v>13</v>
      </c>
      <c r="B7" s="323" t="s">
        <v>57</v>
      </c>
      <c r="C7" s="323" t="s">
        <v>214</v>
      </c>
      <c r="D7" s="323" t="s">
        <v>213</v>
      </c>
      <c r="E7" s="323" t="s">
        <v>212</v>
      </c>
      <c r="F7" s="323" t="s">
        <v>0</v>
      </c>
    </row>
    <row r="8" spans="1:6" ht="24" customHeight="1">
      <c r="A8" s="324">
        <v>1</v>
      </c>
      <c r="B8" s="324">
        <v>2</v>
      </c>
      <c r="C8" s="324">
        <v>3</v>
      </c>
      <c r="D8" s="324">
        <v>4</v>
      </c>
      <c r="E8" s="324" t="s">
        <v>215</v>
      </c>
      <c r="F8" s="324">
        <v>6</v>
      </c>
    </row>
    <row r="9" spans="1:6" ht="25" customHeight="1">
      <c r="A9" s="326"/>
      <c r="B9" s="326" t="s">
        <v>190</v>
      </c>
      <c r="C9" s="343">
        <f>C10+C12+C14+C16</f>
        <v>14</v>
      </c>
      <c r="D9" s="327"/>
      <c r="E9" s="327">
        <f>E10+E12+E14+E16</f>
        <v>7000000</v>
      </c>
      <c r="F9" s="326"/>
    </row>
    <row r="10" spans="1:6" ht="25" customHeight="1">
      <c r="A10" s="328">
        <v>1</v>
      </c>
      <c r="B10" s="329" t="s">
        <v>207</v>
      </c>
      <c r="C10" s="344">
        <f>C11</f>
        <v>5</v>
      </c>
      <c r="D10" s="330"/>
      <c r="E10" s="330">
        <f>E11</f>
        <v>2500000</v>
      </c>
      <c r="F10" s="328"/>
    </row>
    <row r="11" spans="1:6" ht="25" customHeight="1">
      <c r="A11" s="331" t="s">
        <v>15</v>
      </c>
      <c r="B11" s="332" t="s">
        <v>211</v>
      </c>
      <c r="C11" s="345">
        <v>5</v>
      </c>
      <c r="D11" s="334">
        <v>500000</v>
      </c>
      <c r="E11" s="334">
        <f>C11*D11</f>
        <v>2500000</v>
      </c>
      <c r="F11" s="333"/>
    </row>
    <row r="12" spans="1:6" ht="25" customHeight="1">
      <c r="A12" s="328">
        <v>2</v>
      </c>
      <c r="B12" s="329" t="s">
        <v>206</v>
      </c>
      <c r="C12" s="346">
        <f>SUM(C13:C13)</f>
        <v>3</v>
      </c>
      <c r="D12" s="330"/>
      <c r="E12" s="330">
        <f>SUM(E13:E13)</f>
        <v>1500000</v>
      </c>
      <c r="F12" s="328"/>
    </row>
    <row r="13" spans="1:6" ht="25" customHeight="1">
      <c r="A13" s="331" t="s">
        <v>15</v>
      </c>
      <c r="B13" s="332" t="s">
        <v>208</v>
      </c>
      <c r="C13" s="345">
        <v>3</v>
      </c>
      <c r="D13" s="334">
        <v>500000</v>
      </c>
      <c r="E13" s="334">
        <f>C13*D13</f>
        <v>1500000</v>
      </c>
      <c r="F13" s="333"/>
    </row>
    <row r="14" spans="1:6" ht="25" customHeight="1">
      <c r="A14" s="335">
        <v>3</v>
      </c>
      <c r="B14" s="329" t="s">
        <v>199</v>
      </c>
      <c r="C14" s="346">
        <f>C15</f>
        <v>3</v>
      </c>
      <c r="D14" s="330"/>
      <c r="E14" s="330">
        <f>E15</f>
        <v>1500000</v>
      </c>
      <c r="F14" s="328"/>
    </row>
    <row r="15" spans="1:6" ht="25" customHeight="1">
      <c r="A15" s="331" t="s">
        <v>15</v>
      </c>
      <c r="B15" s="332" t="s">
        <v>209</v>
      </c>
      <c r="C15" s="345">
        <v>3</v>
      </c>
      <c r="D15" s="334">
        <v>500000</v>
      </c>
      <c r="E15" s="334">
        <f>C15*D15</f>
        <v>1500000</v>
      </c>
      <c r="F15" s="333"/>
    </row>
    <row r="16" spans="1:6" ht="25" customHeight="1">
      <c r="A16" s="335">
        <v>4</v>
      </c>
      <c r="B16" s="329" t="s">
        <v>205</v>
      </c>
      <c r="C16" s="346">
        <f>C17</f>
        <v>3</v>
      </c>
      <c r="D16" s="330"/>
      <c r="E16" s="330">
        <f>E17</f>
        <v>1500000</v>
      </c>
      <c r="F16" s="328"/>
    </row>
    <row r="17" spans="1:6" ht="25" customHeight="1">
      <c r="A17" s="336" t="s">
        <v>15</v>
      </c>
      <c r="B17" s="337" t="s">
        <v>210</v>
      </c>
      <c r="C17" s="347">
        <v>3</v>
      </c>
      <c r="D17" s="339">
        <v>500000</v>
      </c>
      <c r="E17" s="339">
        <f>C17*D17</f>
        <v>1500000</v>
      </c>
      <c r="F17" s="338"/>
    </row>
  </sheetData>
  <mergeCells count="4">
    <mergeCell ref="A3:F3"/>
    <mergeCell ref="A4:F4"/>
    <mergeCell ref="A1:B1"/>
    <mergeCell ref="E6:F6"/>
  </mergeCells>
  <pageMargins left="0.51181102362204722" right="0.19685039370078741" top="0.35433070866141736" bottom="0.35433070866141736" header="0.31496062992125984" footer="0.31496062992125984"/>
  <pageSetup paperSize="9" scale="90" orientation="portrait" r:id="rId1"/>
  <headerFooter>
    <oddFooter>&amp;C&amp;"Times New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19"/>
  <sheetViews>
    <sheetView topLeftCell="A4" zoomScale="85" zoomScaleNormal="85" workbookViewId="0">
      <selection activeCell="G24" sqref="G24"/>
    </sheetView>
  </sheetViews>
  <sheetFormatPr defaultColWidth="9.1640625" defaultRowHeight="15.5"/>
  <cols>
    <col min="1" max="1" width="8.4140625" style="356" customWidth="1"/>
    <col min="2" max="2" width="20.58203125" style="354" customWidth="1"/>
    <col min="3" max="3" width="28.58203125" style="355" customWidth="1"/>
    <col min="4" max="4" width="7.4140625" style="355" customWidth="1"/>
    <col min="5" max="5" width="6.83203125" style="355" customWidth="1"/>
    <col min="6" max="6" width="10.1640625" style="354" customWidth="1"/>
    <col min="7" max="8" width="11.25" style="352" customWidth="1"/>
    <col min="9" max="9" width="12.25" style="352" customWidth="1"/>
    <col min="10" max="10" width="13.58203125" style="352" customWidth="1"/>
    <col min="11" max="11" width="14.4140625" style="352" customWidth="1"/>
    <col min="12" max="12" width="10.1640625" style="352" customWidth="1"/>
    <col min="13" max="13" width="11.75" style="352" customWidth="1"/>
    <col min="14" max="14" width="15" style="352" customWidth="1"/>
    <col min="15" max="15" width="14.75" style="352" customWidth="1"/>
    <col min="16" max="16" width="10.58203125" style="353" customWidth="1"/>
    <col min="17" max="17" width="10" style="352" customWidth="1"/>
    <col min="18" max="18" width="12.4140625" style="351" customWidth="1"/>
    <col min="19" max="19" width="14" style="351" customWidth="1"/>
    <col min="20" max="20" width="11" style="351" customWidth="1"/>
    <col min="21" max="16384" width="9.1640625" style="351"/>
  </cols>
  <sheetData>
    <row r="1" spans="1:18">
      <c r="P1" s="844" t="s">
        <v>236</v>
      </c>
      <c r="Q1" s="844"/>
    </row>
    <row r="2" spans="1:18" ht="34.5" customHeight="1">
      <c r="A2" s="845" t="s">
        <v>237</v>
      </c>
      <c r="B2" s="845"/>
      <c r="C2" s="845"/>
      <c r="D2" s="845"/>
      <c r="E2" s="845"/>
      <c r="F2" s="845"/>
      <c r="G2" s="845"/>
      <c r="H2" s="845"/>
      <c r="I2" s="845"/>
      <c r="J2" s="845"/>
      <c r="K2" s="845"/>
      <c r="L2" s="845"/>
      <c r="M2" s="845"/>
      <c r="N2" s="845"/>
      <c r="O2" s="845"/>
      <c r="P2" s="845"/>
      <c r="Q2" s="845"/>
    </row>
    <row r="3" spans="1:18" ht="23.5" customHeight="1">
      <c r="A3" s="846" t="str">
        <f>'TỔNG HỢP'!A3:D3</f>
        <v>(Kèm theo Tờ trình số         /TTr-UBND ngày       /12/2024 của UBND huyện Na Rì)</v>
      </c>
      <c r="B3" s="846"/>
      <c r="C3" s="846"/>
      <c r="D3" s="846"/>
      <c r="E3" s="846"/>
      <c r="F3" s="846"/>
      <c r="G3" s="846"/>
      <c r="H3" s="846"/>
      <c r="I3" s="846"/>
      <c r="J3" s="846"/>
      <c r="K3" s="846"/>
      <c r="L3" s="846"/>
      <c r="M3" s="846"/>
      <c r="N3" s="846"/>
      <c r="O3" s="846"/>
      <c r="P3" s="846"/>
      <c r="Q3" s="846"/>
    </row>
    <row r="4" spans="1:18" ht="21.75" customHeight="1">
      <c r="A4" s="360"/>
      <c r="G4" s="354"/>
      <c r="H4" s="354"/>
      <c r="I4" s="847" t="s">
        <v>235</v>
      </c>
      <c r="J4" s="847"/>
      <c r="K4" s="847"/>
      <c r="L4" s="847"/>
      <c r="M4" s="847"/>
      <c r="N4" s="847"/>
      <c r="O4" s="847"/>
      <c r="P4" s="847"/>
      <c r="Q4" s="847"/>
    </row>
    <row r="5" spans="1:18" ht="34.5" customHeight="1">
      <c r="A5" s="848" t="s">
        <v>13</v>
      </c>
      <c r="B5" s="843" t="s">
        <v>57</v>
      </c>
      <c r="C5" s="849" t="s">
        <v>234</v>
      </c>
      <c r="D5" s="850" t="s">
        <v>233</v>
      </c>
      <c r="E5" s="850"/>
      <c r="F5" s="840" t="s">
        <v>232</v>
      </c>
      <c r="G5" s="841"/>
      <c r="H5" s="841"/>
      <c r="I5" s="841"/>
      <c r="J5" s="841"/>
      <c r="K5" s="841"/>
      <c r="L5" s="841"/>
      <c r="M5" s="841"/>
      <c r="N5" s="841"/>
      <c r="O5" s="842"/>
      <c r="P5" s="843" t="s">
        <v>231</v>
      </c>
      <c r="Q5" s="843"/>
    </row>
    <row r="6" spans="1:18" ht="27.75" customHeight="1">
      <c r="A6" s="848"/>
      <c r="B6" s="843"/>
      <c r="C6" s="849"/>
      <c r="D6" s="850" t="s">
        <v>230</v>
      </c>
      <c r="E6" s="850" t="s">
        <v>228</v>
      </c>
      <c r="F6" s="843" t="s">
        <v>190</v>
      </c>
      <c r="G6" s="843" t="s">
        <v>229</v>
      </c>
      <c r="H6" s="843"/>
      <c r="I6" s="843"/>
      <c r="J6" s="843"/>
      <c r="K6" s="843"/>
      <c r="L6" s="840" t="s">
        <v>228</v>
      </c>
      <c r="M6" s="841"/>
      <c r="N6" s="841"/>
      <c r="O6" s="842"/>
      <c r="P6" s="851" t="s">
        <v>354</v>
      </c>
      <c r="Q6" s="843" t="s">
        <v>227</v>
      </c>
    </row>
    <row r="7" spans="1:18" ht="152.25" customHeight="1">
      <c r="A7" s="848"/>
      <c r="B7" s="843"/>
      <c r="C7" s="849"/>
      <c r="D7" s="850"/>
      <c r="E7" s="850"/>
      <c r="F7" s="843"/>
      <c r="G7" s="361" t="s">
        <v>226</v>
      </c>
      <c r="H7" s="361" t="s">
        <v>225</v>
      </c>
      <c r="I7" s="361" t="s">
        <v>224</v>
      </c>
      <c r="J7" s="361" t="s">
        <v>567</v>
      </c>
      <c r="K7" s="361" t="s">
        <v>568</v>
      </c>
      <c r="L7" s="361" t="s">
        <v>223</v>
      </c>
      <c r="M7" s="361" t="s">
        <v>222</v>
      </c>
      <c r="N7" s="361" t="s">
        <v>565</v>
      </c>
      <c r="O7" s="361" t="s">
        <v>566</v>
      </c>
      <c r="P7" s="851"/>
      <c r="Q7" s="843"/>
    </row>
    <row r="8" spans="1:18" ht="24" customHeight="1">
      <c r="A8" s="359">
        <v>1</v>
      </c>
      <c r="B8" s="359">
        <v>2</v>
      </c>
      <c r="C8" s="358">
        <v>3</v>
      </c>
      <c r="D8" s="359">
        <v>4</v>
      </c>
      <c r="E8" s="359">
        <v>5</v>
      </c>
      <c r="F8" s="358">
        <v>6</v>
      </c>
      <c r="G8" s="359">
        <v>7</v>
      </c>
      <c r="H8" s="359">
        <v>8</v>
      </c>
      <c r="I8" s="358">
        <v>9</v>
      </c>
      <c r="J8" s="359">
        <v>10</v>
      </c>
      <c r="K8" s="359">
        <v>11</v>
      </c>
      <c r="L8" s="358">
        <v>12</v>
      </c>
      <c r="M8" s="359">
        <v>13</v>
      </c>
      <c r="N8" s="359">
        <v>14</v>
      </c>
      <c r="O8" s="359">
        <v>15</v>
      </c>
      <c r="P8" s="359">
        <v>16</v>
      </c>
      <c r="Q8" s="358">
        <v>17</v>
      </c>
    </row>
    <row r="9" spans="1:18" ht="30" customHeight="1">
      <c r="A9" s="362"/>
      <c r="B9" s="363" t="s">
        <v>14</v>
      </c>
      <c r="C9" s="363" t="s">
        <v>221</v>
      </c>
      <c r="D9" s="363"/>
      <c r="E9" s="363"/>
      <c r="F9" s="364">
        <f>F10+F12+F16+F18</f>
        <v>844756</v>
      </c>
      <c r="G9" s="364">
        <f t="shared" ref="G9:J9" si="0">G10+G12+G16+G18</f>
        <v>263167</v>
      </c>
      <c r="H9" s="364">
        <f t="shared" si="0"/>
        <v>119884</v>
      </c>
      <c r="I9" s="364">
        <f t="shared" si="0"/>
        <v>96153</v>
      </c>
      <c r="J9" s="364">
        <f t="shared" si="0"/>
        <v>21501</v>
      </c>
      <c r="K9" s="364">
        <f t="shared" ref="K9" si="1">K10+K12+K16+K18</f>
        <v>10120</v>
      </c>
      <c r="L9" s="364">
        <f t="shared" ref="L9" si="2">L10+L12+L16+L18</f>
        <v>47174</v>
      </c>
      <c r="M9" s="364">
        <f t="shared" ref="M9:N9" si="3">M10+M12+M16+M18</f>
        <v>240355</v>
      </c>
      <c r="N9" s="364">
        <f t="shared" si="3"/>
        <v>42822</v>
      </c>
      <c r="O9" s="364">
        <f t="shared" ref="O9" si="4">O10+O12+O16+O18</f>
        <v>3580</v>
      </c>
      <c r="P9" s="364">
        <f>P10+P12+P16+P18</f>
        <v>797582</v>
      </c>
      <c r="Q9" s="364">
        <f t="shared" ref="Q9" si="5">Q10+Q12+Q16+Q18</f>
        <v>47174</v>
      </c>
      <c r="R9" s="357"/>
    </row>
    <row r="10" spans="1:18" ht="25" customHeight="1">
      <c r="A10" s="365" t="s">
        <v>2</v>
      </c>
      <c r="B10" s="366" t="s">
        <v>220</v>
      </c>
      <c r="C10" s="367"/>
      <c r="D10" s="368"/>
      <c r="E10" s="368"/>
      <c r="F10" s="369">
        <f>SUM(F11:F11)</f>
        <v>180148</v>
      </c>
      <c r="G10" s="369">
        <f>SUM(G11:G11)</f>
        <v>99164</v>
      </c>
      <c r="H10" s="369">
        <f>SUM(H11:H11)</f>
        <v>33055</v>
      </c>
      <c r="I10" s="369">
        <f>SUM(I11:I11)</f>
        <v>47929</v>
      </c>
      <c r="J10" s="369"/>
      <c r="K10" s="369"/>
      <c r="L10" s="369"/>
      <c r="M10" s="369"/>
      <c r="N10" s="369"/>
      <c r="O10" s="369"/>
      <c r="P10" s="369">
        <f>SUM(P11:P11)</f>
        <v>180148</v>
      </c>
      <c r="Q10" s="369"/>
    </row>
    <row r="11" spans="1:18" ht="45" customHeight="1">
      <c r="A11" s="370" t="s">
        <v>188</v>
      </c>
      <c r="B11" s="371" t="s">
        <v>238</v>
      </c>
      <c r="C11" s="372" t="s">
        <v>239</v>
      </c>
      <c r="D11" s="373" t="s">
        <v>219</v>
      </c>
      <c r="E11" s="373"/>
      <c r="F11" s="374">
        <f>SUM(G11:O11)</f>
        <v>180148</v>
      </c>
      <c r="G11" s="374">
        <v>99164</v>
      </c>
      <c r="H11" s="374">
        <v>33055</v>
      </c>
      <c r="I11" s="374">
        <v>47929</v>
      </c>
      <c r="J11" s="374"/>
      <c r="K11" s="374"/>
      <c r="L11" s="374"/>
      <c r="M11" s="374"/>
      <c r="N11" s="374"/>
      <c r="O11" s="374"/>
      <c r="P11" s="375">
        <f>F11</f>
        <v>180148</v>
      </c>
      <c r="Q11" s="374"/>
    </row>
    <row r="12" spans="1:18" ht="25" customHeight="1">
      <c r="A12" s="365" t="s">
        <v>3</v>
      </c>
      <c r="B12" s="366" t="s">
        <v>200</v>
      </c>
      <c r="C12" s="367"/>
      <c r="D12" s="368"/>
      <c r="E12" s="368"/>
      <c r="F12" s="369">
        <f>SUM(F13:F15)</f>
        <v>361352</v>
      </c>
      <c r="G12" s="369">
        <f t="shared" ref="G12:Q12" si="6">SUM(G13:G15)</f>
        <v>117164</v>
      </c>
      <c r="H12" s="369">
        <f t="shared" si="6"/>
        <v>60808</v>
      </c>
      <c r="I12" s="369">
        <f t="shared" si="6"/>
        <v>46923</v>
      </c>
      <c r="J12" s="369">
        <f t="shared" si="6"/>
        <v>21501</v>
      </c>
      <c r="K12" s="369">
        <f t="shared" si="6"/>
        <v>6072</v>
      </c>
      <c r="L12" s="369">
        <f t="shared" si="6"/>
        <v>21481</v>
      </c>
      <c r="M12" s="369">
        <f t="shared" si="6"/>
        <v>83823</v>
      </c>
      <c r="N12" s="369"/>
      <c r="O12" s="369">
        <f t="shared" si="6"/>
        <v>3580</v>
      </c>
      <c r="P12" s="369">
        <f t="shared" si="6"/>
        <v>339871</v>
      </c>
      <c r="Q12" s="369">
        <f t="shared" si="6"/>
        <v>21481</v>
      </c>
    </row>
    <row r="13" spans="1:18" ht="45" customHeight="1">
      <c r="A13" s="370" t="s">
        <v>188</v>
      </c>
      <c r="B13" s="371" t="s">
        <v>240</v>
      </c>
      <c r="C13" s="372" t="s">
        <v>241</v>
      </c>
      <c r="D13" s="373" t="s">
        <v>219</v>
      </c>
      <c r="E13" s="373"/>
      <c r="F13" s="374">
        <f>SUM(G13:O13)</f>
        <v>165436</v>
      </c>
      <c r="G13" s="374">
        <v>63191</v>
      </c>
      <c r="H13" s="374">
        <v>35106</v>
      </c>
      <c r="I13" s="374">
        <v>45638</v>
      </c>
      <c r="J13" s="374">
        <v>21501</v>
      </c>
      <c r="K13" s="374"/>
      <c r="L13" s="374"/>
      <c r="M13" s="374"/>
      <c r="N13" s="374"/>
      <c r="O13" s="374"/>
      <c r="P13" s="375">
        <f>F13</f>
        <v>165436</v>
      </c>
      <c r="Q13" s="374"/>
    </row>
    <row r="14" spans="1:18" ht="45" customHeight="1">
      <c r="A14" s="370" t="s">
        <v>186</v>
      </c>
      <c r="B14" s="371" t="s">
        <v>204</v>
      </c>
      <c r="C14" s="372" t="s">
        <v>466</v>
      </c>
      <c r="D14" s="373" t="s">
        <v>219</v>
      </c>
      <c r="E14" s="373"/>
      <c r="F14" s="374">
        <f>SUM(G14:O14)</f>
        <v>87032</v>
      </c>
      <c r="G14" s="374">
        <v>53973</v>
      </c>
      <c r="H14" s="374">
        <v>25702</v>
      </c>
      <c r="I14" s="374">
        <v>1285</v>
      </c>
      <c r="J14" s="374"/>
      <c r="K14" s="374">
        <v>6072</v>
      </c>
      <c r="L14" s="374"/>
      <c r="M14" s="374"/>
      <c r="N14" s="374"/>
      <c r="O14" s="374"/>
      <c r="P14" s="375">
        <f>F14</f>
        <v>87032</v>
      </c>
      <c r="Q14" s="374"/>
    </row>
    <row r="15" spans="1:18" ht="45" customHeight="1">
      <c r="A15" s="370" t="s">
        <v>202</v>
      </c>
      <c r="B15" s="376" t="s">
        <v>185</v>
      </c>
      <c r="C15" s="377" t="s">
        <v>244</v>
      </c>
      <c r="D15" s="373"/>
      <c r="E15" s="373" t="s">
        <v>219</v>
      </c>
      <c r="F15" s="374">
        <f>SUM(G15:O15)</f>
        <v>108884</v>
      </c>
      <c r="G15" s="374"/>
      <c r="H15" s="374"/>
      <c r="I15" s="374"/>
      <c r="J15" s="374"/>
      <c r="K15" s="374"/>
      <c r="L15" s="374">
        <v>21481</v>
      </c>
      <c r="M15" s="374">
        <v>83823</v>
      </c>
      <c r="N15" s="374"/>
      <c r="O15" s="374">
        <v>3580</v>
      </c>
      <c r="P15" s="375">
        <f>M15+O15</f>
        <v>87403</v>
      </c>
      <c r="Q15" s="374">
        <f>L15</f>
        <v>21481</v>
      </c>
    </row>
    <row r="16" spans="1:18" ht="25" customHeight="1">
      <c r="A16" s="365" t="s">
        <v>4</v>
      </c>
      <c r="B16" s="366" t="s">
        <v>199</v>
      </c>
      <c r="C16" s="367"/>
      <c r="D16" s="368"/>
      <c r="E16" s="368"/>
      <c r="F16" s="369">
        <f>SUM(F17:F17)</f>
        <v>225047</v>
      </c>
      <c r="G16" s="369"/>
      <c r="H16" s="369"/>
      <c r="I16" s="369"/>
      <c r="J16" s="369"/>
      <c r="K16" s="369"/>
      <c r="L16" s="369">
        <f t="shared" ref="L16:Q16" si="7">SUM(L17:L17)</f>
        <v>25693</v>
      </c>
      <c r="M16" s="369">
        <f t="shared" si="7"/>
        <v>156532</v>
      </c>
      <c r="N16" s="369">
        <f t="shared" si="7"/>
        <v>42822</v>
      </c>
      <c r="O16" s="369"/>
      <c r="P16" s="369">
        <f t="shared" si="7"/>
        <v>199354</v>
      </c>
      <c r="Q16" s="369">
        <f t="shared" si="7"/>
        <v>25693</v>
      </c>
    </row>
    <row r="17" spans="1:17" ht="45" customHeight="1">
      <c r="A17" s="370" t="s">
        <v>188</v>
      </c>
      <c r="B17" s="376" t="s">
        <v>189</v>
      </c>
      <c r="C17" s="377" t="s">
        <v>242</v>
      </c>
      <c r="D17" s="373"/>
      <c r="E17" s="373" t="s">
        <v>219</v>
      </c>
      <c r="F17" s="374">
        <f>SUM(G17:O17)</f>
        <v>225047</v>
      </c>
      <c r="G17" s="374"/>
      <c r="H17" s="374"/>
      <c r="I17" s="374"/>
      <c r="J17" s="374"/>
      <c r="K17" s="374"/>
      <c r="L17" s="374">
        <v>25693</v>
      </c>
      <c r="M17" s="374">
        <v>156532</v>
      </c>
      <c r="N17" s="374">
        <v>42822</v>
      </c>
      <c r="O17" s="374"/>
      <c r="P17" s="375">
        <f>N17+M17</f>
        <v>199354</v>
      </c>
      <c r="Q17" s="374">
        <f>L17</f>
        <v>25693</v>
      </c>
    </row>
    <row r="18" spans="1:17" ht="25" customHeight="1">
      <c r="A18" s="365" t="s">
        <v>11</v>
      </c>
      <c r="B18" s="378" t="s">
        <v>201</v>
      </c>
      <c r="C18" s="367"/>
      <c r="D18" s="368"/>
      <c r="E18" s="368"/>
      <c r="F18" s="369">
        <f>SUM(F19:F19)</f>
        <v>78209</v>
      </c>
      <c r="G18" s="369">
        <f t="shared" ref="G18:P18" si="8">SUM(G19:G19)</f>
        <v>46839</v>
      </c>
      <c r="H18" s="369">
        <f t="shared" si="8"/>
        <v>26021</v>
      </c>
      <c r="I18" s="369">
        <f t="shared" si="8"/>
        <v>1301</v>
      </c>
      <c r="J18" s="369"/>
      <c r="K18" s="369">
        <f t="shared" si="8"/>
        <v>4048</v>
      </c>
      <c r="L18" s="369"/>
      <c r="M18" s="369"/>
      <c r="N18" s="369"/>
      <c r="O18" s="369"/>
      <c r="P18" s="369">
        <f t="shared" si="8"/>
        <v>78209</v>
      </c>
      <c r="Q18" s="369"/>
    </row>
    <row r="19" spans="1:17" ht="45" customHeight="1">
      <c r="A19" s="379" t="s">
        <v>188</v>
      </c>
      <c r="B19" s="380" t="s">
        <v>187</v>
      </c>
      <c r="C19" s="381" t="s">
        <v>243</v>
      </c>
      <c r="D19" s="382" t="s">
        <v>219</v>
      </c>
      <c r="E19" s="382"/>
      <c r="F19" s="383">
        <f>SUM(G19:O19)</f>
        <v>78209</v>
      </c>
      <c r="G19" s="383">
        <v>46839</v>
      </c>
      <c r="H19" s="383">
        <v>26021</v>
      </c>
      <c r="I19" s="383">
        <v>1301</v>
      </c>
      <c r="J19" s="383"/>
      <c r="K19" s="383">
        <v>4048</v>
      </c>
      <c r="L19" s="383"/>
      <c r="M19" s="383"/>
      <c r="N19" s="383"/>
      <c r="O19" s="383"/>
      <c r="P19" s="384">
        <f>F19</f>
        <v>78209</v>
      </c>
      <c r="Q19" s="383"/>
    </row>
  </sheetData>
  <mergeCells count="17">
    <mergeCell ref="P6:P7"/>
    <mergeCell ref="L6:O6"/>
    <mergeCell ref="F5:O5"/>
    <mergeCell ref="P5:Q5"/>
    <mergeCell ref="P1:Q1"/>
    <mergeCell ref="Q6:Q7"/>
    <mergeCell ref="A2:Q2"/>
    <mergeCell ref="A3:Q3"/>
    <mergeCell ref="I4:Q4"/>
    <mergeCell ref="A5:A7"/>
    <mergeCell ref="B5:B7"/>
    <mergeCell ref="C5:C7"/>
    <mergeCell ref="D5:E5"/>
    <mergeCell ref="D6:D7"/>
    <mergeCell ref="E6:E7"/>
    <mergeCell ref="F6:F7"/>
    <mergeCell ref="G6:K6"/>
  </mergeCells>
  <pageMargins left="0.39370078740157483" right="0" top="0.27559055118110237" bottom="0.35433070866141736" header="0.19685039370078741" footer="0.15748031496062992"/>
  <pageSetup paperSize="9" scale="65" fitToHeight="0" orientation="landscape" useFirstPageNumber="1" r:id="rId1"/>
  <headerFooter>
    <oddFooter>&amp;C&amp;"Times New Roman,Regular"&amp;10&amp;P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16</vt:i4>
      </vt:variant>
      <vt:variant>
        <vt:lpstr>Phạm vi có Tên</vt:lpstr>
      </vt:variant>
      <vt:variant>
        <vt:i4>24</vt:i4>
      </vt:variant>
    </vt:vector>
  </HeadingPairs>
  <TitlesOfParts>
    <vt:vector size="40" baseType="lpstr">
      <vt:lpstr>TỔNG HỢP</vt:lpstr>
      <vt:lpstr>1. Lâm nghiệp bền vững</vt:lpstr>
      <vt:lpstr>Biểu 01a</vt:lpstr>
      <vt:lpstr>Biểu 01b</vt:lpstr>
      <vt:lpstr>Mục 6</vt:lpstr>
      <vt:lpstr>Mục 8</vt:lpstr>
      <vt:lpstr>01. NQ 05.2020</vt:lpstr>
      <vt:lpstr>02. NQ11.2023</vt:lpstr>
      <vt:lpstr>03. TGBC NĐ 29.2023</vt:lpstr>
      <vt:lpstr>04. LÂM NGHIỆP</vt:lpstr>
      <vt:lpstr>05. ASXH-NV</vt:lpstr>
      <vt:lpstr>06. CCTL HUYỆN</vt:lpstr>
      <vt:lpstr>07. XÃ, THỊ TRẤN</vt:lpstr>
      <vt:lpstr>08- DT TĐ (lần 1)</vt:lpstr>
      <vt:lpstr>08a-PL thuyết minh</vt:lpstr>
      <vt:lpstr>09- DT TĐ (lần 2)</vt:lpstr>
      <vt:lpstr>'01. NQ 05.2020'!Print_Titles</vt:lpstr>
      <vt:lpstr>'02. NQ11.2023'!Print_Titles</vt:lpstr>
      <vt:lpstr>'03. TGBC NĐ 29.2023'!Print_Titles</vt:lpstr>
      <vt:lpstr>'05. ASXH-NV'!Print_Titles</vt:lpstr>
      <vt:lpstr>'06. CCTL HUYỆN'!Print_Titles</vt:lpstr>
      <vt:lpstr>'07. XÃ, THỊ TRẤN'!Print_Titles</vt:lpstr>
      <vt:lpstr>'Biểu 01a'!Print_Titles</vt:lpstr>
      <vt:lpstr>'Biểu 01b'!Print_Titles</vt:lpstr>
      <vt:lpstr>'TỔNG HỢP'!Print_Titles</vt:lpstr>
      <vt:lpstr>'01. NQ 05.2020'!Vùng_In</vt:lpstr>
      <vt:lpstr>'02. NQ11.2023'!Vùng_In</vt:lpstr>
      <vt:lpstr>'03. TGBC NĐ 29.2023'!Vùng_In</vt:lpstr>
      <vt:lpstr>'04. LÂM NGHIỆP'!Vùng_In</vt:lpstr>
      <vt:lpstr>'05. ASXH-NV'!Vùng_In</vt:lpstr>
      <vt:lpstr>'06. CCTL HUYỆN'!Vùng_In</vt:lpstr>
      <vt:lpstr>'07. XÃ, THỊ TRẤN'!Vùng_In</vt:lpstr>
      <vt:lpstr>'08- DT TĐ (lần 1)'!Vùng_In</vt:lpstr>
      <vt:lpstr>'09- DT TĐ (lần 2)'!Vùng_In</vt:lpstr>
      <vt:lpstr>'1. Lâm nghiệp bền vững'!Vùng_In</vt:lpstr>
      <vt:lpstr>'Biểu 01a'!Vùng_In</vt:lpstr>
      <vt:lpstr>'Biểu 01b'!Vùng_In</vt:lpstr>
      <vt:lpstr>'Mục 6'!Vùng_In</vt:lpstr>
      <vt:lpstr>'Mục 8'!Vùng_In</vt:lpstr>
      <vt:lpstr>'TỔNG HỢP'!Vùng_In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HP</cp:lastModifiedBy>
  <cp:lastPrinted>2024-12-10T11:58:35Z</cp:lastPrinted>
  <dcterms:created xsi:type="dcterms:W3CDTF">2022-03-26T03:12:55Z</dcterms:created>
  <dcterms:modified xsi:type="dcterms:W3CDTF">2024-12-13T01:28:17Z</dcterms:modified>
</cp:coreProperties>
</file>